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fgemcloud-my.sharepoint.com/personal/anju_thomas_ofgem_gov_uk/Documents/Desktop/Publication/"/>
    </mc:Choice>
  </mc:AlternateContent>
  <xr:revisionPtr revIDLastSave="0" documentId="8_{FCE6E6BE-3009-4CE3-AF0D-1A5DEB95B4ED}" xr6:coauthVersionLast="47" xr6:coauthVersionMax="47" xr10:uidLastSave="{00000000-0000-0000-0000-000000000000}"/>
  <bookViews>
    <workbookView xWindow="-110" yWindow="-110" windowWidth="19420" windowHeight="12420"/>
  </bookViews>
  <sheets>
    <sheet name="Cover" sheetId="1" r:id="rId1"/>
    <sheet name="Version_Control" sheetId="2" r:id="rId2"/>
    <sheet name="Inputs" sheetId="3" r:id="rId3"/>
    <sheet name="Data_Sources" sheetId="4" r:id="rId4"/>
    <sheet name="Pre_Op_RAV" sheetId="5" r:id="rId5"/>
    <sheet name="Finance" sheetId="6" r:id="rId6"/>
    <sheet name="Op_Rav" sheetId="7" r:id="rId7"/>
    <sheet name="Allowances_Cap" sheetId="8" r:id="rId8"/>
    <sheet name="Allowances_Floor" sheetId="9" r:id="rId9"/>
    <sheet name="Tax_Deductions" sheetId="10" r:id="rId10"/>
    <sheet name="Tax_Cap" sheetId="11" r:id="rId11"/>
    <sheet name="Tax_Floor" sheetId="12" r:id="rId12"/>
    <sheet name="Cap_Floor_Levels" sheetId="13" r:id="rId13"/>
  </sheets>
  <externalReferences>
    <externalReference r:id="rId14"/>
    <externalReference r:id="rId15"/>
  </externalReferences>
  <definedNames>
    <definedName name="computed" localSheetId="3">!#REF!</definedName>
    <definedName name="computed" localSheetId="6">!#REF!</definedName>
    <definedName name="computed">!#REF!</definedName>
    <definedName name="diff" localSheetId="3">!#REF!</definedName>
    <definedName name="diff" localSheetId="6">!#REF!</definedName>
    <definedName name="diff">!#REF!</definedName>
    <definedName name="End_Point" localSheetId="3">!#REF!</definedName>
    <definedName name="End_Point" localSheetId="6">!#REF!</definedName>
    <definedName name="End_Point">!#REF!</definedName>
    <definedName name="fixed" localSheetId="3">!#REF!</definedName>
    <definedName name="fixed" localSheetId="6">!#REF!</definedName>
    <definedName name="fixed">!#REF!</definedName>
    <definedName name="_xlnm.Print_Area" localSheetId="7">Allowances_Cap!$A$1:$AX$36</definedName>
    <definedName name="_xlnm.Print_Area" localSheetId="8">Allowances_Floor!$A$1:$AX$78</definedName>
    <definedName name="_xlnm.Print_Area" localSheetId="12">Cap_Floor_Levels!$A$1:$AT$40</definedName>
    <definedName name="_xlnm.Print_Area" localSheetId="0">Cover!$A$2:$G$44</definedName>
    <definedName name="_xlnm.Print_Area" localSheetId="3">Data_Sources!$A$1:$AX$135</definedName>
    <definedName name="_xlnm.Print_Area" localSheetId="5">Finance!$A$1:$AX$157</definedName>
    <definedName name="_xlnm.Print_Area" localSheetId="2">Inputs!$A$1:$AX$201</definedName>
    <definedName name="_xlnm.Print_Area" localSheetId="6">Op_Rav!$A$1:$AX$43</definedName>
    <definedName name="_xlnm.Print_Area" localSheetId="4">Pre_Op_RAV!$A$1:$AX$59</definedName>
    <definedName name="_xlnm.Print_Area" localSheetId="10">Tax_Cap!$A$1:$AX$46</definedName>
    <definedName name="_xlnm.Print_Area" localSheetId="9">Tax_Deductions!$A$1:$AX$76</definedName>
    <definedName name="_xlnm.Print_Area" localSheetId="11">Tax_Floor!$A$1:$AX$79</definedName>
    <definedName name="_xlnm.Print_Titles" localSheetId="7">Allowances_Cap!$1:$4</definedName>
    <definedName name="_xlnm.Print_Titles" localSheetId="8">Allowances_Floor!$1:$4</definedName>
    <definedName name="_xlnm.Print_Titles" localSheetId="12">Cap_Floor_Levels!$1:$2</definedName>
    <definedName name="_xlnm.Print_Titles" localSheetId="0">Cover!$2:$5</definedName>
    <definedName name="_xlnm.Print_Titles" localSheetId="3">Data_Sources!$1:$2</definedName>
    <definedName name="_xlnm.Print_Titles" localSheetId="5">Finance!$1:$4</definedName>
    <definedName name="_xlnm.Print_Titles" localSheetId="2">Inputs!$1:$2</definedName>
    <definedName name="_xlnm.Print_Titles" localSheetId="6">Op_Rav!$1:$3</definedName>
    <definedName name="_xlnm.Print_Titles" localSheetId="4">Pre_Op_RAV!$1:$4</definedName>
    <definedName name="_xlnm.Print_Titles" localSheetId="10">Tax_Cap!$1:$3</definedName>
    <definedName name="_xlnm.Print_Titles" localSheetId="9">Tax_Deductions!$1:$3</definedName>
    <definedName name="_xlnm.Print_Titles" localSheetId="11">Tax_Floor!$1:$3</definedName>
    <definedName name="Repayment" localSheetId="3">!#REF!</definedName>
    <definedName name="Repayment" localSheetId="6">!#REF!</definedName>
    <definedName name="Repayment">!#REF!</definedName>
    <definedName name="WDA_Dis" localSheetId="1">'[2]fis-Standard_Data'!$B$41</definedName>
    <definedName name="WDA_Dis">'[1]fis-Standard_Data'!$B$41</definedName>
    <definedName name="WDA_FYA" localSheetId="1">'[2]fis-Standard_Data'!$B$40</definedName>
    <definedName name="WDA_FYA">'[1]fis-Standard_Data'!$B$40</definedName>
    <definedName name="WDA_LLA" localSheetId="1">'[2]fis-Standard_Data'!$B$39</definedName>
    <definedName name="WDA_LLA">'[1]fis-Standard_Data'!$B$39</definedName>
    <definedName name="WDA_Plant" localSheetId="1">'[2]fis-Standard_Data'!$B$38</definedName>
    <definedName name="WDA_Plant">'[1]fis-Standard_Data'!$B$38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3" l="1"/>
  <c r="G36" i="13"/>
  <c r="G34" i="13"/>
  <c r="G32" i="13"/>
  <c r="G30" i="13"/>
  <c r="G28" i="13"/>
  <c r="G24" i="13"/>
  <c r="G23" i="13"/>
  <c r="G21" i="13"/>
  <c r="G20" i="13"/>
  <c r="G18" i="13"/>
  <c r="G17" i="13"/>
  <c r="G15" i="13"/>
  <c r="G14" i="13"/>
  <c r="G12" i="13"/>
  <c r="G11" i="13"/>
  <c r="G9" i="13"/>
  <c r="G8" i="13"/>
  <c r="G77" i="12"/>
  <c r="G73" i="12"/>
  <c r="G72" i="12"/>
  <c r="G70" i="12"/>
  <c r="G69" i="12"/>
  <c r="AI60" i="12"/>
  <c r="AH60" i="12"/>
  <c r="AG60" i="12"/>
  <c r="AF60" i="12"/>
  <c r="AE60" i="12"/>
  <c r="AD60" i="12"/>
  <c r="AC60" i="12"/>
  <c r="AB60" i="12"/>
  <c r="AA60" i="12"/>
  <c r="Z60" i="12"/>
  <c r="Y60" i="12"/>
  <c r="X60" i="12"/>
  <c r="W60" i="12"/>
  <c r="V60" i="12"/>
  <c r="U60" i="12"/>
  <c r="T60" i="12"/>
  <c r="S60" i="12"/>
  <c r="R60" i="12"/>
  <c r="Q60" i="12"/>
  <c r="P60" i="12"/>
  <c r="O60" i="12"/>
  <c r="N60" i="12"/>
  <c r="M60" i="12"/>
  <c r="L60" i="12"/>
  <c r="K60" i="12"/>
  <c r="G60" i="12"/>
  <c r="G40" i="12"/>
  <c r="G36" i="12"/>
  <c r="G35" i="12"/>
  <c r="G33" i="12"/>
  <c r="G32" i="12"/>
  <c r="AI23" i="12"/>
  <c r="AH23" i="12"/>
  <c r="AG23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G23" i="12"/>
  <c r="G40" i="11"/>
  <c r="G36" i="11"/>
  <c r="G35" i="11"/>
  <c r="G33" i="11"/>
  <c r="G32" i="11"/>
  <c r="AI23" i="11"/>
  <c r="AH23" i="11"/>
  <c r="AG23" i="11"/>
  <c r="AF23" i="11"/>
  <c r="AE23" i="11"/>
  <c r="AD23" i="11"/>
  <c r="AC23" i="11"/>
  <c r="AB23" i="11"/>
  <c r="AA23" i="11"/>
  <c r="Z23" i="11"/>
  <c r="Y23" i="11"/>
  <c r="X23" i="11"/>
  <c r="W23" i="11"/>
  <c r="V23" i="11"/>
  <c r="U23" i="11"/>
  <c r="T23" i="11"/>
  <c r="S23" i="11"/>
  <c r="R23" i="11"/>
  <c r="Q23" i="11"/>
  <c r="P23" i="11"/>
  <c r="O23" i="11"/>
  <c r="N23" i="11"/>
  <c r="M23" i="11"/>
  <c r="L23" i="11"/>
  <c r="K23" i="11"/>
  <c r="G23" i="11"/>
  <c r="I66" i="10"/>
  <c r="G66" i="10"/>
  <c r="I65" i="10"/>
  <c r="G65" i="10"/>
  <c r="G60" i="10"/>
  <c r="G59" i="10"/>
  <c r="I43" i="10"/>
  <c r="G43" i="10"/>
  <c r="AI42" i="10"/>
  <c r="AH42" i="10"/>
  <c r="AG42" i="10"/>
  <c r="AF42" i="10"/>
  <c r="AE42" i="10"/>
  <c r="AD42" i="10"/>
  <c r="AC42" i="10"/>
  <c r="AB42" i="10"/>
  <c r="AA42" i="10"/>
  <c r="Z42" i="10"/>
  <c r="Y42" i="10"/>
  <c r="X42" i="10"/>
  <c r="W42" i="10"/>
  <c r="V42" i="10"/>
  <c r="U42" i="10"/>
  <c r="T42" i="10"/>
  <c r="S42" i="10"/>
  <c r="R42" i="10"/>
  <c r="Q42" i="10"/>
  <c r="P42" i="10"/>
  <c r="O42" i="10"/>
  <c r="N42" i="10"/>
  <c r="M42" i="10"/>
  <c r="L42" i="10"/>
  <c r="K42" i="10"/>
  <c r="G42" i="10"/>
  <c r="E10" i="10"/>
  <c r="G76" i="9"/>
  <c r="I72" i="9"/>
  <c r="G72" i="9"/>
  <c r="I71" i="9"/>
  <c r="G71" i="9"/>
  <c r="G67" i="9"/>
  <c r="G66" i="9"/>
  <c r="G62" i="9"/>
  <c r="G61" i="9"/>
  <c r="I53" i="9"/>
  <c r="G53" i="9"/>
  <c r="G42" i="9"/>
  <c r="G41" i="9"/>
  <c r="G40" i="9"/>
  <c r="G39" i="9"/>
  <c r="G38" i="9"/>
  <c r="G34" i="9"/>
  <c r="G33" i="9"/>
  <c r="G29" i="9"/>
  <c r="G28" i="9"/>
  <c r="I20" i="9"/>
  <c r="G20" i="9"/>
  <c r="I19" i="9"/>
  <c r="G19" i="9"/>
  <c r="G13" i="9"/>
  <c r="G12" i="9"/>
  <c r="G11" i="9"/>
  <c r="G10" i="9"/>
  <c r="G9" i="9"/>
  <c r="G8" i="9"/>
  <c r="G34" i="8"/>
  <c r="G33" i="8"/>
  <c r="G29" i="8"/>
  <c r="G28" i="8"/>
  <c r="I20" i="8"/>
  <c r="G20" i="8"/>
  <c r="I19" i="8"/>
  <c r="G19" i="8"/>
  <c r="G13" i="8"/>
  <c r="G12" i="8"/>
  <c r="G11" i="8"/>
  <c r="G10" i="8"/>
  <c r="G9" i="8"/>
  <c r="G8" i="8"/>
  <c r="G41" i="7"/>
  <c r="G40" i="7"/>
  <c r="G38" i="7"/>
  <c r="G37" i="7"/>
  <c r="G35" i="7"/>
  <c r="G34" i="7"/>
  <c r="I32" i="7"/>
  <c r="G32" i="7"/>
  <c r="I31" i="7"/>
  <c r="G31" i="7"/>
  <c r="G25" i="7"/>
  <c r="I21" i="7"/>
  <c r="G17" i="7"/>
  <c r="G15" i="7"/>
  <c r="G14" i="7"/>
  <c r="G13" i="7"/>
  <c r="G12" i="7"/>
  <c r="G11" i="7"/>
  <c r="G10" i="7"/>
  <c r="G9" i="7"/>
  <c r="G151" i="6"/>
  <c r="G150" i="6"/>
  <c r="I148" i="6"/>
  <c r="G148" i="6"/>
  <c r="G146" i="6"/>
  <c r="G145" i="6"/>
  <c r="G144" i="6"/>
  <c r="G140" i="6"/>
  <c r="G139" i="6"/>
  <c r="G138" i="6"/>
  <c r="G137" i="6"/>
  <c r="I135" i="6"/>
  <c r="I134" i="6"/>
  <c r="I133" i="6"/>
  <c r="I132" i="6"/>
  <c r="I131" i="6"/>
  <c r="I118" i="6"/>
  <c r="G114" i="6"/>
  <c r="G113" i="6"/>
  <c r="G112" i="6"/>
  <c r="G111" i="6"/>
  <c r="G110" i="6"/>
  <c r="G109" i="6"/>
  <c r="G108" i="6"/>
  <c r="I106" i="6"/>
  <c r="I105" i="6"/>
  <c r="I104" i="6"/>
  <c r="I103" i="6"/>
  <c r="I102" i="6"/>
  <c r="I101" i="6"/>
  <c r="I92" i="6"/>
  <c r="I91" i="6"/>
  <c r="I90" i="6"/>
  <c r="I89" i="6"/>
  <c r="I88" i="6"/>
  <c r="I87" i="6"/>
  <c r="I86" i="6"/>
  <c r="I85" i="6"/>
  <c r="I83" i="6"/>
  <c r="I82" i="6"/>
  <c r="I81" i="6"/>
  <c r="I80" i="6"/>
  <c r="I79" i="6"/>
  <c r="I78" i="6"/>
  <c r="I74" i="6"/>
  <c r="G74" i="6"/>
  <c r="I73" i="6"/>
  <c r="G73" i="6"/>
  <c r="I72" i="6"/>
  <c r="G72" i="6"/>
  <c r="I71" i="6"/>
  <c r="G71" i="6"/>
  <c r="I70" i="6"/>
  <c r="G70" i="6"/>
  <c r="I69" i="6"/>
  <c r="G69" i="6"/>
  <c r="I68" i="6"/>
  <c r="G68" i="6"/>
  <c r="G66" i="6"/>
  <c r="G65" i="6"/>
  <c r="G64" i="6"/>
  <c r="G63" i="6"/>
  <c r="I58" i="6"/>
  <c r="G58" i="6"/>
  <c r="AX56" i="6"/>
  <c r="AW56" i="6"/>
  <c r="AV56" i="6"/>
  <c r="AU56" i="6"/>
  <c r="AT56" i="6"/>
  <c r="AS56" i="6"/>
  <c r="AR56" i="6"/>
  <c r="AQ56" i="6"/>
  <c r="AP56" i="6"/>
  <c r="AO56" i="6"/>
  <c r="AN56" i="6"/>
  <c r="AM56" i="6"/>
  <c r="AL56" i="6"/>
  <c r="AK56" i="6"/>
  <c r="AJ56" i="6"/>
  <c r="AI56" i="6"/>
  <c r="AH56" i="6"/>
  <c r="AG56" i="6"/>
  <c r="AF56" i="6"/>
  <c r="AE56" i="6"/>
  <c r="AD56" i="6"/>
  <c r="AC56" i="6"/>
  <c r="AB56" i="6"/>
  <c r="AA56" i="6"/>
  <c r="Z56" i="6"/>
  <c r="Y56" i="6"/>
  <c r="X56" i="6"/>
  <c r="W56" i="6"/>
  <c r="V56" i="6"/>
  <c r="U56" i="6"/>
  <c r="T56" i="6"/>
  <c r="S56" i="6"/>
  <c r="R56" i="6"/>
  <c r="Q56" i="6"/>
  <c r="P56" i="6"/>
  <c r="O56" i="6"/>
  <c r="N56" i="6"/>
  <c r="M56" i="6"/>
  <c r="L56" i="6"/>
  <c r="K56" i="6"/>
  <c r="G56" i="6"/>
  <c r="G50" i="6"/>
  <c r="G49" i="6"/>
  <c r="G48" i="6"/>
  <c r="G47" i="6"/>
  <c r="G46" i="6"/>
  <c r="G45" i="6"/>
  <c r="G44" i="6"/>
  <c r="G43" i="6"/>
  <c r="G42" i="6"/>
  <c r="I38" i="6"/>
  <c r="G38" i="6"/>
  <c r="I37" i="6"/>
  <c r="G37" i="6"/>
  <c r="I35" i="6"/>
  <c r="G35" i="6"/>
  <c r="I34" i="6"/>
  <c r="G34" i="6"/>
  <c r="G28" i="6"/>
  <c r="G27" i="6"/>
  <c r="G26" i="6"/>
  <c r="G25" i="6"/>
  <c r="K24" i="6"/>
  <c r="G24" i="6"/>
  <c r="I22" i="6"/>
  <c r="G22" i="6"/>
  <c r="G56" i="5"/>
  <c r="G54" i="5"/>
  <c r="G53" i="5"/>
  <c r="G48" i="5"/>
  <c r="G47" i="5"/>
  <c r="G46" i="5"/>
  <c r="G45" i="5"/>
  <c r="G44" i="5"/>
  <c r="AX43" i="5"/>
  <c r="AW43" i="5"/>
  <c r="AV43" i="5"/>
  <c r="AU43" i="5"/>
  <c r="AT43" i="5"/>
  <c r="AS43" i="5"/>
  <c r="AR43" i="5"/>
  <c r="AQ43" i="5"/>
  <c r="AP43" i="5"/>
  <c r="AO43" i="5"/>
  <c r="AN43" i="5"/>
  <c r="AM43" i="5"/>
  <c r="AL43" i="5"/>
  <c r="AK43" i="5"/>
  <c r="AJ43" i="5"/>
  <c r="AI43" i="5"/>
  <c r="AH43" i="5"/>
  <c r="AG43" i="5"/>
  <c r="AF43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G43" i="5"/>
  <c r="AX42" i="5"/>
  <c r="AW42" i="5"/>
  <c r="AV42" i="5"/>
  <c r="AU42" i="5"/>
  <c r="AT42" i="5"/>
  <c r="AS42" i="5"/>
  <c r="AR42" i="5"/>
  <c r="AQ42" i="5"/>
  <c r="AP42" i="5"/>
  <c r="AO42" i="5"/>
  <c r="AN42" i="5"/>
  <c r="AM42" i="5"/>
  <c r="AL42" i="5"/>
  <c r="AK42" i="5"/>
  <c r="AJ42" i="5"/>
  <c r="AI42" i="5"/>
  <c r="AH42" i="5"/>
  <c r="AG42" i="5"/>
  <c r="AF42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G42" i="5"/>
  <c r="G41" i="5"/>
  <c r="G40" i="5"/>
  <c r="G36" i="5"/>
  <c r="G35" i="5"/>
  <c r="G34" i="5"/>
  <c r="AX33" i="5"/>
  <c r="AW33" i="5"/>
  <c r="AV33" i="5"/>
  <c r="AU33" i="5"/>
  <c r="AT33" i="5"/>
  <c r="AS33" i="5"/>
  <c r="AR33" i="5"/>
  <c r="AQ33" i="5"/>
  <c r="AP33" i="5"/>
  <c r="AO33" i="5"/>
  <c r="AN33" i="5"/>
  <c r="AM33" i="5"/>
  <c r="AL33" i="5"/>
  <c r="AK33" i="5"/>
  <c r="AJ33" i="5"/>
  <c r="AI33" i="5"/>
  <c r="AH33" i="5"/>
  <c r="AG33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G33" i="5"/>
  <c r="G32" i="5"/>
  <c r="G26" i="5"/>
  <c r="G25" i="5"/>
  <c r="G24" i="5"/>
  <c r="G23" i="5"/>
  <c r="E23" i="5"/>
  <c r="G22" i="5"/>
  <c r="G21" i="5"/>
  <c r="G20" i="5"/>
  <c r="G19" i="5"/>
  <c r="I133" i="4"/>
  <c r="G133" i="4"/>
  <c r="E133" i="4"/>
  <c r="I129" i="4"/>
  <c r="G129" i="4"/>
  <c r="E129" i="4"/>
  <c r="I128" i="4"/>
  <c r="G128" i="4"/>
  <c r="E128" i="4"/>
  <c r="I127" i="4"/>
  <c r="G127" i="4"/>
  <c r="E127" i="4"/>
  <c r="I123" i="4"/>
  <c r="I122" i="4"/>
  <c r="G122" i="4"/>
  <c r="E122" i="4"/>
  <c r="I118" i="4"/>
  <c r="G118" i="4"/>
  <c r="E118" i="4"/>
  <c r="I117" i="4"/>
  <c r="G117" i="4"/>
  <c r="E117" i="4"/>
  <c r="I116" i="4"/>
  <c r="G116" i="4"/>
  <c r="E116" i="4"/>
  <c r="I115" i="4"/>
  <c r="G115" i="4"/>
  <c r="E115" i="4"/>
  <c r="I111" i="4"/>
  <c r="G111" i="4"/>
  <c r="E111" i="4"/>
  <c r="I110" i="4"/>
  <c r="G110" i="4"/>
  <c r="E110" i="4"/>
  <c r="I109" i="4"/>
  <c r="G109" i="4"/>
  <c r="E109" i="4"/>
  <c r="I108" i="4"/>
  <c r="G108" i="4"/>
  <c r="E108" i="4"/>
  <c r="I107" i="4"/>
  <c r="G107" i="4"/>
  <c r="E107" i="4"/>
  <c r="I106" i="4"/>
  <c r="G106" i="4"/>
  <c r="E106" i="4"/>
  <c r="I104" i="4"/>
  <c r="G104" i="4"/>
  <c r="E104" i="4"/>
  <c r="I103" i="4"/>
  <c r="G103" i="4"/>
  <c r="E103" i="4"/>
  <c r="I101" i="4"/>
  <c r="G101" i="4"/>
  <c r="E101" i="4"/>
  <c r="I100" i="4"/>
  <c r="G100" i="4"/>
  <c r="E100" i="4"/>
  <c r="I98" i="4"/>
  <c r="G98" i="4"/>
  <c r="E98" i="4"/>
  <c r="I97" i="4"/>
  <c r="G97" i="4"/>
  <c r="E97" i="4"/>
  <c r="I96" i="4"/>
  <c r="G96" i="4"/>
  <c r="E96" i="4"/>
  <c r="I95" i="4"/>
  <c r="E95" i="4"/>
  <c r="I93" i="4"/>
  <c r="G93" i="4"/>
  <c r="E93" i="4"/>
  <c r="I92" i="4"/>
  <c r="G92" i="4"/>
  <c r="E92" i="4"/>
  <c r="I91" i="4"/>
  <c r="G91" i="4"/>
  <c r="E91" i="4"/>
  <c r="I90" i="4"/>
  <c r="E90" i="4"/>
  <c r="I89" i="4"/>
  <c r="E89" i="4"/>
  <c r="I87" i="4"/>
  <c r="G87" i="4"/>
  <c r="E87" i="4"/>
  <c r="I86" i="4"/>
  <c r="G86" i="4"/>
  <c r="E86" i="4"/>
  <c r="I85" i="4"/>
  <c r="G85" i="4"/>
  <c r="E85" i="4"/>
  <c r="I84" i="4"/>
  <c r="E84" i="4"/>
  <c r="I82" i="4"/>
  <c r="G82" i="4"/>
  <c r="E82" i="4"/>
  <c r="I81" i="4"/>
  <c r="G81" i="4"/>
  <c r="E81" i="4"/>
  <c r="I80" i="4"/>
  <c r="G80" i="4"/>
  <c r="E80" i="4"/>
  <c r="I79" i="4"/>
  <c r="E79" i="4"/>
  <c r="I77" i="4"/>
  <c r="G77" i="4"/>
  <c r="E77" i="4"/>
  <c r="I76" i="4"/>
  <c r="G76" i="4"/>
  <c r="E76" i="4"/>
  <c r="I75" i="4"/>
  <c r="G75" i="4"/>
  <c r="E75" i="4"/>
  <c r="I74" i="4"/>
  <c r="E74" i="4"/>
  <c r="I72" i="4"/>
  <c r="G72" i="4"/>
  <c r="E72" i="4"/>
  <c r="I71" i="4"/>
  <c r="G71" i="4"/>
  <c r="E71" i="4"/>
  <c r="I69" i="4"/>
  <c r="G69" i="4"/>
  <c r="E69" i="4"/>
  <c r="I68" i="4"/>
  <c r="G68" i="4"/>
  <c r="E68" i="4"/>
  <c r="I67" i="4"/>
  <c r="G67" i="4"/>
  <c r="E67" i="4"/>
  <c r="I66" i="4"/>
  <c r="G66" i="4"/>
  <c r="E66" i="4"/>
  <c r="I64" i="4"/>
  <c r="G64" i="4"/>
  <c r="E64" i="4"/>
  <c r="I63" i="4"/>
  <c r="G63" i="4"/>
  <c r="E63" i="4"/>
  <c r="I61" i="4"/>
  <c r="G61" i="4"/>
  <c r="E61" i="4"/>
  <c r="I60" i="4"/>
  <c r="G60" i="4"/>
  <c r="E60" i="4"/>
  <c r="I59" i="4"/>
  <c r="G59" i="4"/>
  <c r="E59" i="4"/>
  <c r="I57" i="4"/>
  <c r="G57" i="4"/>
  <c r="E57" i="4"/>
  <c r="I56" i="4"/>
  <c r="E56" i="4"/>
  <c r="I55" i="4"/>
  <c r="G55" i="4"/>
  <c r="E55" i="4"/>
  <c r="I51" i="4"/>
  <c r="G51" i="4"/>
  <c r="E51" i="4"/>
  <c r="I50" i="4"/>
  <c r="G50" i="4"/>
  <c r="E50" i="4"/>
  <c r="I48" i="4"/>
  <c r="G48" i="4"/>
  <c r="E48" i="4"/>
  <c r="I47" i="4"/>
  <c r="G47" i="4"/>
  <c r="E47" i="4"/>
  <c r="I45" i="4"/>
  <c r="G45" i="4"/>
  <c r="E45" i="4"/>
  <c r="I44" i="4"/>
  <c r="G44" i="4"/>
  <c r="E44" i="4"/>
  <c r="I43" i="4"/>
  <c r="G43" i="4"/>
  <c r="E43" i="4"/>
  <c r="I37" i="4"/>
  <c r="I35" i="4"/>
  <c r="E35" i="4"/>
  <c r="I34" i="4"/>
  <c r="E34" i="4"/>
  <c r="I33" i="4"/>
  <c r="E33" i="4"/>
  <c r="I31" i="4"/>
  <c r="G31" i="4"/>
  <c r="E31" i="4"/>
  <c r="I30" i="4"/>
  <c r="G30" i="4"/>
  <c r="E30" i="4"/>
  <c r="I29" i="4"/>
  <c r="G29" i="4"/>
  <c r="E29" i="4"/>
  <c r="I28" i="4"/>
  <c r="G28" i="4"/>
  <c r="E28" i="4"/>
  <c r="I24" i="4"/>
  <c r="G24" i="4"/>
  <c r="E24" i="4"/>
  <c r="I23" i="4"/>
  <c r="G23" i="4"/>
  <c r="E23" i="4"/>
  <c r="I22" i="4"/>
  <c r="H22" i="4"/>
  <c r="E22" i="4"/>
  <c r="I20" i="4"/>
  <c r="G20" i="4"/>
  <c r="E20" i="4"/>
  <c r="I19" i="4"/>
  <c r="G19" i="4"/>
  <c r="E19" i="4"/>
  <c r="I18" i="4"/>
  <c r="H18" i="4"/>
  <c r="G18" i="4"/>
  <c r="E18" i="4"/>
  <c r="I16" i="4"/>
  <c r="G16" i="4"/>
  <c r="E16" i="4"/>
  <c r="I15" i="4"/>
  <c r="G15" i="4"/>
  <c r="E15" i="4"/>
  <c r="I14" i="4"/>
  <c r="G14" i="4"/>
  <c r="E14" i="4"/>
  <c r="I8" i="4"/>
  <c r="G8" i="4"/>
  <c r="E8" i="4"/>
  <c r="I7" i="4"/>
  <c r="G7" i="4"/>
  <c r="E7" i="4"/>
  <c r="I6" i="4"/>
  <c r="G6" i="4"/>
  <c r="E6" i="4"/>
  <c r="AI63" i="12"/>
  <c r="AH63" i="12"/>
  <c r="AG63" i="12"/>
  <c r="AF63" i="12"/>
  <c r="AE63" i="12"/>
  <c r="AD63" i="12"/>
  <c r="AC63" i="12"/>
  <c r="AB63" i="12"/>
  <c r="AA63" i="12"/>
  <c r="Z63" i="12"/>
  <c r="Y63" i="12"/>
  <c r="X63" i="12"/>
  <c r="W63" i="12"/>
  <c r="V63" i="12"/>
  <c r="U63" i="12"/>
  <c r="T63" i="12"/>
  <c r="S63" i="12"/>
  <c r="R63" i="12"/>
  <c r="Q63" i="12"/>
  <c r="P63" i="12"/>
  <c r="O63" i="12"/>
  <c r="N63" i="12"/>
  <c r="M63" i="12"/>
  <c r="L63" i="12"/>
  <c r="K63" i="12"/>
  <c r="K52" i="12"/>
  <c r="AI26" i="12"/>
  <c r="AH26" i="12"/>
  <c r="AG26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K15" i="12"/>
  <c r="AI26" i="11"/>
  <c r="AH26" i="11"/>
  <c r="AG26" i="11"/>
  <c r="AF26" i="11"/>
  <c r="AE26" i="11"/>
  <c r="AD26" i="11"/>
  <c r="AC26" i="11"/>
  <c r="AB26" i="11"/>
  <c r="AA26" i="11"/>
  <c r="Z26" i="11"/>
  <c r="Y26" i="11"/>
  <c r="X26" i="11"/>
  <c r="W26" i="11"/>
  <c r="V26" i="11"/>
  <c r="U26" i="11"/>
  <c r="T26" i="11"/>
  <c r="S26" i="11"/>
  <c r="R26" i="11"/>
  <c r="Q26" i="11"/>
  <c r="P26" i="11"/>
  <c r="O26" i="11"/>
  <c r="N26" i="11"/>
  <c r="M26" i="11"/>
  <c r="L26" i="11"/>
  <c r="K26" i="11"/>
  <c r="K15" i="11"/>
  <c r="K45" i="10"/>
  <c r="G64" i="9"/>
  <c r="G75" i="12" s="1"/>
  <c r="I31" i="9"/>
  <c r="I38" i="12" s="1"/>
  <c r="G31" i="9"/>
  <c r="G38" i="12" s="1"/>
  <c r="K24" i="9"/>
  <c r="K33" i="12" s="1"/>
  <c r="L23" i="9"/>
  <c r="K23" i="9"/>
  <c r="I21" i="9"/>
  <c r="L4" i="9"/>
  <c r="G31" i="8"/>
  <c r="G38" i="11" s="1"/>
  <c r="K24" i="8"/>
  <c r="K33" i="11" s="1"/>
  <c r="K23" i="8"/>
  <c r="I21" i="8"/>
  <c r="I31" i="8" s="1"/>
  <c r="I38" i="11" s="1"/>
  <c r="L4" i="8"/>
  <c r="K22" i="7"/>
  <c r="K23" i="7" s="1"/>
  <c r="K9" i="7"/>
  <c r="K42" i="6"/>
  <c r="K34" i="5"/>
  <c r="I194" i="3"/>
  <c r="I192" i="3"/>
  <c r="E192" i="3"/>
  <c r="E11" i="10" s="1"/>
  <c r="T182" i="3"/>
  <c r="S182" i="3"/>
  <c r="R182" i="3"/>
  <c r="R183" i="3" s="1"/>
  <c r="Q182" i="3"/>
  <c r="Q183" i="3" s="1"/>
  <c r="P182" i="3"/>
  <c r="O182" i="3"/>
  <c r="N182" i="3"/>
  <c r="M182" i="3"/>
  <c r="L182" i="3"/>
  <c r="L183" i="3" s="1"/>
  <c r="K182" i="3"/>
  <c r="H182" i="3"/>
  <c r="H123" i="4" s="1"/>
  <c r="E182" i="3"/>
  <c r="E123" i="4" s="1"/>
  <c r="I180" i="3"/>
  <c r="H180" i="3"/>
  <c r="G180" i="3"/>
  <c r="E180" i="3"/>
  <c r="K166" i="3"/>
  <c r="K163" i="3"/>
  <c r="K164" i="3" s="1"/>
  <c r="I157" i="3"/>
  <c r="G41" i="1" s="1"/>
  <c r="I154" i="3"/>
  <c r="I153" i="3"/>
  <c r="K170" i="3" s="1"/>
  <c r="K171" i="3" s="1"/>
  <c r="I152" i="3"/>
  <c r="K146" i="3"/>
  <c r="K160" i="3" s="1"/>
  <c r="K8" i="5" s="1"/>
  <c r="K145" i="3"/>
  <c r="L131" i="3"/>
  <c r="M130" i="3" s="1"/>
  <c r="K131" i="3"/>
  <c r="L130" i="3" s="1"/>
  <c r="K130" i="3"/>
  <c r="G122" i="3"/>
  <c r="G95" i="4" s="1"/>
  <c r="G117" i="3"/>
  <c r="G90" i="4" s="1"/>
  <c r="G116" i="3"/>
  <c r="G89" i="4" s="1"/>
  <c r="G111" i="3"/>
  <c r="G84" i="4" s="1"/>
  <c r="G106" i="3"/>
  <c r="G105" i="3"/>
  <c r="G79" i="4" s="1"/>
  <c r="G100" i="3"/>
  <c r="G74" i="4" s="1"/>
  <c r="G82" i="3"/>
  <c r="G56" i="4" s="1"/>
  <c r="I71" i="3"/>
  <c r="I59" i="10" s="1"/>
  <c r="M62" i="3"/>
  <c r="G62" i="3"/>
  <c r="E62" i="3"/>
  <c r="P61" i="3"/>
  <c r="G61" i="3"/>
  <c r="E61" i="3"/>
  <c r="U60" i="3"/>
  <c r="G60" i="3"/>
  <c r="E60" i="3"/>
  <c r="AE59" i="3"/>
  <c r="AE13" i="7" s="1"/>
  <c r="G59" i="3"/>
  <c r="E59" i="3"/>
  <c r="I57" i="3"/>
  <c r="P62" i="3" s="1"/>
  <c r="H55" i="3"/>
  <c r="H37" i="4" s="1"/>
  <c r="G55" i="3"/>
  <c r="G37" i="4" s="1"/>
  <c r="E55" i="3"/>
  <c r="E37" i="4" s="1"/>
  <c r="G53" i="3"/>
  <c r="G35" i="4" s="1"/>
  <c r="G52" i="3"/>
  <c r="G34" i="4" s="1"/>
  <c r="G51" i="3"/>
  <c r="G33" i="4" s="1"/>
  <c r="I49" i="3"/>
  <c r="H49" i="3"/>
  <c r="G49" i="3"/>
  <c r="E49" i="3"/>
  <c r="I48" i="3"/>
  <c r="H48" i="3"/>
  <c r="G48" i="3"/>
  <c r="E48" i="3"/>
  <c r="I47" i="3"/>
  <c r="H47" i="3"/>
  <c r="G47" i="3"/>
  <c r="E47" i="3"/>
  <c r="U36" i="3"/>
  <c r="T36" i="3"/>
  <c r="M36" i="3"/>
  <c r="L36" i="3"/>
  <c r="K36" i="3"/>
  <c r="G36" i="3"/>
  <c r="E36" i="3"/>
  <c r="E22" i="5" s="1"/>
  <c r="S35" i="3"/>
  <c r="R35" i="3"/>
  <c r="Q35" i="3"/>
  <c r="P35" i="3"/>
  <c r="P168" i="3" s="1"/>
  <c r="O35" i="3"/>
  <c r="N35" i="3"/>
  <c r="G35" i="3"/>
  <c r="E35" i="3"/>
  <c r="E21" i="5" s="1"/>
  <c r="U34" i="3"/>
  <c r="T34" i="3"/>
  <c r="M34" i="3"/>
  <c r="L34" i="3"/>
  <c r="K34" i="3"/>
  <c r="G34" i="3"/>
  <c r="E34" i="3"/>
  <c r="E20" i="5" s="1"/>
  <c r="T32" i="3"/>
  <c r="T35" i="3" s="1"/>
  <c r="S32" i="3"/>
  <c r="R32" i="3"/>
  <c r="Q32" i="3"/>
  <c r="P32" i="3"/>
  <c r="O32" i="3"/>
  <c r="N32" i="3"/>
  <c r="N36" i="3" s="1"/>
  <c r="M32" i="3"/>
  <c r="M35" i="3" s="1"/>
  <c r="L32" i="3"/>
  <c r="L35" i="3" s="1"/>
  <c r="K32" i="3"/>
  <c r="K35" i="3" s="1"/>
  <c r="H32" i="3"/>
  <c r="U28" i="3"/>
  <c r="U32" i="3" s="1"/>
  <c r="U35" i="3" s="1"/>
  <c r="G28" i="3"/>
  <c r="G22" i="4" s="1"/>
  <c r="K17" i="3"/>
  <c r="I7" i="3"/>
  <c r="C4" i="1"/>
  <c r="K16" i="6" l="1"/>
  <c r="K133" i="3"/>
  <c r="P14" i="6"/>
  <c r="P13" i="5"/>
  <c r="P9" i="8"/>
  <c r="P9" i="9"/>
  <c r="K3" i="6"/>
  <c r="K3" i="5"/>
  <c r="K18" i="3"/>
  <c r="N21" i="5"/>
  <c r="N26" i="6"/>
  <c r="N168" i="3"/>
  <c r="M167" i="3"/>
  <c r="M13" i="6" s="1"/>
  <c r="AB60" i="3"/>
  <c r="M26" i="6"/>
  <c r="M21" i="5"/>
  <c r="M168" i="3"/>
  <c r="AC60" i="3"/>
  <c r="AH59" i="3"/>
  <c r="AH13" i="7" s="1"/>
  <c r="R21" i="5"/>
  <c r="R26" i="6"/>
  <c r="Q167" i="3"/>
  <c r="Q13" i="6" s="1"/>
  <c r="R168" i="3"/>
  <c r="S26" i="6"/>
  <c r="S21" i="5"/>
  <c r="R167" i="3"/>
  <c r="R13" i="6" s="1"/>
  <c r="S168" i="3"/>
  <c r="AB61" i="3"/>
  <c r="T26" i="6"/>
  <c r="T21" i="5"/>
  <c r="S167" i="3"/>
  <c r="S13" i="6" s="1"/>
  <c r="T168" i="3"/>
  <c r="V59" i="3"/>
  <c r="V13" i="7" s="1"/>
  <c r="R60" i="3"/>
  <c r="M61" i="3"/>
  <c r="AD62" i="3"/>
  <c r="L167" i="3"/>
  <c r="L13" i="6" s="1"/>
  <c r="G182" i="3"/>
  <c r="G123" i="4" s="1"/>
  <c r="U182" i="3"/>
  <c r="U183" i="3" s="1"/>
  <c r="U27" i="6"/>
  <c r="U22" i="5"/>
  <c r="R61" i="3"/>
  <c r="K27" i="6"/>
  <c r="K22" i="5"/>
  <c r="W59" i="3"/>
  <c r="W13" i="7" s="1"/>
  <c r="S60" i="3"/>
  <c r="N61" i="3"/>
  <c r="M131" i="3"/>
  <c r="L21" i="5"/>
  <c r="L26" i="6"/>
  <c r="L168" i="3"/>
  <c r="AF59" i="3"/>
  <c r="AF13" i="7" s="1"/>
  <c r="AD60" i="3"/>
  <c r="Q26" i="6"/>
  <c r="Q21" i="5"/>
  <c r="P167" i="3"/>
  <c r="P13" i="6" s="1"/>
  <c r="Q168" i="3"/>
  <c r="Y62" i="3"/>
  <c r="T25" i="6"/>
  <c r="T20" i="5"/>
  <c r="AA61" i="3"/>
  <c r="Q36" i="3"/>
  <c r="Q34" i="3"/>
  <c r="U25" i="6"/>
  <c r="U20" i="5"/>
  <c r="L27" i="6"/>
  <c r="L22" i="5"/>
  <c r="X59" i="3"/>
  <c r="X13" i="7" s="1"/>
  <c r="T60" i="3"/>
  <c r="O61" i="3"/>
  <c r="K62" i="3"/>
  <c r="U10" i="9"/>
  <c r="U10" i="8"/>
  <c r="M9" i="9"/>
  <c r="M9" i="8"/>
  <c r="K10" i="6"/>
  <c r="P8" i="9"/>
  <c r="P8" i="8"/>
  <c r="T27" i="6"/>
  <c r="T22" i="5"/>
  <c r="N27" i="6"/>
  <c r="N22" i="5"/>
  <c r="M27" i="6"/>
  <c r="M22" i="5"/>
  <c r="AG62" i="3"/>
  <c r="X62" i="3"/>
  <c r="L62" i="3"/>
  <c r="AH62" i="3"/>
  <c r="V62" i="3"/>
  <c r="AI62" i="3"/>
  <c r="S62" i="3"/>
  <c r="AG61" i="3"/>
  <c r="U61" i="3"/>
  <c r="X60" i="3"/>
  <c r="L60" i="3"/>
  <c r="AA59" i="3"/>
  <c r="AA13" i="7" s="1"/>
  <c r="O59" i="3"/>
  <c r="O13" i="7" s="1"/>
  <c r="R62" i="3"/>
  <c r="AI60" i="3"/>
  <c r="K60" i="3"/>
  <c r="N59" i="3"/>
  <c r="N13" i="7" s="1"/>
  <c r="AE61" i="3"/>
  <c r="Y59" i="3"/>
  <c r="Y13" i="7" s="1"/>
  <c r="AF62" i="3"/>
  <c r="AF61" i="3"/>
  <c r="T61" i="3"/>
  <c r="W60" i="3"/>
  <c r="Z59" i="3"/>
  <c r="Z13" i="7" s="1"/>
  <c r="AH60" i="3"/>
  <c r="AE62" i="3"/>
  <c r="W62" i="3"/>
  <c r="X61" i="3"/>
  <c r="L61" i="3"/>
  <c r="AA60" i="3"/>
  <c r="O60" i="3"/>
  <c r="AD59" i="3"/>
  <c r="AD13" i="7" s="1"/>
  <c r="R59" i="3"/>
  <c r="R13" i="7" s="1"/>
  <c r="U62" i="3"/>
  <c r="AI61" i="3"/>
  <c r="W61" i="3"/>
  <c r="K61" i="3"/>
  <c r="Z60" i="3"/>
  <c r="N60" i="3"/>
  <c r="AC59" i="3"/>
  <c r="AC13" i="7" s="1"/>
  <c r="Q59" i="3"/>
  <c r="Q13" i="7" s="1"/>
  <c r="V60" i="3"/>
  <c r="T62" i="3"/>
  <c r="AH61" i="3"/>
  <c r="V61" i="3"/>
  <c r="Y60" i="3"/>
  <c r="M60" i="3"/>
  <c r="AB59" i="3"/>
  <c r="AB13" i="7" s="1"/>
  <c r="P59" i="3"/>
  <c r="P13" i="7" s="1"/>
  <c r="Q62" i="3"/>
  <c r="S61" i="3"/>
  <c r="M59" i="3"/>
  <c r="M13" i="7" s="1"/>
  <c r="O62" i="3"/>
  <c r="L20" i="5"/>
  <c r="L25" i="6"/>
  <c r="N34" i="3"/>
  <c r="K59" i="3"/>
  <c r="K13" i="7" s="1"/>
  <c r="L59" i="3"/>
  <c r="L13" i="7" s="1"/>
  <c r="M25" i="6"/>
  <c r="M20" i="5"/>
  <c r="O36" i="3"/>
  <c r="O34" i="3"/>
  <c r="AI59" i="3"/>
  <c r="AI13" i="7" s="1"/>
  <c r="K26" i="6"/>
  <c r="K21" i="5"/>
  <c r="K168" i="3"/>
  <c r="K25" i="6"/>
  <c r="K20" i="5"/>
  <c r="N62" i="3"/>
  <c r="AE60" i="3"/>
  <c r="K176" i="3"/>
  <c r="P36" i="3"/>
  <c r="P34" i="3"/>
  <c r="AF60" i="3"/>
  <c r="R36" i="3"/>
  <c r="R34" i="3"/>
  <c r="AC61" i="3"/>
  <c r="K12" i="6"/>
  <c r="K155" i="6" s="1"/>
  <c r="K44" i="5" s="1"/>
  <c r="K12" i="5"/>
  <c r="K183" i="3"/>
  <c r="N183" i="3"/>
  <c r="P183" i="3"/>
  <c r="S183" i="3"/>
  <c r="Q61" i="3"/>
  <c r="O26" i="6"/>
  <c r="O21" i="5"/>
  <c r="N167" i="3"/>
  <c r="N13" i="6" s="1"/>
  <c r="AG59" i="3"/>
  <c r="AG13" i="7" s="1"/>
  <c r="P26" i="6"/>
  <c r="P21" i="5"/>
  <c r="O167" i="3"/>
  <c r="O13" i="6" s="1"/>
  <c r="Y61" i="3"/>
  <c r="Z61" i="3"/>
  <c r="Z62" i="3"/>
  <c r="S59" i="3"/>
  <c r="S13" i="7" s="1"/>
  <c r="AG60" i="3"/>
  <c r="AA62" i="3"/>
  <c r="U26" i="6"/>
  <c r="U21" i="5"/>
  <c r="T167" i="3"/>
  <c r="T13" i="6" s="1"/>
  <c r="U168" i="3"/>
  <c r="T59" i="3"/>
  <c r="T13" i="7" s="1"/>
  <c r="P60" i="3"/>
  <c r="AB62" i="3"/>
  <c r="V28" i="3"/>
  <c r="S36" i="3"/>
  <c r="S34" i="3"/>
  <c r="U59" i="3"/>
  <c r="U13" i="7" s="1"/>
  <c r="Q60" i="3"/>
  <c r="AD61" i="3"/>
  <c r="AC62" i="3"/>
  <c r="K161" i="3"/>
  <c r="K167" i="3"/>
  <c r="K13" i="6" s="1"/>
  <c r="O168" i="3"/>
  <c r="T183" i="3"/>
  <c r="K162" i="3"/>
  <c r="K159" i="3"/>
  <c r="L145" i="3"/>
  <c r="K172" i="3"/>
  <c r="M183" i="3"/>
  <c r="L146" i="3"/>
  <c r="O183" i="3"/>
  <c r="I11" i="10"/>
  <c r="I60" i="10"/>
  <c r="I61" i="10" s="1"/>
  <c r="L24" i="8"/>
  <c r="L33" i="11" s="1"/>
  <c r="L23" i="8"/>
  <c r="I195" i="3"/>
  <c r="I10" i="10" s="1"/>
  <c r="M4" i="8"/>
  <c r="M4" i="9"/>
  <c r="L24" i="9"/>
  <c r="L33" i="12" s="1"/>
  <c r="L22" i="7"/>
  <c r="I59" i="6"/>
  <c r="AC8" i="9" l="1"/>
  <c r="AC8" i="8"/>
  <c r="Q27" i="6"/>
  <c r="Q22" i="5"/>
  <c r="K14" i="6"/>
  <c r="K13" i="5"/>
  <c r="K35" i="5" s="1"/>
  <c r="K169" i="3"/>
  <c r="K15" i="6" s="1"/>
  <c r="O10" i="8"/>
  <c r="O10" i="9"/>
  <c r="AA8" i="9"/>
  <c r="AA8" i="8"/>
  <c r="N130" i="3"/>
  <c r="N131" i="3"/>
  <c r="AB10" i="8"/>
  <c r="AB10" i="9"/>
  <c r="Q10" i="9"/>
  <c r="Q10" i="8"/>
  <c r="P25" i="6"/>
  <c r="P20" i="5"/>
  <c r="K10" i="9"/>
  <c r="K10" i="8"/>
  <c r="O8" i="9"/>
  <c r="O8" i="8"/>
  <c r="N8" i="9"/>
  <c r="N8" i="8"/>
  <c r="O20" i="5"/>
  <c r="O25" i="6"/>
  <c r="W9" i="8"/>
  <c r="W9" i="9"/>
  <c r="S10" i="9"/>
  <c r="S10" i="8"/>
  <c r="Q9" i="8"/>
  <c r="Q9" i="9"/>
  <c r="R9" i="8"/>
  <c r="R9" i="9"/>
  <c r="Q14" i="6"/>
  <c r="Q13" i="5"/>
  <c r="P109" i="6"/>
  <c r="P108" i="6"/>
  <c r="K9" i="6"/>
  <c r="K10" i="5"/>
  <c r="AB9" i="8"/>
  <c r="AB9" i="9"/>
  <c r="Y8" i="8"/>
  <c r="Y8" i="9"/>
  <c r="L47" i="10"/>
  <c r="M10" i="8"/>
  <c r="M10" i="9"/>
  <c r="AI8" i="9"/>
  <c r="AI8" i="8"/>
  <c r="W10" i="9"/>
  <c r="W10" i="8"/>
  <c r="L10" i="8"/>
  <c r="L10" i="9"/>
  <c r="R8" i="8"/>
  <c r="R8" i="9"/>
  <c r="T14" i="6"/>
  <c r="T13" i="5"/>
  <c r="AG8" i="8"/>
  <c r="AG8" i="9"/>
  <c r="V10" i="8"/>
  <c r="V10" i="9"/>
  <c r="AE8" i="8"/>
  <c r="AE8" i="9"/>
  <c r="AF10" i="9"/>
  <c r="AF10" i="8"/>
  <c r="V9" i="8"/>
  <c r="V9" i="9"/>
  <c r="L162" i="3"/>
  <c r="L159" i="3"/>
  <c r="M146" i="3"/>
  <c r="L160" i="3"/>
  <c r="L166" i="3"/>
  <c r="M145" i="3"/>
  <c r="L170" i="3"/>
  <c r="L171" i="3" s="1"/>
  <c r="L172" i="3"/>
  <c r="L163" i="3"/>
  <c r="L164" i="3" s="1"/>
  <c r="AA9" i="8"/>
  <c r="AA9" i="9"/>
  <c r="X8" i="8"/>
  <c r="X8" i="9"/>
  <c r="AH9" i="8"/>
  <c r="AH9" i="9"/>
  <c r="P22" i="5"/>
  <c r="P27" i="6"/>
  <c r="S8" i="8"/>
  <c r="S8" i="9"/>
  <c r="AI10" i="9"/>
  <c r="AI10" i="8"/>
  <c r="Y9" i="9"/>
  <c r="Y9" i="8"/>
  <c r="N14" i="6"/>
  <c r="N13" i="5"/>
  <c r="Z10" i="8"/>
  <c r="Z10" i="9"/>
  <c r="S27" i="6"/>
  <c r="S22" i="5"/>
  <c r="P10" i="8"/>
  <c r="P10" i="9"/>
  <c r="Y10" i="9"/>
  <c r="Y10" i="8"/>
  <c r="U9" i="9"/>
  <c r="U9" i="8"/>
  <c r="T8" i="8"/>
  <c r="T8" i="9"/>
  <c r="X10" i="8"/>
  <c r="X10" i="9"/>
  <c r="AD10" i="8"/>
  <c r="AD10" i="9"/>
  <c r="AA10" i="9"/>
  <c r="AA10" i="8"/>
  <c r="AI9" i="8"/>
  <c r="AI9" i="9"/>
  <c r="AD8" i="8"/>
  <c r="AD8" i="9"/>
  <c r="O9" i="9"/>
  <c r="O9" i="8"/>
  <c r="AG10" i="9"/>
  <c r="AG10" i="8"/>
  <c r="L37" i="10"/>
  <c r="L9" i="8"/>
  <c r="L9" i="9"/>
  <c r="AD9" i="9"/>
  <c r="AD9" i="8"/>
  <c r="R14" i="6"/>
  <c r="R13" i="5"/>
  <c r="M24" i="9"/>
  <c r="M33" i="12" s="1"/>
  <c r="N4" i="9"/>
  <c r="M23" i="9"/>
  <c r="O13" i="5"/>
  <c r="O14" i="6"/>
  <c r="N25" i="6"/>
  <c r="N20" i="5"/>
  <c r="V8" i="8"/>
  <c r="V8" i="9"/>
  <c r="AF8" i="9"/>
  <c r="AF8" i="8"/>
  <c r="U8" i="9"/>
  <c r="U8" i="8"/>
  <c r="Q25" i="6"/>
  <c r="Q20" i="5"/>
  <c r="AC10" i="9"/>
  <c r="AC10" i="8"/>
  <c r="AH8" i="8"/>
  <c r="AH8" i="9"/>
  <c r="L14" i="6"/>
  <c r="L13" i="5"/>
  <c r="M14" i="6"/>
  <c r="M13" i="5"/>
  <c r="AF9" i="8"/>
  <c r="AF9" i="9"/>
  <c r="R25" i="6"/>
  <c r="R20" i="5"/>
  <c r="K8" i="6"/>
  <c r="K9" i="5"/>
  <c r="U14" i="6"/>
  <c r="U13" i="5"/>
  <c r="T9" i="8"/>
  <c r="T9" i="9"/>
  <c r="S9" i="9"/>
  <c r="S9" i="8"/>
  <c r="AB8" i="9"/>
  <c r="AB8" i="8"/>
  <c r="AC9" i="9"/>
  <c r="AC9" i="8"/>
  <c r="R22" i="5"/>
  <c r="R27" i="6"/>
  <c r="S14" i="6"/>
  <c r="S13" i="5"/>
  <c r="L36" i="10"/>
  <c r="L8" i="9"/>
  <c r="L8" i="8"/>
  <c r="K9" i="8"/>
  <c r="K9" i="9"/>
  <c r="Q8" i="8"/>
  <c r="Q8" i="9"/>
  <c r="N10" i="8"/>
  <c r="N10" i="9"/>
  <c r="T10" i="9"/>
  <c r="T10" i="8"/>
  <c r="S25" i="6"/>
  <c r="S20" i="5"/>
  <c r="O22" i="5"/>
  <c r="O27" i="6"/>
  <c r="AE9" i="9"/>
  <c r="AE9" i="8"/>
  <c r="X9" i="9"/>
  <c r="X9" i="8"/>
  <c r="M36" i="10"/>
  <c r="M8" i="9"/>
  <c r="M8" i="8"/>
  <c r="L23" i="7"/>
  <c r="M22" i="7"/>
  <c r="M23" i="8"/>
  <c r="M24" i="8"/>
  <c r="M33" i="11" s="1"/>
  <c r="N4" i="8"/>
  <c r="Z9" i="8"/>
  <c r="Z9" i="9"/>
  <c r="AE10" i="9"/>
  <c r="AE10" i="8"/>
  <c r="K8" i="9"/>
  <c r="K36" i="10"/>
  <c r="K8" i="8"/>
  <c r="AH10" i="9"/>
  <c r="AH10" i="8"/>
  <c r="AG9" i="9"/>
  <c r="AG9" i="8"/>
  <c r="R10" i="8"/>
  <c r="R10" i="9"/>
  <c r="K12" i="10"/>
  <c r="L12" i="10" s="1"/>
  <c r="M12" i="10" s="1"/>
  <c r="M47" i="10" s="1"/>
  <c r="V32" i="3"/>
  <c r="V182" i="3"/>
  <c r="V183" i="3" s="1"/>
  <c r="W28" i="3"/>
  <c r="Z8" i="9"/>
  <c r="Z8" i="8"/>
  <c r="N9" i="9"/>
  <c r="N9" i="8"/>
  <c r="W8" i="9"/>
  <c r="W8" i="8"/>
  <c r="K4" i="6"/>
  <c r="K4" i="5"/>
  <c r="K177" i="3"/>
  <c r="L18" i="3"/>
  <c r="L17" i="3"/>
  <c r="L16" i="6" l="1"/>
  <c r="L133" i="3"/>
  <c r="O130" i="3"/>
  <c r="O131" i="3"/>
  <c r="M18" i="3"/>
  <c r="M17" i="3"/>
  <c r="N145" i="3"/>
  <c r="M162" i="3"/>
  <c r="M160" i="3"/>
  <c r="N146" i="3"/>
  <c r="M170" i="3"/>
  <c r="M171" i="3" s="1"/>
  <c r="M163" i="3"/>
  <c r="M164" i="3" s="1"/>
  <c r="M10" i="6" s="1"/>
  <c r="M159" i="3"/>
  <c r="M166" i="3"/>
  <c r="T109" i="6"/>
  <c r="T108" i="6"/>
  <c r="K109" i="6"/>
  <c r="K108" i="6"/>
  <c r="L177" i="3"/>
  <c r="L176" i="3"/>
  <c r="N109" i="6"/>
  <c r="N108" i="6"/>
  <c r="L109" i="6"/>
  <c r="L108" i="6"/>
  <c r="L10" i="6"/>
  <c r="M38" i="10"/>
  <c r="W182" i="3"/>
  <c r="W183" i="3" s="1"/>
  <c r="W32" i="3"/>
  <c r="X28" i="3"/>
  <c r="L3" i="5"/>
  <c r="L4" i="5"/>
  <c r="M23" i="7"/>
  <c r="N22" i="7"/>
  <c r="N24" i="9"/>
  <c r="N33" i="12" s="1"/>
  <c r="N23" i="9"/>
  <c r="O4" i="9"/>
  <c r="L9" i="6"/>
  <c r="L10" i="5"/>
  <c r="L4" i="6"/>
  <c r="L3" i="6"/>
  <c r="L38" i="10"/>
  <c r="M108" i="6"/>
  <c r="M109" i="6"/>
  <c r="U108" i="6"/>
  <c r="U109" i="6"/>
  <c r="K60" i="6"/>
  <c r="K64" i="6" s="1"/>
  <c r="K99" i="6"/>
  <c r="K96" i="6"/>
  <c r="K95" i="6"/>
  <c r="K98" i="6"/>
  <c r="K111" i="6" s="1"/>
  <c r="K94" i="6"/>
  <c r="K97" i="6"/>
  <c r="K28" i="6"/>
  <c r="K23" i="5" s="1"/>
  <c r="K24" i="5" s="1"/>
  <c r="V35" i="3"/>
  <c r="V34" i="3"/>
  <c r="V36" i="3"/>
  <c r="O109" i="6"/>
  <c r="O108" i="6"/>
  <c r="R109" i="6"/>
  <c r="R108" i="6"/>
  <c r="L12" i="6"/>
  <c r="L155" i="6" s="1"/>
  <c r="L44" i="5" s="1"/>
  <c r="L12" i="5"/>
  <c r="Q109" i="6"/>
  <c r="Q108" i="6"/>
  <c r="L169" i="3"/>
  <c r="L15" i="6" s="1"/>
  <c r="S108" i="6"/>
  <c r="S109" i="6"/>
  <c r="N12" i="10"/>
  <c r="M37" i="10"/>
  <c r="O4" i="8"/>
  <c r="N24" i="8"/>
  <c r="N33" i="11" s="1"/>
  <c r="N23" i="8"/>
  <c r="K37" i="10"/>
  <c r="K38" i="10" s="1"/>
  <c r="K47" i="10"/>
  <c r="L8" i="5"/>
  <c r="L161" i="3"/>
  <c r="K41" i="5"/>
  <c r="K36" i="5"/>
  <c r="L32" i="5" s="1"/>
  <c r="L34" i="5" s="1"/>
  <c r="K16" i="10" l="1"/>
  <c r="M16" i="6"/>
  <c r="M133" i="3"/>
  <c r="W35" i="3"/>
  <c r="W34" i="3"/>
  <c r="W36" i="3"/>
  <c r="M16" i="10"/>
  <c r="M172" i="3"/>
  <c r="M4" i="6"/>
  <c r="M3" i="6"/>
  <c r="P130" i="3"/>
  <c r="P131" i="3"/>
  <c r="K110" i="6"/>
  <c r="K112" i="6"/>
  <c r="M177" i="3"/>
  <c r="M176" i="3"/>
  <c r="M12" i="6"/>
  <c r="M155" i="6" s="1"/>
  <c r="M44" i="5" s="1"/>
  <c r="M12" i="5"/>
  <c r="M169" i="3"/>
  <c r="M15" i="6" s="1"/>
  <c r="N17" i="3"/>
  <c r="N18" i="3"/>
  <c r="L8" i="6"/>
  <c r="L9" i="5"/>
  <c r="K113" i="6"/>
  <c r="O12" i="10"/>
  <c r="N47" i="10"/>
  <c r="N37" i="10"/>
  <c r="N36" i="10"/>
  <c r="N38" i="10" s="1"/>
  <c r="M8" i="5"/>
  <c r="M161" i="3"/>
  <c r="V22" i="5"/>
  <c r="V27" i="6"/>
  <c r="N23" i="7"/>
  <c r="O22" i="7"/>
  <c r="L60" i="6"/>
  <c r="L64" i="6" s="1"/>
  <c r="L96" i="6"/>
  <c r="L98" i="6"/>
  <c r="L111" i="6" s="1"/>
  <c r="L95" i="6"/>
  <c r="L94" i="6"/>
  <c r="L97" i="6"/>
  <c r="L99" i="6"/>
  <c r="V25" i="6"/>
  <c r="V20" i="5"/>
  <c r="O23" i="9"/>
  <c r="O24" i="9"/>
  <c r="O33" i="12" s="1"/>
  <c r="P4" i="9"/>
  <c r="V26" i="6"/>
  <c r="V21" i="5"/>
  <c r="V168" i="3"/>
  <c r="U167" i="3"/>
  <c r="U13" i="6" s="1"/>
  <c r="Y28" i="3"/>
  <c r="X32" i="3"/>
  <c r="X182" i="3"/>
  <c r="X183" i="3" s="1"/>
  <c r="N170" i="3"/>
  <c r="N171" i="3" s="1"/>
  <c r="N162" i="3"/>
  <c r="N159" i="3"/>
  <c r="N163" i="3"/>
  <c r="N164" i="3" s="1"/>
  <c r="N166" i="3"/>
  <c r="N169" i="3" s="1"/>
  <c r="N15" i="6" s="1"/>
  <c r="O146" i="3"/>
  <c r="N160" i="3"/>
  <c r="N172" i="3"/>
  <c r="O145" i="3"/>
  <c r="K114" i="6"/>
  <c r="K45" i="5" s="1"/>
  <c r="K46" i="5" s="1"/>
  <c r="M9" i="6"/>
  <c r="M10" i="5"/>
  <c r="L35" i="5"/>
  <c r="L41" i="5" s="1"/>
  <c r="L36" i="5"/>
  <c r="M32" i="5" s="1"/>
  <c r="M34" i="5" s="1"/>
  <c r="P4" i="8"/>
  <c r="O24" i="8"/>
  <c r="O33" i="11" s="1"/>
  <c r="O23" i="8"/>
  <c r="L16" i="10"/>
  <c r="M3" i="5"/>
  <c r="M4" i="5"/>
  <c r="K47" i="5" l="1"/>
  <c r="K48" i="5" s="1"/>
  <c r="L40" i="5" s="1"/>
  <c r="N60" i="6"/>
  <c r="N64" i="6" s="1"/>
  <c r="N99" i="6"/>
  <c r="N96" i="6"/>
  <c r="N97" i="6"/>
  <c r="N94" i="6"/>
  <c r="N98" i="6"/>
  <c r="N111" i="6" s="1"/>
  <c r="N95" i="6"/>
  <c r="K53" i="5"/>
  <c r="K56" i="5" s="1"/>
  <c r="P23" i="8"/>
  <c r="Q4" i="8"/>
  <c r="P24" i="8"/>
  <c r="P33" i="11" s="1"/>
  <c r="V13" i="5"/>
  <c r="V14" i="6"/>
  <c r="N9" i="6"/>
  <c r="N10" i="5"/>
  <c r="N16" i="10"/>
  <c r="N4" i="6"/>
  <c r="N3" i="6"/>
  <c r="O23" i="7"/>
  <c r="P22" i="7"/>
  <c r="M36" i="5"/>
  <c r="N32" i="5" s="1"/>
  <c r="N34" i="5" s="1"/>
  <c r="M35" i="5"/>
  <c r="M41" i="5" s="1"/>
  <c r="W26" i="6"/>
  <c r="W21" i="5"/>
  <c r="W168" i="3"/>
  <c r="V167" i="3"/>
  <c r="V13" i="6" s="1"/>
  <c r="O170" i="3"/>
  <c r="O171" i="3" s="1"/>
  <c r="O166" i="3"/>
  <c r="O163" i="3"/>
  <c r="O164" i="3" s="1"/>
  <c r="P146" i="3"/>
  <c r="O159" i="3"/>
  <c r="P145" i="3"/>
  <c r="O160" i="3"/>
  <c r="O162" i="3"/>
  <c r="N16" i="6"/>
  <c r="N133" i="3"/>
  <c r="M60" i="6"/>
  <c r="M64" i="6" s="1"/>
  <c r="M97" i="6"/>
  <c r="M96" i="6"/>
  <c r="M98" i="6"/>
  <c r="M111" i="6" s="1"/>
  <c r="M95" i="6"/>
  <c r="M113" i="6" s="1"/>
  <c r="M94" i="6"/>
  <c r="M99" i="6"/>
  <c r="N8" i="5"/>
  <c r="N161" i="3"/>
  <c r="M8" i="6"/>
  <c r="M9" i="5"/>
  <c r="W27" i="6"/>
  <c r="W22" i="5"/>
  <c r="W25" i="6"/>
  <c r="W20" i="5"/>
  <c r="N12" i="6"/>
  <c r="N155" i="6" s="1"/>
  <c r="N44" i="5" s="1"/>
  <c r="N12" i="5"/>
  <c r="Q4" i="9"/>
  <c r="P24" i="9"/>
  <c r="P33" i="12" s="1"/>
  <c r="P23" i="9"/>
  <c r="X35" i="3"/>
  <c r="X36" i="3"/>
  <c r="X34" i="3"/>
  <c r="P12" i="10"/>
  <c r="O47" i="10"/>
  <c r="O36" i="10"/>
  <c r="O37" i="10"/>
  <c r="Y182" i="3"/>
  <c r="Y183" i="3" s="1"/>
  <c r="Z28" i="3"/>
  <c r="Y32" i="3"/>
  <c r="Q130" i="3"/>
  <c r="Q131" i="3"/>
  <c r="N10" i="6"/>
  <c r="N3" i="5"/>
  <c r="N4" i="5"/>
  <c r="L113" i="6"/>
  <c r="O17" i="3"/>
  <c r="O18" i="3"/>
  <c r="N176" i="3"/>
  <c r="N177" i="3"/>
  <c r="Z182" i="3" l="1"/>
  <c r="Z183" i="3" s="1"/>
  <c r="AA28" i="3"/>
  <c r="Z32" i="3"/>
  <c r="O12" i="6"/>
  <c r="O155" i="6" s="1"/>
  <c r="O44" i="5" s="1"/>
  <c r="O12" i="5"/>
  <c r="O169" i="3"/>
  <c r="O15" i="6" s="1"/>
  <c r="N9" i="5"/>
  <c r="N8" i="6"/>
  <c r="P17" i="3"/>
  <c r="P18" i="3"/>
  <c r="X27" i="6"/>
  <c r="X22" i="5"/>
  <c r="O161" i="3"/>
  <c r="O8" i="5"/>
  <c r="N113" i="6"/>
  <c r="N36" i="5"/>
  <c r="O32" i="5" s="1"/>
  <c r="O34" i="5" s="1"/>
  <c r="N35" i="5"/>
  <c r="N41" i="5" s="1"/>
  <c r="Y35" i="3"/>
  <c r="Y36" i="3"/>
  <c r="Y34" i="3"/>
  <c r="O16" i="6"/>
  <c r="O133" i="3"/>
  <c r="R4" i="9"/>
  <c r="Q24" i="9"/>
  <c r="Q33" i="12" s="1"/>
  <c r="Q23" i="9"/>
  <c r="Q24" i="8"/>
  <c r="Q33" i="11" s="1"/>
  <c r="R4" i="8"/>
  <c r="Q23" i="8"/>
  <c r="X26" i="6"/>
  <c r="X21" i="5"/>
  <c r="X168" i="3"/>
  <c r="W167" i="3"/>
  <c r="W13" i="6" s="1"/>
  <c r="O172" i="3"/>
  <c r="O10" i="6"/>
  <c r="P23" i="7"/>
  <c r="Q22" i="7"/>
  <c r="V108" i="6"/>
  <c r="V109" i="6"/>
  <c r="O4" i="5"/>
  <c r="O3" i="5"/>
  <c r="O4" i="6"/>
  <c r="O3" i="6"/>
  <c r="W14" i="6"/>
  <c r="W13" i="5"/>
  <c r="P170" i="3"/>
  <c r="P171" i="3" s="1"/>
  <c r="P166" i="3"/>
  <c r="P163" i="3"/>
  <c r="P164" i="3" s="1"/>
  <c r="P159" i="3"/>
  <c r="Q145" i="3"/>
  <c r="P162" i="3"/>
  <c r="P160" i="3"/>
  <c r="Q146" i="3"/>
  <c r="O38" i="10"/>
  <c r="O176" i="3"/>
  <c r="O177" i="3"/>
  <c r="R130" i="3"/>
  <c r="R131" i="3"/>
  <c r="Q12" i="10"/>
  <c r="P36" i="10"/>
  <c r="P38" i="10" s="1"/>
  <c r="P37" i="10"/>
  <c r="P47" i="10"/>
  <c r="X25" i="6"/>
  <c r="X20" i="5"/>
  <c r="O10" i="5"/>
  <c r="O9" i="6"/>
  <c r="P16" i="6" l="1"/>
  <c r="P133" i="3"/>
  <c r="O35" i="5"/>
  <c r="O41" i="5" s="1"/>
  <c r="S4" i="8"/>
  <c r="R23" i="8"/>
  <c r="R24" i="8"/>
  <c r="R33" i="11" s="1"/>
  <c r="S131" i="3"/>
  <c r="S130" i="3"/>
  <c r="Z36" i="3"/>
  <c r="Z34" i="3"/>
  <c r="Z35" i="3"/>
  <c r="P4" i="6"/>
  <c r="P3" i="6"/>
  <c r="P8" i="5"/>
  <c r="P161" i="3"/>
  <c r="P10" i="6"/>
  <c r="O9" i="5"/>
  <c r="O8" i="6"/>
  <c r="O60" i="6"/>
  <c r="O64" i="6" s="1"/>
  <c r="O98" i="6"/>
  <c r="O111" i="6" s="1"/>
  <c r="O95" i="6"/>
  <c r="O96" i="6"/>
  <c r="O97" i="6"/>
  <c r="O94" i="6"/>
  <c r="O99" i="6"/>
  <c r="P176" i="3"/>
  <c r="P177" i="3"/>
  <c r="Q170" i="3"/>
  <c r="Q171" i="3" s="1"/>
  <c r="Q159" i="3"/>
  <c r="R145" i="3"/>
  <c r="Q166" i="3"/>
  <c r="Q163" i="3"/>
  <c r="Q164" i="3" s="1"/>
  <c r="Q160" i="3"/>
  <c r="Q162" i="3"/>
  <c r="R146" i="3"/>
  <c r="Q172" i="3"/>
  <c r="P16" i="10"/>
  <c r="R12" i="10"/>
  <c r="Q47" i="10"/>
  <c r="Q37" i="10"/>
  <c r="Q36" i="10"/>
  <c r="P12" i="6"/>
  <c r="P155" i="6" s="1"/>
  <c r="P44" i="5" s="1"/>
  <c r="P12" i="5"/>
  <c r="P169" i="3"/>
  <c r="P15" i="6" s="1"/>
  <c r="Q23" i="7"/>
  <c r="R22" i="7"/>
  <c r="R23" i="9"/>
  <c r="R24" i="9"/>
  <c r="R33" i="12" s="1"/>
  <c r="S4" i="9"/>
  <c r="X14" i="6"/>
  <c r="X13" i="5"/>
  <c r="Q17" i="3"/>
  <c r="Q18" i="3"/>
  <c r="AA182" i="3"/>
  <c r="AA183" i="3" s="1"/>
  <c r="AB28" i="3"/>
  <c r="AA32" i="3"/>
  <c r="Y27" i="6"/>
  <c r="Y22" i="5"/>
  <c r="O16" i="10"/>
  <c r="P9" i="6"/>
  <c r="P10" i="5"/>
  <c r="Y25" i="6"/>
  <c r="Y20" i="5"/>
  <c r="W108" i="6"/>
  <c r="W109" i="6"/>
  <c r="P172" i="3"/>
  <c r="P4" i="5"/>
  <c r="P3" i="5"/>
  <c r="Y26" i="6"/>
  <c r="Y21" i="5"/>
  <c r="Y168" i="3"/>
  <c r="X167" i="3"/>
  <c r="X13" i="6" s="1"/>
  <c r="R169" i="3" l="1"/>
  <c r="R15" i="6" s="1"/>
  <c r="S23" i="8"/>
  <c r="T4" i="8"/>
  <c r="S24" i="8"/>
  <c r="S33" i="11" s="1"/>
  <c r="R23" i="7"/>
  <c r="S22" i="7"/>
  <c r="AB182" i="3"/>
  <c r="AB183" i="3" s="1"/>
  <c r="AC28" i="3"/>
  <c r="AB32" i="3"/>
  <c r="Q16" i="6"/>
  <c r="Q133" i="3"/>
  <c r="Z21" i="5"/>
  <c r="Z26" i="6"/>
  <c r="Z168" i="3"/>
  <c r="Y167" i="3"/>
  <c r="Y13" i="6" s="1"/>
  <c r="Q4" i="5"/>
  <c r="Q3" i="5"/>
  <c r="Q9" i="6"/>
  <c r="Q10" i="5"/>
  <c r="Y14" i="6"/>
  <c r="Y13" i="5"/>
  <c r="Q176" i="3"/>
  <c r="Q177" i="3"/>
  <c r="R18" i="3"/>
  <c r="R17" i="3"/>
  <c r="Q38" i="10"/>
  <c r="Q4" i="6"/>
  <c r="Q3" i="6"/>
  <c r="S12" i="10"/>
  <c r="R37" i="10"/>
  <c r="R36" i="10"/>
  <c r="R47" i="10"/>
  <c r="S146" i="3"/>
  <c r="R172" i="3"/>
  <c r="R166" i="3"/>
  <c r="R170" i="3"/>
  <c r="R171" i="3" s="1"/>
  <c r="S145" i="3"/>
  <c r="R163" i="3"/>
  <c r="R164" i="3" s="1"/>
  <c r="R10" i="6" s="1"/>
  <c r="R159" i="3"/>
  <c r="R160" i="3"/>
  <c r="R162" i="3"/>
  <c r="Z27" i="6"/>
  <c r="Z22" i="5"/>
  <c r="O36" i="5"/>
  <c r="P32" i="5" s="1"/>
  <c r="P34" i="5" s="1"/>
  <c r="Z25" i="6"/>
  <c r="Z20" i="5"/>
  <c r="Q10" i="6"/>
  <c r="X108" i="6"/>
  <c r="X109" i="6"/>
  <c r="Q8" i="5"/>
  <c r="Q161" i="3"/>
  <c r="Q12" i="6"/>
  <c r="Q155" i="6" s="1"/>
  <c r="Q44" i="5" s="1"/>
  <c r="Q12" i="5"/>
  <c r="P9" i="5"/>
  <c r="P8" i="6"/>
  <c r="T131" i="3"/>
  <c r="T130" i="3"/>
  <c r="O113" i="6"/>
  <c r="S24" i="9"/>
  <c r="S33" i="12" s="1"/>
  <c r="S23" i="9"/>
  <c r="T4" i="9"/>
  <c r="P60" i="6"/>
  <c r="P64" i="6" s="1"/>
  <c r="P98" i="6"/>
  <c r="P111" i="6" s="1"/>
  <c r="P97" i="6"/>
  <c r="P99" i="6"/>
  <c r="P96" i="6"/>
  <c r="P94" i="6"/>
  <c r="P95" i="6"/>
  <c r="P113" i="6" s="1"/>
  <c r="Q169" i="3"/>
  <c r="Q15" i="6" s="1"/>
  <c r="AA36" i="3"/>
  <c r="AA34" i="3"/>
  <c r="AA35" i="3"/>
  <c r="R16" i="6" l="1"/>
  <c r="R133" i="3"/>
  <c r="AA26" i="6"/>
  <c r="Z167" i="3"/>
  <c r="Z13" i="6" s="1"/>
  <c r="AA21" i="5"/>
  <c r="AA168" i="3"/>
  <c r="R12" i="5"/>
  <c r="R12" i="6"/>
  <c r="R155" i="6" s="1"/>
  <c r="R44" i="5" s="1"/>
  <c r="R4" i="6"/>
  <c r="R3" i="6"/>
  <c r="U4" i="9"/>
  <c r="T23" i="9"/>
  <c r="T24" i="9"/>
  <c r="T33" i="12" s="1"/>
  <c r="AA20" i="5"/>
  <c r="AA25" i="6"/>
  <c r="U4" i="8"/>
  <c r="T23" i="8"/>
  <c r="T24" i="8"/>
  <c r="T33" i="11" s="1"/>
  <c r="R38" i="10"/>
  <c r="S172" i="3"/>
  <c r="S166" i="3"/>
  <c r="S163" i="3"/>
  <c r="S164" i="3" s="1"/>
  <c r="S160" i="3"/>
  <c r="T146" i="3"/>
  <c r="T145" i="3"/>
  <c r="S159" i="3"/>
  <c r="S162" i="3"/>
  <c r="S170" i="3"/>
  <c r="S171" i="3" s="1"/>
  <c r="Q16" i="10"/>
  <c r="R9" i="6"/>
  <c r="R10" i="5"/>
  <c r="Q8" i="6"/>
  <c r="Q9" i="5"/>
  <c r="R8" i="5"/>
  <c r="R161" i="3"/>
  <c r="S18" i="3"/>
  <c r="S17" i="3"/>
  <c r="Y109" i="6"/>
  <c r="Y108" i="6"/>
  <c r="R4" i="5"/>
  <c r="R3" i="5"/>
  <c r="AB36" i="3"/>
  <c r="AB34" i="3"/>
  <c r="AB35" i="3"/>
  <c r="Q60" i="6"/>
  <c r="Q64" i="6" s="1"/>
  <c r="Q98" i="6"/>
  <c r="Q111" i="6" s="1"/>
  <c r="Q94" i="6"/>
  <c r="Q97" i="6"/>
  <c r="Q99" i="6"/>
  <c r="Q96" i="6"/>
  <c r="Q95" i="6"/>
  <c r="Q113" i="6" s="1"/>
  <c r="T12" i="10"/>
  <c r="S47" i="10"/>
  <c r="S36" i="10"/>
  <c r="S38" i="10" s="1"/>
  <c r="S37" i="10"/>
  <c r="R60" i="6"/>
  <c r="R64" i="6" s="1"/>
  <c r="R98" i="6"/>
  <c r="R111" i="6" s="1"/>
  <c r="R95" i="6"/>
  <c r="R94" i="6"/>
  <c r="R99" i="6"/>
  <c r="R96" i="6"/>
  <c r="R97" i="6"/>
  <c r="R176" i="3"/>
  <c r="R177" i="3"/>
  <c r="T22" i="7"/>
  <c r="S23" i="7"/>
  <c r="AA27" i="6"/>
  <c r="AA22" i="5"/>
  <c r="P35" i="5"/>
  <c r="P41" i="5" s="1"/>
  <c r="AC182" i="3"/>
  <c r="AC183" i="3" s="1"/>
  <c r="AD28" i="3"/>
  <c r="AC32" i="3"/>
  <c r="U131" i="3"/>
  <c r="U130" i="3"/>
  <c r="Z14" i="6"/>
  <c r="Z13" i="5"/>
  <c r="S8" i="5" l="1"/>
  <c r="S161" i="3"/>
  <c r="U12" i="10"/>
  <c r="T47" i="10"/>
  <c r="T36" i="10"/>
  <c r="T37" i="10"/>
  <c r="S16" i="10"/>
  <c r="AB26" i="6"/>
  <c r="AB21" i="5"/>
  <c r="AA167" i="3"/>
  <c r="AA13" i="6" s="1"/>
  <c r="AB168" i="3"/>
  <c r="S10" i="6"/>
  <c r="V4" i="9"/>
  <c r="U23" i="9"/>
  <c r="U24" i="9"/>
  <c r="U33" i="12" s="1"/>
  <c r="AB27" i="6"/>
  <c r="AB22" i="5"/>
  <c r="R16" i="10"/>
  <c r="V131" i="3"/>
  <c r="V130" i="3"/>
  <c r="P36" i="5"/>
  <c r="Q32" i="5" s="1"/>
  <c r="Q34" i="5" s="1"/>
  <c r="S177" i="3"/>
  <c r="S176" i="3"/>
  <c r="AB25" i="6"/>
  <c r="AB20" i="5"/>
  <c r="S12" i="5"/>
  <c r="S12" i="6"/>
  <c r="S155" i="6" s="1"/>
  <c r="S44" i="5" s="1"/>
  <c r="S169" i="3"/>
  <c r="S15" i="6" s="1"/>
  <c r="AA13" i="5"/>
  <c r="AA14" i="6"/>
  <c r="S4" i="5"/>
  <c r="S3" i="5"/>
  <c r="AD32" i="3"/>
  <c r="AD182" i="3"/>
  <c r="AD183" i="3" s="1"/>
  <c r="AE28" i="3"/>
  <c r="S16" i="6"/>
  <c r="S133" i="3"/>
  <c r="Z109" i="6"/>
  <c r="Z108" i="6"/>
  <c r="S9" i="6"/>
  <c r="S10" i="5"/>
  <c r="R8" i="6"/>
  <c r="R9" i="5"/>
  <c r="V4" i="8"/>
  <c r="U23" i="8"/>
  <c r="U24" i="8"/>
  <c r="U33" i="11" s="1"/>
  <c r="AC36" i="3"/>
  <c r="AC34" i="3"/>
  <c r="AC35" i="3"/>
  <c r="R113" i="6"/>
  <c r="T18" i="3"/>
  <c r="T17" i="3"/>
  <c r="U22" i="7"/>
  <c r="T23" i="7"/>
  <c r="T172" i="3"/>
  <c r="T166" i="3"/>
  <c r="T163" i="3"/>
  <c r="T164" i="3" s="1"/>
  <c r="T160" i="3"/>
  <c r="T170" i="3"/>
  <c r="T171" i="3" s="1"/>
  <c r="T159" i="3"/>
  <c r="U145" i="3"/>
  <c r="T162" i="3"/>
  <c r="U146" i="3"/>
  <c r="S3" i="6"/>
  <c r="S4" i="6"/>
  <c r="S60" i="6" l="1"/>
  <c r="S64" i="6" s="1"/>
  <c r="S97" i="6"/>
  <c r="S94" i="6"/>
  <c r="S99" i="6"/>
  <c r="S98" i="6"/>
  <c r="S111" i="6" s="1"/>
  <c r="S96" i="6"/>
  <c r="S95" i="6"/>
  <c r="S113" i="6" s="1"/>
  <c r="W130" i="3"/>
  <c r="W131" i="3"/>
  <c r="AC27" i="6"/>
  <c r="AC22" i="5"/>
  <c r="T16" i="6"/>
  <c r="T133" i="3"/>
  <c r="AE182" i="3"/>
  <c r="AE183" i="3" s="1"/>
  <c r="AF28" i="3"/>
  <c r="AE32" i="3"/>
  <c r="AA109" i="6"/>
  <c r="AA108" i="6"/>
  <c r="T12" i="6"/>
  <c r="T155" i="6" s="1"/>
  <c r="T44" i="5" s="1"/>
  <c r="T12" i="5"/>
  <c r="T169" i="3"/>
  <c r="T15" i="6" s="1"/>
  <c r="T8" i="5"/>
  <c r="T161" i="3"/>
  <c r="T10" i="6"/>
  <c r="AC26" i="6"/>
  <c r="AC21" i="5"/>
  <c r="AB167" i="3"/>
  <c r="AB13" i="6" s="1"/>
  <c r="AC168" i="3"/>
  <c r="AC20" i="5"/>
  <c r="AC25" i="6"/>
  <c r="AD36" i="3"/>
  <c r="AD34" i="3"/>
  <c r="AD35" i="3"/>
  <c r="T38" i="10"/>
  <c r="T4" i="5"/>
  <c r="T3" i="5"/>
  <c r="T3" i="6"/>
  <c r="T4" i="6"/>
  <c r="V12" i="10"/>
  <c r="U37" i="10"/>
  <c r="U47" i="10"/>
  <c r="U36" i="10"/>
  <c r="U38" i="10" s="1"/>
  <c r="V22" i="7"/>
  <c r="U23" i="7"/>
  <c r="V23" i="9"/>
  <c r="W4" i="9"/>
  <c r="V24" i="9"/>
  <c r="V33" i="12" s="1"/>
  <c r="AB14" i="6"/>
  <c r="AB13" i="5"/>
  <c r="S9" i="5"/>
  <c r="S8" i="6"/>
  <c r="T176" i="3"/>
  <c r="T177" i="3"/>
  <c r="V146" i="3"/>
  <c r="U172" i="3"/>
  <c r="U166" i="3"/>
  <c r="U170" i="3"/>
  <c r="U171" i="3" s="1"/>
  <c r="U163" i="3"/>
  <c r="U164" i="3" s="1"/>
  <c r="U10" i="6" s="1"/>
  <c r="V145" i="3"/>
  <c r="U162" i="3"/>
  <c r="U160" i="3"/>
  <c r="U159" i="3"/>
  <c r="V24" i="8"/>
  <c r="V33" i="11" s="1"/>
  <c r="V23" i="8"/>
  <c r="W4" i="8"/>
  <c r="T9" i="6"/>
  <c r="T10" i="5"/>
  <c r="Q35" i="5"/>
  <c r="Q41" i="5" s="1"/>
  <c r="U18" i="3"/>
  <c r="U17" i="3"/>
  <c r="U16" i="6" l="1"/>
  <c r="U133" i="3"/>
  <c r="T16" i="10"/>
  <c r="V18" i="3"/>
  <c r="V17" i="3"/>
  <c r="U12" i="6"/>
  <c r="U155" i="6" s="1"/>
  <c r="U44" i="5" s="1"/>
  <c r="U12" i="5"/>
  <c r="U169" i="3"/>
  <c r="U15" i="6" s="1"/>
  <c r="AC14" i="6"/>
  <c r="AC13" i="5"/>
  <c r="X130" i="3"/>
  <c r="X131" i="3"/>
  <c r="AD26" i="6"/>
  <c r="AD21" i="5"/>
  <c r="AC167" i="3"/>
  <c r="AC13" i="6" s="1"/>
  <c r="AD168" i="3"/>
  <c r="AB109" i="6"/>
  <c r="AB108" i="6"/>
  <c r="AD20" i="5"/>
  <c r="AD25" i="6"/>
  <c r="U3" i="6"/>
  <c r="U4" i="6"/>
  <c r="AD27" i="6"/>
  <c r="AD22" i="5"/>
  <c r="AE36" i="3"/>
  <c r="AE34" i="3"/>
  <c r="AE35" i="3"/>
  <c r="V23" i="7"/>
  <c r="W22" i="7"/>
  <c r="AF182" i="3"/>
  <c r="AF183" i="3" s="1"/>
  <c r="AF32" i="3"/>
  <c r="AG28" i="3"/>
  <c r="U8" i="5"/>
  <c r="U161" i="3"/>
  <c r="U16" i="10"/>
  <c r="T9" i="5"/>
  <c r="T8" i="6"/>
  <c r="W24" i="8"/>
  <c r="W33" i="11" s="1"/>
  <c r="X4" i="8"/>
  <c r="W23" i="8"/>
  <c r="U9" i="6"/>
  <c r="U10" i="5"/>
  <c r="W23" i="9"/>
  <c r="X4" i="9"/>
  <c r="W24" i="9"/>
  <c r="W33" i="12" s="1"/>
  <c r="W145" i="3"/>
  <c r="V172" i="3"/>
  <c r="V166" i="3"/>
  <c r="V163" i="3"/>
  <c r="V164" i="3" s="1"/>
  <c r="V160" i="3"/>
  <c r="V170" i="3"/>
  <c r="V171" i="3" s="1"/>
  <c r="V162" i="3"/>
  <c r="V159" i="3"/>
  <c r="W146" i="3"/>
  <c r="Q36" i="5"/>
  <c r="R32" i="5" s="1"/>
  <c r="R34" i="5" s="1"/>
  <c r="U177" i="3"/>
  <c r="U176" i="3"/>
  <c r="W12" i="10"/>
  <c r="V37" i="10"/>
  <c r="V36" i="10"/>
  <c r="V38" i="10" s="1"/>
  <c r="V47" i="10"/>
  <c r="U4" i="5"/>
  <c r="U3" i="5"/>
  <c r="T60" i="6"/>
  <c r="T64" i="6" s="1"/>
  <c r="T99" i="6"/>
  <c r="T98" i="6"/>
  <c r="T111" i="6" s="1"/>
  <c r="T94" i="6"/>
  <c r="T96" i="6"/>
  <c r="T97" i="6"/>
  <c r="T95" i="6"/>
  <c r="V177" i="3" l="1"/>
  <c r="V176" i="3"/>
  <c r="V10" i="5"/>
  <c r="V9" i="6"/>
  <c r="AE25" i="6"/>
  <c r="AE20" i="5"/>
  <c r="AC109" i="6"/>
  <c r="AC108" i="6"/>
  <c r="V4" i="5"/>
  <c r="V3" i="5"/>
  <c r="V16" i="6"/>
  <c r="V133" i="3"/>
  <c r="AE22" i="5"/>
  <c r="AE27" i="6"/>
  <c r="AD14" i="6"/>
  <c r="AD13" i="5"/>
  <c r="U60" i="6"/>
  <c r="U64" i="6" s="1"/>
  <c r="U95" i="6"/>
  <c r="U98" i="6"/>
  <c r="U111" i="6" s="1"/>
  <c r="U94" i="6"/>
  <c r="U99" i="6"/>
  <c r="U97" i="6"/>
  <c r="U96" i="6"/>
  <c r="V8" i="5"/>
  <c r="V161" i="3"/>
  <c r="X24" i="8"/>
  <c r="X33" i="11" s="1"/>
  <c r="X23" i="8"/>
  <c r="Y4" i="8"/>
  <c r="AG182" i="3"/>
  <c r="AG183" i="3" s="1"/>
  <c r="AG32" i="3"/>
  <c r="AH28" i="3"/>
  <c r="V10" i="6"/>
  <c r="AF35" i="3"/>
  <c r="AF36" i="3"/>
  <c r="AF34" i="3"/>
  <c r="Y4" i="9"/>
  <c r="X23" i="9"/>
  <c r="X24" i="9"/>
  <c r="X33" i="12" s="1"/>
  <c r="V3" i="6"/>
  <c r="V4" i="6"/>
  <c r="W18" i="3"/>
  <c r="W17" i="3"/>
  <c r="V12" i="6"/>
  <c r="V155" i="6" s="1"/>
  <c r="V44" i="5" s="1"/>
  <c r="V12" i="5"/>
  <c r="V169" i="3"/>
  <c r="V15" i="6" s="1"/>
  <c r="V16" i="10"/>
  <c r="T113" i="6"/>
  <c r="W23" i="7"/>
  <c r="X22" i="7"/>
  <c r="Y131" i="3"/>
  <c r="Y130" i="3"/>
  <c r="X12" i="10"/>
  <c r="W37" i="10"/>
  <c r="W47" i="10"/>
  <c r="W36" i="10"/>
  <c r="R35" i="5"/>
  <c r="R41" i="5" s="1"/>
  <c r="W162" i="3"/>
  <c r="W159" i="3"/>
  <c r="X145" i="3"/>
  <c r="W166" i="3"/>
  <c r="W160" i="3"/>
  <c r="W170" i="3"/>
  <c r="W171" i="3" s="1"/>
  <c r="W163" i="3"/>
  <c r="W164" i="3" s="1"/>
  <c r="W10" i="6" s="1"/>
  <c r="X146" i="3"/>
  <c r="U8" i="6"/>
  <c r="U9" i="5"/>
  <c r="AE26" i="6"/>
  <c r="AE21" i="5"/>
  <c r="AD167" i="3"/>
  <c r="AD13" i="6" s="1"/>
  <c r="AE168" i="3"/>
  <c r="AH32" i="3" l="1"/>
  <c r="AH182" i="3"/>
  <c r="AH183" i="3" s="1"/>
  <c r="AI28" i="3"/>
  <c r="W3" i="5"/>
  <c r="W4" i="5"/>
  <c r="X162" i="3"/>
  <c r="X159" i="3"/>
  <c r="X160" i="3"/>
  <c r="X166" i="3"/>
  <c r="Y145" i="3"/>
  <c r="X170" i="3"/>
  <c r="X171" i="3" s="1"/>
  <c r="Y146" i="3"/>
  <c r="X163" i="3"/>
  <c r="X164" i="3" s="1"/>
  <c r="X10" i="6" s="1"/>
  <c r="W38" i="10"/>
  <c r="AF20" i="5"/>
  <c r="AF25" i="6"/>
  <c r="AG35" i="3"/>
  <c r="AG36" i="3"/>
  <c r="AG34" i="3"/>
  <c r="U113" i="6"/>
  <c r="W9" i="6"/>
  <c r="W10" i="5"/>
  <c r="X18" i="3"/>
  <c r="X17" i="3"/>
  <c r="AF22" i="5"/>
  <c r="AF27" i="6"/>
  <c r="W3" i="6"/>
  <c r="W4" i="6"/>
  <c r="AF26" i="6"/>
  <c r="AF21" i="5"/>
  <c r="AF168" i="3"/>
  <c r="AE167" i="3"/>
  <c r="AE13" i="6" s="1"/>
  <c r="Y23" i="8"/>
  <c r="Y24" i="8"/>
  <c r="Y33" i="11" s="1"/>
  <c r="Z4" i="8"/>
  <c r="AD109" i="6"/>
  <c r="AD108" i="6"/>
  <c r="Y12" i="10"/>
  <c r="X47" i="10"/>
  <c r="X37" i="10"/>
  <c r="X36" i="10"/>
  <c r="X38" i="10" s="1"/>
  <c r="V9" i="5"/>
  <c r="V8" i="6"/>
  <c r="W16" i="6"/>
  <c r="W133" i="3"/>
  <c r="Y24" i="9"/>
  <c r="Y33" i="12" s="1"/>
  <c r="Z4" i="9"/>
  <c r="Y23" i="9"/>
  <c r="V60" i="6"/>
  <c r="V64" i="6" s="1"/>
  <c r="V97" i="6"/>
  <c r="V94" i="6"/>
  <c r="V95" i="6"/>
  <c r="V99" i="6"/>
  <c r="V96" i="6"/>
  <c r="V98" i="6"/>
  <c r="V111" i="6" s="1"/>
  <c r="AE14" i="6"/>
  <c r="AE13" i="5"/>
  <c r="W8" i="5"/>
  <c r="W161" i="3"/>
  <c r="W12" i="5"/>
  <c r="W12" i="6"/>
  <c r="W155" i="6" s="1"/>
  <c r="W44" i="5" s="1"/>
  <c r="W169" i="3"/>
  <c r="W15" i="6" s="1"/>
  <c r="W172" i="3"/>
  <c r="Z130" i="3"/>
  <c r="Z131" i="3"/>
  <c r="R36" i="5"/>
  <c r="S32" i="5" s="1"/>
  <c r="S34" i="5" s="1"/>
  <c r="Y22" i="7"/>
  <c r="X23" i="7"/>
  <c r="W177" i="3"/>
  <c r="W176" i="3"/>
  <c r="W60" i="6" l="1"/>
  <c r="W64" i="6" s="1"/>
  <c r="W99" i="6"/>
  <c r="W96" i="6"/>
  <c r="W94" i="6"/>
  <c r="W95" i="6"/>
  <c r="W97" i="6"/>
  <c r="W98" i="6"/>
  <c r="W111" i="6" s="1"/>
  <c r="AA4" i="8"/>
  <c r="Z24" i="8"/>
  <c r="Z33" i="11" s="1"/>
  <c r="Z23" i="8"/>
  <c r="X9" i="6"/>
  <c r="X10" i="5"/>
  <c r="X177" i="3"/>
  <c r="X176" i="3"/>
  <c r="Y17" i="3"/>
  <c r="Y18" i="3"/>
  <c r="X3" i="5"/>
  <c r="X4" i="5"/>
  <c r="Z24" i="9"/>
  <c r="Z33" i="12" s="1"/>
  <c r="Z23" i="9"/>
  <c r="AA4" i="9"/>
  <c r="W16" i="10"/>
  <c r="X16" i="10"/>
  <c r="AI182" i="3"/>
  <c r="AI183" i="3" s="1"/>
  <c r="AI32" i="3"/>
  <c r="AJ28" i="3"/>
  <c r="AF14" i="6"/>
  <c r="AF13" i="5"/>
  <c r="Z145" i="3"/>
  <c r="Y172" i="3"/>
  <c r="Y162" i="3"/>
  <c r="Y160" i="3"/>
  <c r="Z146" i="3"/>
  <c r="Y170" i="3"/>
  <c r="Y171" i="3" s="1"/>
  <c r="Y163" i="3"/>
  <c r="Y164" i="3" s="1"/>
  <c r="Y159" i="3"/>
  <c r="Y166" i="3"/>
  <c r="AH35" i="3"/>
  <c r="AH34" i="3"/>
  <c r="AH36" i="3"/>
  <c r="Z12" i="10"/>
  <c r="Y36" i="10"/>
  <c r="Y38" i="10" s="1"/>
  <c r="Y37" i="10"/>
  <c r="Y47" i="10"/>
  <c r="AG25" i="6"/>
  <c r="AG20" i="5"/>
  <c r="X16" i="6"/>
  <c r="X133" i="3"/>
  <c r="W8" i="6"/>
  <c r="W9" i="5"/>
  <c r="V113" i="6"/>
  <c r="X4" i="6"/>
  <c r="X3" i="6"/>
  <c r="AG27" i="6"/>
  <c r="AG22" i="5"/>
  <c r="AG21" i="5"/>
  <c r="AG26" i="6"/>
  <c r="AG168" i="3"/>
  <c r="AF167" i="3"/>
  <c r="AF13" i="6" s="1"/>
  <c r="X12" i="6"/>
  <c r="X155" i="6" s="1"/>
  <c r="X44" i="5" s="1"/>
  <c r="X12" i="5"/>
  <c r="X169" i="3"/>
  <c r="X15" i="6" s="1"/>
  <c r="Z22" i="7"/>
  <c r="Y23" i="7"/>
  <c r="S35" i="5"/>
  <c r="S41" i="5" s="1"/>
  <c r="AE108" i="6"/>
  <c r="AE109" i="6"/>
  <c r="X8" i="5"/>
  <c r="X161" i="3"/>
  <c r="AA130" i="3"/>
  <c r="AA131" i="3"/>
  <c r="X172" i="3"/>
  <c r="Y4" i="6" l="1"/>
  <c r="Y3" i="6"/>
  <c r="Y8" i="5"/>
  <c r="Y161" i="3"/>
  <c r="X60" i="6"/>
  <c r="X64" i="6" s="1"/>
  <c r="X96" i="6"/>
  <c r="X99" i="6"/>
  <c r="X95" i="6"/>
  <c r="X97" i="6"/>
  <c r="X94" i="6"/>
  <c r="X98" i="6"/>
  <c r="X111" i="6" s="1"/>
  <c r="Y9" i="6"/>
  <c r="Y10" i="5"/>
  <c r="AB4" i="8"/>
  <c r="AA24" i="8"/>
  <c r="AA33" i="11" s="1"/>
  <c r="AA23" i="8"/>
  <c r="Y16" i="10"/>
  <c r="Y4" i="5"/>
  <c r="Y3" i="5"/>
  <c r="AA12" i="10"/>
  <c r="Z37" i="10"/>
  <c r="Z47" i="10"/>
  <c r="Z36" i="10"/>
  <c r="AH27" i="6"/>
  <c r="AH22" i="5"/>
  <c r="Z17" i="3"/>
  <c r="Z18" i="3"/>
  <c r="W113" i="6"/>
  <c r="AG14" i="6"/>
  <c r="AG13" i="5"/>
  <c r="AH25" i="6"/>
  <c r="AH20" i="5"/>
  <c r="S36" i="5"/>
  <c r="T32" i="5" s="1"/>
  <c r="T34" i="5" s="1"/>
  <c r="AH26" i="6"/>
  <c r="AH21" i="5"/>
  <c r="AH168" i="3"/>
  <c r="AG167" i="3"/>
  <c r="AG13" i="6" s="1"/>
  <c r="AF108" i="6"/>
  <c r="AF109" i="6"/>
  <c r="AA23" i="9"/>
  <c r="AB4" i="9"/>
  <c r="AA24" i="9"/>
  <c r="AA33" i="12" s="1"/>
  <c r="Y12" i="6"/>
  <c r="Y155" i="6" s="1"/>
  <c r="Y44" i="5" s="1"/>
  <c r="Y12" i="5"/>
  <c r="Y169" i="3"/>
  <c r="Y15" i="6" s="1"/>
  <c r="AJ182" i="3"/>
  <c r="AJ183" i="3" s="1"/>
  <c r="AJ32" i="3"/>
  <c r="AK28" i="3"/>
  <c r="AB130" i="3"/>
  <c r="AB131" i="3"/>
  <c r="AI35" i="3"/>
  <c r="AI34" i="3"/>
  <c r="AI36" i="3"/>
  <c r="Y177" i="3"/>
  <c r="Y176" i="3"/>
  <c r="Y10" i="6"/>
  <c r="Y16" i="6"/>
  <c r="Y133" i="3"/>
  <c r="X8" i="6"/>
  <c r="X9" i="5"/>
  <c r="Z23" i="7"/>
  <c r="AA22" i="7"/>
  <c r="Z170" i="3"/>
  <c r="Z171" i="3" s="1"/>
  <c r="Z162" i="3"/>
  <c r="Z159" i="3"/>
  <c r="Z160" i="3" s="1"/>
  <c r="AA146" i="3"/>
  <c r="Z166" i="3"/>
  <c r="AA145" i="3"/>
  <c r="Z8" i="5" l="1"/>
  <c r="Z161" i="3"/>
  <c r="Z9" i="6"/>
  <c r="Z10" i="5"/>
  <c r="Z172" i="3"/>
  <c r="Z176" i="3"/>
  <c r="Z177" i="3"/>
  <c r="AG108" i="6"/>
  <c r="AG109" i="6"/>
  <c r="AA170" i="3"/>
  <c r="AA171" i="3" s="1"/>
  <c r="AB146" i="3"/>
  <c r="AA172" i="3"/>
  <c r="AA160" i="3"/>
  <c r="AA162" i="3"/>
  <c r="AA163" i="3"/>
  <c r="AA159" i="3"/>
  <c r="AA166" i="3"/>
  <c r="AB145" i="3"/>
  <c r="AI27" i="6"/>
  <c r="AI22" i="5"/>
  <c r="AI25" i="6"/>
  <c r="AI20" i="5"/>
  <c r="AB12" i="10"/>
  <c r="AA47" i="10"/>
  <c r="AA36" i="10"/>
  <c r="AA38" i="10" s="1"/>
  <c r="AA37" i="10"/>
  <c r="T35" i="5"/>
  <c r="T41" i="5" s="1"/>
  <c r="T36" i="5"/>
  <c r="U32" i="5" s="1"/>
  <c r="U34" i="5" s="1"/>
  <c r="AA17" i="3"/>
  <c r="AA18" i="3"/>
  <c r="Z4" i="5"/>
  <c r="Z3" i="5"/>
  <c r="X113" i="6"/>
  <c r="AI26" i="6"/>
  <c r="AI21" i="5"/>
  <c r="AI168" i="3"/>
  <c r="AH167" i="3"/>
  <c r="AH13" i="6" s="1"/>
  <c r="Z16" i="6"/>
  <c r="Z133" i="3"/>
  <c r="AA23" i="7"/>
  <c r="AB22" i="7"/>
  <c r="AJ35" i="3"/>
  <c r="AJ36" i="3"/>
  <c r="AJ34" i="3"/>
  <c r="Y9" i="5"/>
  <c r="Y8" i="6"/>
  <c r="AB23" i="8"/>
  <c r="AB24" i="8"/>
  <c r="AB33" i="11" s="1"/>
  <c r="AC4" i="8"/>
  <c r="AH13" i="5"/>
  <c r="AH14" i="6"/>
  <c r="Z163" i="3"/>
  <c r="Z164" i="3" s="1"/>
  <c r="AC130" i="3"/>
  <c r="AC131" i="3"/>
  <c r="AK182" i="3"/>
  <c r="AK183" i="3" s="1"/>
  <c r="AK32" i="3"/>
  <c r="AL28" i="3"/>
  <c r="Z12" i="6"/>
  <c r="Z155" i="6" s="1"/>
  <c r="Z44" i="5" s="1"/>
  <c r="Z12" i="5"/>
  <c r="Z169" i="3"/>
  <c r="Z15" i="6" s="1"/>
  <c r="AC4" i="9"/>
  <c r="AB23" i="9"/>
  <c r="AB24" i="9"/>
  <c r="AB33" i="12" s="1"/>
  <c r="Y60" i="6"/>
  <c r="Y64" i="6" s="1"/>
  <c r="Y96" i="6"/>
  <c r="Y95" i="6"/>
  <c r="Y99" i="6"/>
  <c r="Y97" i="6"/>
  <c r="Y94" i="6"/>
  <c r="Y98" i="6"/>
  <c r="Y111" i="6" s="1"/>
  <c r="Z38" i="10"/>
  <c r="Z4" i="6"/>
  <c r="Z3" i="6"/>
  <c r="Z16" i="10" l="1"/>
  <c r="Y113" i="6"/>
  <c r="AA4" i="6"/>
  <c r="AA3" i="6"/>
  <c r="AB17" i="3"/>
  <c r="AB18" i="3"/>
  <c r="Z10" i="6"/>
  <c r="AA12" i="6"/>
  <c r="AA155" i="6" s="1"/>
  <c r="AA44" i="5" s="1"/>
  <c r="AA12" i="5"/>
  <c r="AA169" i="3"/>
  <c r="AA15" i="6" s="1"/>
  <c r="AJ25" i="6"/>
  <c r="AJ20" i="5"/>
  <c r="U35" i="5"/>
  <c r="U41" i="5" s="1"/>
  <c r="AA176" i="3"/>
  <c r="AA177" i="3"/>
  <c r="Z60" i="6"/>
  <c r="Z64" i="6" s="1"/>
  <c r="Z99" i="6"/>
  <c r="Z96" i="6"/>
  <c r="Z97" i="6"/>
  <c r="Z94" i="6"/>
  <c r="Z95" i="6"/>
  <c r="Z113" i="6" s="1"/>
  <c r="Z98" i="6"/>
  <c r="Z111" i="6" s="1"/>
  <c r="AH108" i="6"/>
  <c r="AH109" i="6"/>
  <c r="AJ27" i="6"/>
  <c r="AJ22" i="5"/>
  <c r="AA164" i="3"/>
  <c r="AA10" i="6" s="1"/>
  <c r="AJ26" i="6"/>
  <c r="AJ21" i="5"/>
  <c r="AJ168" i="3"/>
  <c r="AI167" i="3"/>
  <c r="AI13" i="6" s="1"/>
  <c r="AA9" i="6"/>
  <c r="AA10" i="5"/>
  <c r="AI13" i="5"/>
  <c r="AI14" i="6"/>
  <c r="AA8" i="5"/>
  <c r="AA161" i="3"/>
  <c r="AD4" i="9"/>
  <c r="AC24" i="9"/>
  <c r="AC33" i="12" s="1"/>
  <c r="AC23" i="9"/>
  <c r="AL182" i="3"/>
  <c r="AL183" i="3" s="1"/>
  <c r="AM28" i="3"/>
  <c r="AL32" i="3"/>
  <c r="AC24" i="8"/>
  <c r="AC33" i="11" s="1"/>
  <c r="AC23" i="8"/>
  <c r="AD4" i="8"/>
  <c r="AK35" i="3"/>
  <c r="AK36" i="3"/>
  <c r="AK34" i="3"/>
  <c r="AB23" i="7"/>
  <c r="AC22" i="7"/>
  <c r="AB170" i="3"/>
  <c r="AB171" i="3" s="1"/>
  <c r="AB172" i="3"/>
  <c r="AB160" i="3"/>
  <c r="AB162" i="3"/>
  <c r="AC146" i="3"/>
  <c r="AB159" i="3"/>
  <c r="AB166" i="3"/>
  <c r="AC145" i="3"/>
  <c r="AB163" i="3"/>
  <c r="AB164" i="3" s="1"/>
  <c r="AB10" i="6" s="1"/>
  <c r="Z9" i="5"/>
  <c r="Z8" i="6"/>
  <c r="AA16" i="10"/>
  <c r="AA16" i="6"/>
  <c r="AA133" i="3"/>
  <c r="AD130" i="3"/>
  <c r="AD131" i="3"/>
  <c r="AA4" i="5"/>
  <c r="AA3" i="5"/>
  <c r="AC12" i="10"/>
  <c r="AB47" i="10"/>
  <c r="AB36" i="10"/>
  <c r="AB37" i="10"/>
  <c r="AB12" i="6" l="1"/>
  <c r="AB155" i="6" s="1"/>
  <c r="AB44" i="5" s="1"/>
  <c r="AB12" i="5"/>
  <c r="AB169" i="3"/>
  <c r="AB15" i="6" s="1"/>
  <c r="AE4" i="8"/>
  <c r="AD23" i="8"/>
  <c r="AD24" i="8"/>
  <c r="AD33" i="11" s="1"/>
  <c r="U36" i="5"/>
  <c r="V32" i="5" s="1"/>
  <c r="V34" i="5" s="1"/>
  <c r="AC170" i="3"/>
  <c r="AC171" i="3" s="1"/>
  <c r="AC162" i="3"/>
  <c r="AD146" i="3"/>
  <c r="AC163" i="3"/>
  <c r="AC164" i="3" s="1"/>
  <c r="AC166" i="3"/>
  <c r="AD145" i="3"/>
  <c r="AC172" i="3"/>
  <c r="AC160" i="3"/>
  <c r="AC159" i="3"/>
  <c r="AB4" i="6"/>
  <c r="AB3" i="6"/>
  <c r="AB8" i="5"/>
  <c r="AB161" i="3"/>
  <c r="AL36" i="3"/>
  <c r="AL34" i="3"/>
  <c r="AL35" i="3"/>
  <c r="AA8" i="6"/>
  <c r="AA9" i="5"/>
  <c r="AB9" i="6"/>
  <c r="AB10" i="5"/>
  <c r="AA60" i="6"/>
  <c r="AA64" i="6" s="1"/>
  <c r="AA98" i="6"/>
  <c r="AA111" i="6" s="1"/>
  <c r="AA95" i="6"/>
  <c r="AA113" i="6" s="1"/>
  <c r="AA97" i="6"/>
  <c r="AA96" i="6"/>
  <c r="AA99" i="6"/>
  <c r="AA94" i="6"/>
  <c r="AC17" i="3"/>
  <c r="AC18" i="3"/>
  <c r="AB38" i="10"/>
  <c r="AC23" i="7"/>
  <c r="AD22" i="7"/>
  <c r="AJ13" i="5"/>
  <c r="AJ14" i="6"/>
  <c r="AI109" i="6"/>
  <c r="AI108" i="6"/>
  <c r="AE131" i="3"/>
  <c r="AE130" i="3"/>
  <c r="AM182" i="3"/>
  <c r="AM183" i="3" s="1"/>
  <c r="AN28" i="3"/>
  <c r="AM32" i="3"/>
  <c r="AB176" i="3"/>
  <c r="AB177" i="3"/>
  <c r="AB16" i="6"/>
  <c r="AB133" i="3"/>
  <c r="AD12" i="10"/>
  <c r="AC47" i="10"/>
  <c r="AC36" i="10"/>
  <c r="AC37" i="10"/>
  <c r="AK25" i="6"/>
  <c r="AK20" i="5"/>
  <c r="AD23" i="9"/>
  <c r="AD24" i="9"/>
  <c r="AD33" i="12" s="1"/>
  <c r="AE4" i="9"/>
  <c r="AK27" i="6"/>
  <c r="AK22" i="5"/>
  <c r="AB3" i="5"/>
  <c r="AB4" i="5"/>
  <c r="AK26" i="6"/>
  <c r="AK21" i="5"/>
  <c r="AK168" i="3"/>
  <c r="AJ167" i="3"/>
  <c r="AJ13" i="6" s="1"/>
  <c r="AC176" i="3" l="1"/>
  <c r="AC177" i="3"/>
  <c r="AJ109" i="6"/>
  <c r="AJ108" i="6"/>
  <c r="AE12" i="10"/>
  <c r="AD47" i="10"/>
  <c r="AD36" i="10"/>
  <c r="AD37" i="10"/>
  <c r="AK13" i="5"/>
  <c r="AK14" i="6"/>
  <c r="AF131" i="3"/>
  <c r="AF130" i="3"/>
  <c r="AM34" i="3"/>
  <c r="AM36" i="3"/>
  <c r="AM35" i="3"/>
  <c r="AC8" i="5"/>
  <c r="AC161" i="3"/>
  <c r="AC169" i="3"/>
  <c r="AC15" i="6" s="1"/>
  <c r="AL26" i="6"/>
  <c r="AL21" i="5"/>
  <c r="AL168" i="3"/>
  <c r="AK167" i="3"/>
  <c r="AK13" i="6" s="1"/>
  <c r="AD23" i="7"/>
  <c r="AE22" i="7"/>
  <c r="AL25" i="6"/>
  <c r="AL20" i="5"/>
  <c r="AC12" i="5"/>
  <c r="AC12" i="6"/>
  <c r="AC155" i="6" s="1"/>
  <c r="AC44" i="5" s="1"/>
  <c r="AL27" i="6"/>
  <c r="AL22" i="5"/>
  <c r="AC10" i="6"/>
  <c r="V35" i="5"/>
  <c r="V41" i="5" s="1"/>
  <c r="AB60" i="6"/>
  <c r="AB64" i="6" s="1"/>
  <c r="AB97" i="6"/>
  <c r="AB96" i="6"/>
  <c r="AB99" i="6"/>
  <c r="AB95" i="6"/>
  <c r="AB98" i="6"/>
  <c r="AB111" i="6" s="1"/>
  <c r="AB94" i="6"/>
  <c r="AB16" i="10"/>
  <c r="AB8" i="6"/>
  <c r="AB9" i="5"/>
  <c r="AE146" i="3"/>
  <c r="AD172" i="3"/>
  <c r="AD166" i="3"/>
  <c r="AD170" i="3"/>
  <c r="AD171" i="3" s="1"/>
  <c r="AD159" i="3"/>
  <c r="AD163" i="3"/>
  <c r="AD164" i="3" s="1"/>
  <c r="AE145" i="3"/>
  <c r="AD160" i="3"/>
  <c r="AD162" i="3"/>
  <c r="AC10" i="5"/>
  <c r="AC9" i="6"/>
  <c r="AD18" i="3"/>
  <c r="AD17" i="3"/>
  <c r="AC16" i="6"/>
  <c r="AC133" i="3"/>
  <c r="AC4" i="6"/>
  <c r="AC3" i="6"/>
  <c r="AE24" i="8"/>
  <c r="AE33" i="11" s="1"/>
  <c r="AF4" i="8"/>
  <c r="AE23" i="8"/>
  <c r="AN182" i="3"/>
  <c r="AN183" i="3" s="1"/>
  <c r="AO28" i="3"/>
  <c r="AN32" i="3"/>
  <c r="AC3" i="5"/>
  <c r="AC4" i="5"/>
  <c r="AE24" i="9"/>
  <c r="AE33" i="12" s="1"/>
  <c r="AE23" i="9"/>
  <c r="AF4" i="9"/>
  <c r="AC38" i="10"/>
  <c r="AK108" i="6" l="1"/>
  <c r="AK109" i="6"/>
  <c r="AD3" i="5"/>
  <c r="AD4" i="5"/>
  <c r="AD4" i="6"/>
  <c r="AD3" i="6"/>
  <c r="AE166" i="3"/>
  <c r="AE163" i="3"/>
  <c r="AE164" i="3" s="1"/>
  <c r="AE160" i="3"/>
  <c r="AF146" i="3"/>
  <c r="AE159" i="3"/>
  <c r="AF145" i="3"/>
  <c r="AE170" i="3"/>
  <c r="AE171" i="3" s="1"/>
  <c r="AE162" i="3"/>
  <c r="AC8" i="6"/>
  <c r="AC9" i="5"/>
  <c r="AL14" i="6"/>
  <c r="AL13" i="5"/>
  <c r="AD176" i="3"/>
  <c r="AD177" i="3"/>
  <c r="AO182" i="3"/>
  <c r="AO183" i="3" s="1"/>
  <c r="AP28" i="3"/>
  <c r="AO32" i="3"/>
  <c r="AM26" i="6"/>
  <c r="AM21" i="5"/>
  <c r="AL167" i="3"/>
  <c r="AL13" i="6" s="1"/>
  <c r="AM168" i="3"/>
  <c r="AN36" i="3"/>
  <c r="AN34" i="3"/>
  <c r="AN35" i="3"/>
  <c r="AD9" i="6"/>
  <c r="AD10" i="5"/>
  <c r="V36" i="5"/>
  <c r="W32" i="5" s="1"/>
  <c r="W34" i="5" s="1"/>
  <c r="AM22" i="5"/>
  <c r="AM27" i="6"/>
  <c r="AD8" i="5"/>
  <c r="AD161" i="3"/>
  <c r="AC60" i="6"/>
  <c r="AC64" i="6" s="1"/>
  <c r="AC96" i="6"/>
  <c r="AC97" i="6"/>
  <c r="AC98" i="6"/>
  <c r="AC111" i="6" s="1"/>
  <c r="AC95" i="6"/>
  <c r="AC99" i="6"/>
  <c r="AC94" i="6"/>
  <c r="AM20" i="5"/>
  <c r="AM25" i="6"/>
  <c r="AD38" i="10"/>
  <c r="AD10" i="6"/>
  <c r="AF12" i="10"/>
  <c r="AE47" i="10"/>
  <c r="AE37" i="10"/>
  <c r="AE36" i="10"/>
  <c r="AC16" i="10"/>
  <c r="AG4" i="8"/>
  <c r="AF23" i="8"/>
  <c r="AF24" i="8"/>
  <c r="AF33" i="11" s="1"/>
  <c r="AB113" i="6"/>
  <c r="AE23" i="7"/>
  <c r="AF22" i="7"/>
  <c r="AG4" i="9"/>
  <c r="AF24" i="9"/>
  <c r="AF33" i="12" s="1"/>
  <c r="AF23" i="9"/>
  <c r="AE18" i="3"/>
  <c r="AE17" i="3"/>
  <c r="AG130" i="3"/>
  <c r="AG131" i="3"/>
  <c r="AD16" i="6"/>
  <c r="AD133" i="3"/>
  <c r="AD12" i="6"/>
  <c r="AD155" i="6" s="1"/>
  <c r="AD44" i="5" s="1"/>
  <c r="AD12" i="5"/>
  <c r="AD169" i="3"/>
  <c r="AD15" i="6" s="1"/>
  <c r="AN26" i="6" l="1"/>
  <c r="AN21" i="5"/>
  <c r="AM167" i="3"/>
  <c r="AM13" i="6" s="1"/>
  <c r="AN168" i="3"/>
  <c r="AE177" i="3"/>
  <c r="AE176" i="3"/>
  <c r="AE3" i="6"/>
  <c r="AE4" i="6"/>
  <c r="AG12" i="10"/>
  <c r="AF47" i="10"/>
  <c r="AF37" i="10"/>
  <c r="AF36" i="10"/>
  <c r="AN25" i="6"/>
  <c r="AN20" i="5"/>
  <c r="AE3" i="5"/>
  <c r="AE4" i="5"/>
  <c r="AN27" i="6"/>
  <c r="AN22" i="5"/>
  <c r="AE9" i="6"/>
  <c r="AE10" i="5"/>
  <c r="AD16" i="10"/>
  <c r="AE16" i="6"/>
  <c r="AE133" i="3"/>
  <c r="AD8" i="6"/>
  <c r="AD9" i="5"/>
  <c r="AM14" i="6"/>
  <c r="AM13" i="5"/>
  <c r="AL108" i="6"/>
  <c r="AL109" i="6"/>
  <c r="AF166" i="3"/>
  <c r="AF163" i="3"/>
  <c r="AF164" i="3" s="1"/>
  <c r="AF160" i="3"/>
  <c r="AF159" i="3"/>
  <c r="AG146" i="3"/>
  <c r="AG145" i="3"/>
  <c r="AF170" i="3"/>
  <c r="AF171" i="3" s="1"/>
  <c r="AF162" i="3"/>
  <c r="AF23" i="7"/>
  <c r="AG22" i="7"/>
  <c r="AE8" i="5"/>
  <c r="AE161" i="3"/>
  <c r="AE10" i="6"/>
  <c r="AH131" i="3"/>
  <c r="AH130" i="3"/>
  <c r="AF18" i="3"/>
  <c r="AF17" i="3"/>
  <c r="W35" i="5"/>
  <c r="W41" i="5" s="1"/>
  <c r="AO36" i="3"/>
  <c r="AO34" i="3"/>
  <c r="AO35" i="3"/>
  <c r="AE12" i="5"/>
  <c r="AE12" i="6"/>
  <c r="AE155" i="6" s="1"/>
  <c r="AE44" i="5" s="1"/>
  <c r="AE169" i="3"/>
  <c r="AE15" i="6" s="1"/>
  <c r="AG24" i="9"/>
  <c r="AG33" i="12" s="1"/>
  <c r="AH4" i="9"/>
  <c r="AG23" i="9"/>
  <c r="AG23" i="8"/>
  <c r="AG24" i="8"/>
  <c r="AG33" i="11" s="1"/>
  <c r="AH4" i="8"/>
  <c r="AE38" i="10"/>
  <c r="AC113" i="6"/>
  <c r="AP182" i="3"/>
  <c r="AP183" i="3" s="1"/>
  <c r="AP32" i="3"/>
  <c r="AQ28" i="3"/>
  <c r="AE172" i="3"/>
  <c r="AD60" i="6"/>
  <c r="AD64" i="6" s="1"/>
  <c r="AD98" i="6"/>
  <c r="AD111" i="6" s="1"/>
  <c r="AD95" i="6"/>
  <c r="AD97" i="6"/>
  <c r="AD99" i="6"/>
  <c r="AD96" i="6"/>
  <c r="AD94" i="6"/>
  <c r="AO26" i="6" l="1"/>
  <c r="AO21" i="5"/>
  <c r="AN167" i="3"/>
  <c r="AN13" i="6" s="1"/>
  <c r="AO168" i="3"/>
  <c r="AF12" i="6"/>
  <c r="AF155" i="6" s="1"/>
  <c r="AF44" i="5" s="1"/>
  <c r="AF12" i="5"/>
  <c r="AF169" i="3"/>
  <c r="AF15" i="6" s="1"/>
  <c r="AF3" i="5"/>
  <c r="AF4" i="5"/>
  <c r="AH12" i="10"/>
  <c r="AG36" i="10"/>
  <c r="AG47" i="10"/>
  <c r="AG37" i="10"/>
  <c r="AF3" i="6"/>
  <c r="AF4" i="6"/>
  <c r="AP36" i="3"/>
  <c r="AP34" i="3"/>
  <c r="AP35" i="3"/>
  <c r="AO25" i="6"/>
  <c r="AO20" i="5"/>
  <c r="AF172" i="3"/>
  <c r="AO27" i="6"/>
  <c r="AO22" i="5"/>
  <c r="AG23" i="7"/>
  <c r="AH22" i="7"/>
  <c r="AF176" i="3"/>
  <c r="AF177" i="3"/>
  <c r="AN13" i="5"/>
  <c r="AN14" i="6"/>
  <c r="AF9" i="6"/>
  <c r="AF10" i="5"/>
  <c r="AE9" i="5"/>
  <c r="AE8" i="6"/>
  <c r="AF16" i="6"/>
  <c r="AF133" i="3"/>
  <c r="AE16" i="10"/>
  <c r="AH146" i="3"/>
  <c r="AG172" i="3"/>
  <c r="AG166" i="3"/>
  <c r="AG163" i="3"/>
  <c r="AG164" i="3" s="1"/>
  <c r="AH145" i="3"/>
  <c r="AG159" i="3"/>
  <c r="AG162" i="3"/>
  <c r="AG170" i="3"/>
  <c r="AG171" i="3" s="1"/>
  <c r="AG160" i="3"/>
  <c r="W36" i="5"/>
  <c r="X32" i="5" s="1"/>
  <c r="X34" i="5" s="1"/>
  <c r="AH23" i="8"/>
  <c r="AH24" i="8"/>
  <c r="AH33" i="11" s="1"/>
  <c r="AI4" i="8"/>
  <c r="AE60" i="6"/>
  <c r="AE64" i="6" s="1"/>
  <c r="AE97" i="6"/>
  <c r="AE94" i="6"/>
  <c r="AE98" i="6"/>
  <c r="AE111" i="6" s="1"/>
  <c r="AE95" i="6"/>
  <c r="AE96" i="6"/>
  <c r="AE99" i="6"/>
  <c r="AF38" i="10"/>
  <c r="AH24" i="9"/>
  <c r="AH33" i="12" s="1"/>
  <c r="AH23" i="9"/>
  <c r="AI4" i="9"/>
  <c r="AF8" i="5"/>
  <c r="AF161" i="3"/>
  <c r="AD113" i="6"/>
  <c r="AG18" i="3"/>
  <c r="AG17" i="3"/>
  <c r="AQ182" i="3"/>
  <c r="AQ183" i="3" s="1"/>
  <c r="AQ32" i="3"/>
  <c r="AR28" i="3"/>
  <c r="AI130" i="3"/>
  <c r="AI131" i="3"/>
  <c r="AF10" i="6"/>
  <c r="AM109" i="6"/>
  <c r="AM108" i="6"/>
  <c r="AR32" i="3" l="1"/>
  <c r="AS28" i="3"/>
  <c r="AR182" i="3"/>
  <c r="AR183" i="3" s="1"/>
  <c r="AF8" i="6"/>
  <c r="AF9" i="5"/>
  <c r="AF16" i="10"/>
  <c r="X36" i="5"/>
  <c r="Y32" i="5" s="1"/>
  <c r="Y34" i="5" s="1"/>
  <c r="X35" i="5"/>
  <c r="X41" i="5" s="1"/>
  <c r="AP27" i="6"/>
  <c r="AP22" i="5"/>
  <c r="AI145" i="3"/>
  <c r="AH166" i="3"/>
  <c r="AH163" i="3"/>
  <c r="AH164" i="3" s="1"/>
  <c r="AH160" i="3"/>
  <c r="AH159" i="3"/>
  <c r="AH162" i="3"/>
  <c r="AI146" i="3"/>
  <c r="AH170" i="3"/>
  <c r="AH171" i="3" s="1"/>
  <c r="AI24" i="9"/>
  <c r="AI33" i="12" s="1"/>
  <c r="AI23" i="9"/>
  <c r="AH23" i="7"/>
  <c r="AI22" i="7"/>
  <c r="AI23" i="7" s="1"/>
  <c r="AG3" i="6"/>
  <c r="AG4" i="6"/>
  <c r="AF60" i="6"/>
  <c r="AF64" i="6" s="1"/>
  <c r="AF98" i="6"/>
  <c r="AF111" i="6" s="1"/>
  <c r="AF94" i="6"/>
  <c r="AF97" i="6"/>
  <c r="AF95" i="6"/>
  <c r="AF113" i="6" s="1"/>
  <c r="AF96" i="6"/>
  <c r="AF99" i="6"/>
  <c r="AE113" i="6"/>
  <c r="AG8" i="5"/>
  <c r="AG161" i="3"/>
  <c r="AQ36" i="3"/>
  <c r="AQ34" i="3"/>
  <c r="AQ35" i="3"/>
  <c r="AG16" i="6"/>
  <c r="AG133" i="3"/>
  <c r="AG38" i="10"/>
  <c r="AO14" i="6"/>
  <c r="AO13" i="5"/>
  <c r="AG9" i="6"/>
  <c r="AG10" i="5"/>
  <c r="AN109" i="6"/>
  <c r="AN108" i="6"/>
  <c r="AI12" i="10"/>
  <c r="AH47" i="10"/>
  <c r="AH37" i="10"/>
  <c r="AH36" i="10"/>
  <c r="AH18" i="3"/>
  <c r="AH17" i="3"/>
  <c r="AG4" i="5"/>
  <c r="AG3" i="5"/>
  <c r="AI24" i="8"/>
  <c r="AI33" i="11" s="1"/>
  <c r="AI23" i="8"/>
  <c r="AJ130" i="3"/>
  <c r="AJ131" i="3"/>
  <c r="AG10" i="6"/>
  <c r="AG177" i="3"/>
  <c r="AG176" i="3"/>
  <c r="AP26" i="6"/>
  <c r="AP21" i="5"/>
  <c r="AO167" i="3"/>
  <c r="AO13" i="6" s="1"/>
  <c r="AP168" i="3"/>
  <c r="AG12" i="6"/>
  <c r="AG155" i="6" s="1"/>
  <c r="AG44" i="5" s="1"/>
  <c r="AG12" i="5"/>
  <c r="AG169" i="3"/>
  <c r="AG15" i="6" s="1"/>
  <c r="AP25" i="6"/>
  <c r="AP20" i="5"/>
  <c r="AH177" i="3" l="1"/>
  <c r="AH176" i="3"/>
  <c r="AH10" i="5"/>
  <c r="AH9" i="6"/>
  <c r="AH3" i="5"/>
  <c r="AH4" i="5"/>
  <c r="Y36" i="5"/>
  <c r="Z32" i="5" s="1"/>
  <c r="Z34" i="5" s="1"/>
  <c r="Y35" i="5"/>
  <c r="Y41" i="5" s="1"/>
  <c r="AQ26" i="6"/>
  <c r="AQ21" i="5"/>
  <c r="AP167" i="3"/>
  <c r="AP13" i="6" s="1"/>
  <c r="AQ168" i="3"/>
  <c r="AH8" i="5"/>
  <c r="AH161" i="3"/>
  <c r="AQ20" i="5"/>
  <c r="AQ25" i="6"/>
  <c r="AH10" i="6"/>
  <c r="AQ27" i="6"/>
  <c r="AQ22" i="5"/>
  <c r="AH12" i="6"/>
  <c r="AH155" i="6" s="1"/>
  <c r="AH44" i="5" s="1"/>
  <c r="AH12" i="5"/>
  <c r="AH169" i="3"/>
  <c r="AH15" i="6" s="1"/>
  <c r="AI18" i="3"/>
  <c r="AI17" i="3"/>
  <c r="AH172" i="3"/>
  <c r="AK131" i="3"/>
  <c r="AK130" i="3"/>
  <c r="AP14" i="6"/>
  <c r="AP13" i="5"/>
  <c r="AO109" i="6"/>
  <c r="AO108" i="6"/>
  <c r="AS32" i="3"/>
  <c r="AT28" i="3"/>
  <c r="AS182" i="3"/>
  <c r="AS183" i="3" s="1"/>
  <c r="AH38" i="10"/>
  <c r="AG16" i="10"/>
  <c r="AH3" i="6"/>
  <c r="AH4" i="6"/>
  <c r="AR35" i="3"/>
  <c r="AR34" i="3"/>
  <c r="AR36" i="3"/>
  <c r="AG8" i="6"/>
  <c r="AG9" i="5"/>
  <c r="AH16" i="6"/>
  <c r="AH133" i="3"/>
  <c r="AG60" i="6"/>
  <c r="AG64" i="6" s="1"/>
  <c r="AG94" i="6"/>
  <c r="AG99" i="6"/>
  <c r="AG98" i="6"/>
  <c r="AG111" i="6" s="1"/>
  <c r="AG97" i="6"/>
  <c r="AG95" i="6"/>
  <c r="AG96" i="6"/>
  <c r="AI37" i="10"/>
  <c r="AI36" i="10"/>
  <c r="AI47" i="10"/>
  <c r="AI162" i="3"/>
  <c r="AI159" i="3"/>
  <c r="AJ145" i="3"/>
  <c r="AI163" i="3"/>
  <c r="AI164" i="3" s="1"/>
  <c r="AJ146" i="3"/>
  <c r="AI166" i="3"/>
  <c r="AI170" i="3"/>
  <c r="AI171" i="3" s="1"/>
  <c r="AI160" i="3"/>
  <c r="AI12" i="6" l="1"/>
  <c r="AI155" i="6" s="1"/>
  <c r="AI44" i="5" s="1"/>
  <c r="AI12" i="5"/>
  <c r="AP109" i="6"/>
  <c r="AP108" i="6"/>
  <c r="AI169" i="3"/>
  <c r="AI15" i="6" s="1"/>
  <c r="AI16" i="6"/>
  <c r="AI133" i="3"/>
  <c r="AH16" i="10"/>
  <c r="AG113" i="6"/>
  <c r="AI10" i="5"/>
  <c r="AI9" i="6"/>
  <c r="AL130" i="3"/>
  <c r="AL131" i="3"/>
  <c r="AI38" i="10"/>
  <c r="AT32" i="3"/>
  <c r="AT182" i="3"/>
  <c r="AT183" i="3" s="1"/>
  <c r="AU28" i="3"/>
  <c r="AR27" i="6"/>
  <c r="AR22" i="5"/>
  <c r="AS35" i="3"/>
  <c r="AS34" i="3"/>
  <c r="AS36" i="3"/>
  <c r="AR20" i="5"/>
  <c r="AR25" i="6"/>
  <c r="Z35" i="5"/>
  <c r="Z41" i="5" s="1"/>
  <c r="Z36" i="5"/>
  <c r="AA32" i="5" s="1"/>
  <c r="AA34" i="5" s="1"/>
  <c r="AI177" i="3"/>
  <c r="AI176" i="3"/>
  <c r="AI8" i="5"/>
  <c r="AI161" i="3"/>
  <c r="AR26" i="6"/>
  <c r="AR21" i="5"/>
  <c r="AR168" i="3"/>
  <c r="AQ167" i="3"/>
  <c r="AQ13" i="6" s="1"/>
  <c r="AH8" i="6"/>
  <c r="AH9" i="5"/>
  <c r="AI172" i="3"/>
  <c r="AI3" i="6"/>
  <c r="AI4" i="6"/>
  <c r="AJ162" i="3"/>
  <c r="AJ159" i="3"/>
  <c r="AK145" i="3"/>
  <c r="AJ163" i="3"/>
  <c r="AJ164" i="3" s="1"/>
  <c r="AJ166" i="3"/>
  <c r="AJ170" i="3"/>
  <c r="AJ171" i="3" s="1"/>
  <c r="AJ160" i="3"/>
  <c r="AJ172" i="3"/>
  <c r="AK146" i="3"/>
  <c r="AJ18" i="3"/>
  <c r="AJ17" i="3"/>
  <c r="AI10" i="6"/>
  <c r="AH60" i="6"/>
  <c r="AH64" i="6" s="1"/>
  <c r="AH97" i="6"/>
  <c r="AH94" i="6"/>
  <c r="AH99" i="6"/>
  <c r="AH98" i="6"/>
  <c r="AH111" i="6" s="1"/>
  <c r="AH95" i="6"/>
  <c r="AH113" i="6" s="1"/>
  <c r="AH96" i="6"/>
  <c r="AQ14" i="6"/>
  <c r="AQ13" i="5"/>
  <c r="AI4" i="5"/>
  <c r="AI3" i="5"/>
  <c r="AJ12" i="6" l="1"/>
  <c r="AJ155" i="6" s="1"/>
  <c r="AJ44" i="5" s="1"/>
  <c r="AJ12" i="5"/>
  <c r="AR14" i="6"/>
  <c r="AR13" i="5"/>
  <c r="AJ8" i="5"/>
  <c r="AJ161" i="3"/>
  <c r="AU182" i="3"/>
  <c r="AU183" i="3" s="1"/>
  <c r="AU32" i="3"/>
  <c r="AV28" i="3"/>
  <c r="AJ3" i="5"/>
  <c r="AJ4" i="5"/>
  <c r="AJ16" i="6"/>
  <c r="AJ133" i="3"/>
  <c r="AS22" i="5"/>
  <c r="AS27" i="6"/>
  <c r="AJ3" i="6"/>
  <c r="AJ4" i="6"/>
  <c r="AI8" i="6"/>
  <c r="AI9" i="5"/>
  <c r="AS25" i="6"/>
  <c r="AS20" i="5"/>
  <c r="AT35" i="3"/>
  <c r="AT34" i="3"/>
  <c r="AT36" i="3"/>
  <c r="AJ10" i="6"/>
  <c r="AS21" i="5"/>
  <c r="AS26" i="6"/>
  <c r="AR167" i="3"/>
  <c r="AR13" i="6" s="1"/>
  <c r="AS168" i="3"/>
  <c r="AJ169" i="3"/>
  <c r="AJ15" i="6" s="1"/>
  <c r="AJ177" i="3"/>
  <c r="AJ176" i="3"/>
  <c r="AI16" i="10"/>
  <c r="AJ10" i="5"/>
  <c r="AJ9" i="6"/>
  <c r="AA36" i="5"/>
  <c r="AB32" i="5" s="1"/>
  <c r="AB34" i="5" s="1"/>
  <c r="AA35" i="5"/>
  <c r="AA41" i="5" s="1"/>
  <c r="AM131" i="3"/>
  <c r="AM130" i="3"/>
  <c r="AK18" i="3"/>
  <c r="AK17" i="3"/>
  <c r="AQ108" i="6"/>
  <c r="AQ109" i="6"/>
  <c r="AL145" i="3"/>
  <c r="AK166" i="3"/>
  <c r="AK170" i="3"/>
  <c r="AK171" i="3" s="1"/>
  <c r="AK163" i="3"/>
  <c r="AK164" i="3" s="1"/>
  <c r="AK10" i="6" s="1"/>
  <c r="AK159" i="3"/>
  <c r="AL146" i="3"/>
  <c r="AK160" i="3"/>
  <c r="AK172" i="3"/>
  <c r="AK162" i="3"/>
  <c r="AI99" i="6"/>
  <c r="AI96" i="6"/>
  <c r="AI60" i="6"/>
  <c r="AI64" i="6" s="1"/>
  <c r="AI95" i="6"/>
  <c r="AI98" i="6"/>
  <c r="AI111" i="6" s="1"/>
  <c r="AI94" i="6"/>
  <c r="AI97" i="6"/>
  <c r="AK12" i="6" l="1"/>
  <c r="AK155" i="6" s="1"/>
  <c r="AK44" i="5" s="1"/>
  <c r="AK12" i="5"/>
  <c r="AK169" i="3"/>
  <c r="AK15" i="6" s="1"/>
  <c r="AU35" i="3"/>
  <c r="AU34" i="3"/>
  <c r="AU36" i="3"/>
  <c r="AK177" i="3"/>
  <c r="AK176" i="3"/>
  <c r="AK3" i="6"/>
  <c r="AK4" i="6"/>
  <c r="AJ9" i="5"/>
  <c r="AJ8" i="6"/>
  <c r="AJ60" i="6"/>
  <c r="AJ64" i="6" s="1"/>
  <c r="AJ95" i="6"/>
  <c r="AJ113" i="6" s="1"/>
  <c r="AJ94" i="6"/>
  <c r="AJ99" i="6"/>
  <c r="AJ98" i="6"/>
  <c r="AJ111" i="6" s="1"/>
  <c r="AJ96" i="6"/>
  <c r="AJ97" i="6"/>
  <c r="AT27" i="6"/>
  <c r="AT22" i="5"/>
  <c r="AT25" i="6"/>
  <c r="AT20" i="5"/>
  <c r="AK9" i="6"/>
  <c r="AK10" i="5"/>
  <c r="AS14" i="6"/>
  <c r="AS13" i="5"/>
  <c r="AT21" i="5"/>
  <c r="AT26" i="6"/>
  <c r="AT168" i="3"/>
  <c r="AS167" i="3"/>
  <c r="AS13" i="6" s="1"/>
  <c r="AR109" i="6"/>
  <c r="AR108" i="6"/>
  <c r="AI113" i="6"/>
  <c r="AK4" i="5"/>
  <c r="AK3" i="5"/>
  <c r="AN131" i="3"/>
  <c r="AN130" i="3"/>
  <c r="AL170" i="3"/>
  <c r="AL171" i="3" s="1"/>
  <c r="AL162" i="3"/>
  <c r="AL159" i="3"/>
  <c r="AL166" i="3"/>
  <c r="AM145" i="3"/>
  <c r="AL160" i="3"/>
  <c r="AM146" i="3"/>
  <c r="AL172" i="3"/>
  <c r="AL163" i="3"/>
  <c r="AL164" i="3" s="1"/>
  <c r="AK8" i="5"/>
  <c r="AK161" i="3"/>
  <c r="AB35" i="5"/>
  <c r="AB41" i="5" s="1"/>
  <c r="AK16" i="6"/>
  <c r="AK133" i="3"/>
  <c r="AL17" i="3"/>
  <c r="AL18" i="3"/>
  <c r="AV32" i="3"/>
  <c r="AW28" i="3"/>
  <c r="AV182" i="3"/>
  <c r="AV183" i="3" s="1"/>
  <c r="AS109" i="6" l="1"/>
  <c r="AS108" i="6"/>
  <c r="AL10" i="6"/>
  <c r="AL176" i="3"/>
  <c r="AL177" i="3"/>
  <c r="AU27" i="6"/>
  <c r="AU22" i="5"/>
  <c r="AU25" i="6"/>
  <c r="AU20" i="5"/>
  <c r="AU26" i="6"/>
  <c r="AU21" i="5"/>
  <c r="AU168" i="3"/>
  <c r="AT167" i="3"/>
  <c r="AT13" i="6" s="1"/>
  <c r="AM170" i="3"/>
  <c r="AM171" i="3" s="1"/>
  <c r="AM162" i="3"/>
  <c r="AM160" i="3"/>
  <c r="AN145" i="3"/>
  <c r="AM166" i="3"/>
  <c r="AM172" i="3"/>
  <c r="AM163" i="3"/>
  <c r="AM164" i="3" s="1"/>
  <c r="AM10" i="6" s="1"/>
  <c r="AM159" i="3"/>
  <c r="AN146" i="3"/>
  <c r="AV35" i="3"/>
  <c r="AV36" i="3"/>
  <c r="AV34" i="3"/>
  <c r="AL4" i="5"/>
  <c r="AL3" i="5"/>
  <c r="AL8" i="5"/>
  <c r="AL161" i="3"/>
  <c r="AK60" i="6"/>
  <c r="AK64" i="6" s="1"/>
  <c r="AK94" i="6"/>
  <c r="AK99" i="6"/>
  <c r="AK95" i="6"/>
  <c r="AK113" i="6" s="1"/>
  <c r="AK96" i="6"/>
  <c r="AK98" i="6"/>
  <c r="AK111" i="6" s="1"/>
  <c r="AK97" i="6"/>
  <c r="AX28" i="3"/>
  <c r="AW32" i="3"/>
  <c r="AW182" i="3"/>
  <c r="AW183" i="3" s="1"/>
  <c r="AO131" i="3"/>
  <c r="AO130" i="3"/>
  <c r="AL12" i="6"/>
  <c r="AL155" i="6" s="1"/>
  <c r="AL44" i="5" s="1"/>
  <c r="AL12" i="5"/>
  <c r="AL169" i="3"/>
  <c r="AL15" i="6" s="1"/>
  <c r="AT13" i="5"/>
  <c r="AT14" i="6"/>
  <c r="AL16" i="6"/>
  <c r="AL133" i="3"/>
  <c r="AM17" i="3"/>
  <c r="AM18" i="3"/>
  <c r="AL9" i="6"/>
  <c r="AL10" i="5"/>
  <c r="AB36" i="5"/>
  <c r="AC32" i="5" s="1"/>
  <c r="AC34" i="5" s="1"/>
  <c r="AK8" i="6"/>
  <c r="AK9" i="5"/>
  <c r="AL4" i="6"/>
  <c r="AL3" i="6"/>
  <c r="AV25" i="6" l="1"/>
  <c r="AV20" i="5"/>
  <c r="AM16" i="6"/>
  <c r="AM133" i="3"/>
  <c r="AN17" i="3"/>
  <c r="AN18" i="3"/>
  <c r="AV27" i="6"/>
  <c r="AV22" i="5"/>
  <c r="AL60" i="6"/>
  <c r="AL64" i="6" s="1"/>
  <c r="AL99" i="6"/>
  <c r="AL96" i="6"/>
  <c r="AL95" i="6"/>
  <c r="AL98" i="6"/>
  <c r="AL111" i="6" s="1"/>
  <c r="AL97" i="6"/>
  <c r="AL94" i="6"/>
  <c r="AV26" i="6"/>
  <c r="AV21" i="5"/>
  <c r="AV168" i="3"/>
  <c r="AU167" i="3"/>
  <c r="AU13" i="6" s="1"/>
  <c r="AU14" i="6"/>
  <c r="AU13" i="5"/>
  <c r="AN170" i="3"/>
  <c r="AN171" i="3" s="1"/>
  <c r="AN160" i="3"/>
  <c r="AN162" i="3"/>
  <c r="AO145" i="3"/>
  <c r="AN166" i="3"/>
  <c r="AO146" i="3"/>
  <c r="AN163" i="3"/>
  <c r="AN164" i="3" s="1"/>
  <c r="AN10" i="6" s="1"/>
  <c r="AN159" i="3"/>
  <c r="AL8" i="6"/>
  <c r="AL9" i="5"/>
  <c r="AM4" i="6"/>
  <c r="AM3" i="6"/>
  <c r="AW35" i="3"/>
  <c r="AW36" i="3"/>
  <c r="AW34" i="3"/>
  <c r="AM176" i="3"/>
  <c r="AM177" i="3"/>
  <c r="AM12" i="6"/>
  <c r="AM155" i="6" s="1"/>
  <c r="AM44" i="5" s="1"/>
  <c r="AM12" i="5"/>
  <c r="AM169" i="3"/>
  <c r="AM15" i="6" s="1"/>
  <c r="AP130" i="3"/>
  <c r="AP131" i="3"/>
  <c r="AT108" i="6"/>
  <c r="AT109" i="6"/>
  <c r="AM8" i="5"/>
  <c r="AM161" i="3"/>
  <c r="AX182" i="3"/>
  <c r="AX183" i="3" s="1"/>
  <c r="AX32" i="3"/>
  <c r="AC36" i="5"/>
  <c r="AD32" i="5" s="1"/>
  <c r="AD34" i="5" s="1"/>
  <c r="AC35" i="5"/>
  <c r="AC41" i="5" s="1"/>
  <c r="AM4" i="5"/>
  <c r="AM3" i="5"/>
  <c r="AM9" i="6"/>
  <c r="AM10" i="5"/>
  <c r="AN10" i="5" l="1"/>
  <c r="AN9" i="6"/>
  <c r="AL113" i="6"/>
  <c r="AQ131" i="3"/>
  <c r="AQ130" i="3"/>
  <c r="AD35" i="5"/>
  <c r="AD41" i="5" s="1"/>
  <c r="AN176" i="3"/>
  <c r="AN177" i="3"/>
  <c r="AN8" i="5"/>
  <c r="AN161" i="3"/>
  <c r="AU109" i="6"/>
  <c r="AU108" i="6"/>
  <c r="AM8" i="6"/>
  <c r="AM9" i="5"/>
  <c r="AN16" i="6"/>
  <c r="AN133" i="3"/>
  <c r="AV14" i="6"/>
  <c r="AV13" i="5"/>
  <c r="AW25" i="6"/>
  <c r="AW20" i="5"/>
  <c r="AT165" i="3"/>
  <c r="AW27" i="6"/>
  <c r="AW22" i="5"/>
  <c r="AV165" i="3"/>
  <c r="AW26" i="6"/>
  <c r="AW21" i="5"/>
  <c r="AW168" i="3"/>
  <c r="AV167" i="3"/>
  <c r="AV13" i="6" s="1"/>
  <c r="AX36" i="3"/>
  <c r="AX34" i="3"/>
  <c r="AX35" i="3"/>
  <c r="AO170" i="3"/>
  <c r="AO171" i="3" s="1"/>
  <c r="AO162" i="3"/>
  <c r="AP146" i="3"/>
  <c r="AO166" i="3"/>
  <c r="AO160" i="3"/>
  <c r="AP145" i="3"/>
  <c r="AO163" i="3"/>
  <c r="AO164" i="3" s="1"/>
  <c r="AO10" i="6" s="1"/>
  <c r="AO159" i="3"/>
  <c r="AN4" i="6"/>
  <c r="AN3" i="6"/>
  <c r="AN12" i="6"/>
  <c r="AN155" i="6" s="1"/>
  <c r="AN44" i="5" s="1"/>
  <c r="AN12" i="5"/>
  <c r="AN169" i="3"/>
  <c r="AN15" i="6" s="1"/>
  <c r="AN4" i="5"/>
  <c r="AN3" i="5"/>
  <c r="AS165" i="3"/>
  <c r="AM60" i="6"/>
  <c r="AM64" i="6" s="1"/>
  <c r="AM98" i="6"/>
  <c r="AM111" i="6" s="1"/>
  <c r="AM95" i="6"/>
  <c r="AM113" i="6" s="1"/>
  <c r="AM96" i="6"/>
  <c r="AM99" i="6"/>
  <c r="AM97" i="6"/>
  <c r="AM94" i="6"/>
  <c r="AN172" i="3"/>
  <c r="AO17" i="3"/>
  <c r="AO18" i="3"/>
  <c r="AW14" i="6" l="1"/>
  <c r="AW13" i="5"/>
  <c r="AO176" i="3"/>
  <c r="AO177" i="3"/>
  <c r="AO8" i="5"/>
  <c r="AO161" i="3"/>
  <c r="AO12" i="6"/>
  <c r="AO155" i="6" s="1"/>
  <c r="AO44" i="5" s="1"/>
  <c r="AO12" i="5"/>
  <c r="AO169" i="3"/>
  <c r="AO15" i="6" s="1"/>
  <c r="AV109" i="6"/>
  <c r="AV108" i="6"/>
  <c r="AD36" i="5"/>
  <c r="AE32" i="5" s="1"/>
  <c r="AE34" i="5" s="1"/>
  <c r="AV11" i="5"/>
  <c r="AV11" i="6"/>
  <c r="AO172" i="3"/>
  <c r="AO9" i="6"/>
  <c r="AO10" i="5"/>
  <c r="AR131" i="3"/>
  <c r="AR130" i="3"/>
  <c r="AQ146" i="3"/>
  <c r="AP172" i="3"/>
  <c r="AP166" i="3"/>
  <c r="AP170" i="3"/>
  <c r="AP171" i="3" s="1"/>
  <c r="AP160" i="3"/>
  <c r="AP162" i="3"/>
  <c r="AQ145" i="3"/>
  <c r="AP163" i="3"/>
  <c r="AP164" i="3" s="1"/>
  <c r="AP10" i="6" s="1"/>
  <c r="AP159" i="3"/>
  <c r="AT11" i="5"/>
  <c r="AT11" i="6"/>
  <c r="AN60" i="6"/>
  <c r="AN64" i="6" s="1"/>
  <c r="AN96" i="6"/>
  <c r="AN95" i="6"/>
  <c r="AN113" i="6" s="1"/>
  <c r="AN98" i="6"/>
  <c r="AN111" i="6" s="1"/>
  <c r="AN99" i="6"/>
  <c r="AN97" i="6"/>
  <c r="AN94" i="6"/>
  <c r="AX21" i="5"/>
  <c r="K46" i="10" s="1"/>
  <c r="K48" i="10" s="1"/>
  <c r="AX26" i="6"/>
  <c r="AX168" i="3"/>
  <c r="AW167" i="3"/>
  <c r="AW13" i="6" s="1"/>
  <c r="AX167" i="3"/>
  <c r="AX13" i="6" s="1"/>
  <c r="AO4" i="6"/>
  <c r="AO3" i="6"/>
  <c r="AX25" i="6"/>
  <c r="AX20" i="5"/>
  <c r="AX165" i="3"/>
  <c r="AU165" i="3"/>
  <c r="AW165" i="3"/>
  <c r="AP17" i="3"/>
  <c r="AP18" i="3"/>
  <c r="AN8" i="6"/>
  <c r="AN9" i="5"/>
  <c r="AO16" i="6"/>
  <c r="AO133" i="3"/>
  <c r="AS11" i="6"/>
  <c r="AS11" i="5"/>
  <c r="AO4" i="5"/>
  <c r="AO3" i="5"/>
  <c r="AX27" i="6"/>
  <c r="AX22" i="5"/>
  <c r="M165" i="3"/>
  <c r="L165" i="3"/>
  <c r="K165" i="3"/>
  <c r="V165" i="3"/>
  <c r="U165" i="3"/>
  <c r="Q165" i="3"/>
  <c r="S165" i="3"/>
  <c r="P165" i="3"/>
  <c r="N165" i="3"/>
  <c r="T165" i="3"/>
  <c r="R165" i="3"/>
  <c r="O165" i="3"/>
  <c r="W165" i="3"/>
  <c r="Z165" i="3"/>
  <c r="X165" i="3"/>
  <c r="Y165" i="3"/>
  <c r="AB165" i="3"/>
  <c r="AA165" i="3"/>
  <c r="AD165" i="3"/>
  <c r="AF165" i="3"/>
  <c r="AC165" i="3"/>
  <c r="AE165" i="3"/>
  <c r="AG165" i="3"/>
  <c r="AH165" i="3"/>
  <c r="AJ165" i="3"/>
  <c r="AI165" i="3"/>
  <c r="AM165" i="3"/>
  <c r="AK165" i="3"/>
  <c r="AL165" i="3"/>
  <c r="AN165" i="3"/>
  <c r="AO165" i="3"/>
  <c r="AQ165" i="3"/>
  <c r="AP165" i="3"/>
  <c r="AR165" i="3"/>
  <c r="AN11" i="6" l="1"/>
  <c r="AN11" i="5"/>
  <c r="AA11" i="5"/>
  <c r="AA11" i="6"/>
  <c r="Q11" i="6"/>
  <c r="Q11" i="5"/>
  <c r="AP4" i="6"/>
  <c r="AP3" i="6"/>
  <c r="AP9" i="6"/>
  <c r="AP10" i="5"/>
  <c r="AR11" i="6"/>
  <c r="AR11" i="5"/>
  <c r="AL11" i="6"/>
  <c r="AL11" i="5"/>
  <c r="AB11" i="6"/>
  <c r="AB11" i="5"/>
  <c r="U11" i="6"/>
  <c r="U11" i="5"/>
  <c r="AP8" i="5"/>
  <c r="AP161" i="3"/>
  <c r="Y11" i="6"/>
  <c r="Y11" i="5"/>
  <c r="V11" i="5"/>
  <c r="V11" i="6"/>
  <c r="AP16" i="6"/>
  <c r="AP133" i="3"/>
  <c r="AO60" i="6"/>
  <c r="AO64" i="6" s="1"/>
  <c r="AO97" i="6"/>
  <c r="AO96" i="6"/>
  <c r="AO98" i="6"/>
  <c r="AO111" i="6" s="1"/>
  <c r="AO99" i="6"/>
  <c r="AO95" i="6"/>
  <c r="AO113" i="6" s="1"/>
  <c r="AO94" i="6"/>
  <c r="AP12" i="5"/>
  <c r="AP12" i="6"/>
  <c r="AP155" i="6" s="1"/>
  <c r="AP44" i="5" s="1"/>
  <c r="AP169" i="3"/>
  <c r="AP15" i="6" s="1"/>
  <c r="Z11" i="6"/>
  <c r="Z11" i="5"/>
  <c r="M11" i="6"/>
  <c r="M11" i="5"/>
  <c r="AQ166" i="3"/>
  <c r="AQ163" i="3"/>
  <c r="AQ164" i="3" s="1"/>
  <c r="AQ10" i="6" s="1"/>
  <c r="AQ160" i="3"/>
  <c r="AR146" i="3"/>
  <c r="AQ170" i="3"/>
  <c r="AQ171" i="3" s="1"/>
  <c r="AQ162" i="3"/>
  <c r="AQ159" i="3"/>
  <c r="AR145" i="3"/>
  <c r="AO8" i="6"/>
  <c r="AO9" i="5"/>
  <c r="AX14" i="6"/>
  <c r="AX13" i="5"/>
  <c r="K49" i="10"/>
  <c r="K53" i="10" s="1"/>
  <c r="K51" i="10"/>
  <c r="L45" i="10" s="1"/>
  <c r="L48" i="10" s="1"/>
  <c r="AP176" i="3"/>
  <c r="AP177" i="3"/>
  <c r="K11" i="5"/>
  <c r="K25" i="5" s="1"/>
  <c r="K11" i="6"/>
  <c r="AW11" i="6"/>
  <c r="AW11" i="5"/>
  <c r="AU11" i="5"/>
  <c r="AU11" i="6"/>
  <c r="X11" i="6"/>
  <c r="X11" i="5"/>
  <c r="AI11" i="5"/>
  <c r="AI11" i="6"/>
  <c r="W11" i="5"/>
  <c r="W11" i="6"/>
  <c r="AH11" i="6"/>
  <c r="AH11" i="5"/>
  <c r="AX11" i="6"/>
  <c r="AX11" i="5"/>
  <c r="AC11" i="6"/>
  <c r="AC11" i="5"/>
  <c r="AK11" i="6"/>
  <c r="AK11" i="5"/>
  <c r="L11" i="5"/>
  <c r="L11" i="6"/>
  <c r="AJ11" i="6"/>
  <c r="AJ11" i="5"/>
  <c r="O11" i="6"/>
  <c r="O11" i="5"/>
  <c r="AG11" i="5"/>
  <c r="AG11" i="6"/>
  <c r="AE11" i="6"/>
  <c r="AE11" i="5"/>
  <c r="AP4" i="5"/>
  <c r="AP3" i="5"/>
  <c r="AM11" i="6"/>
  <c r="AM11" i="5"/>
  <c r="AQ17" i="3"/>
  <c r="AQ18" i="3"/>
  <c r="R11" i="6"/>
  <c r="R11" i="5"/>
  <c r="AS130" i="3"/>
  <c r="AS131" i="3"/>
  <c r="T11" i="6"/>
  <c r="T11" i="5"/>
  <c r="AP11" i="6"/>
  <c r="AP11" i="5"/>
  <c r="N11" i="6"/>
  <c r="N11" i="5"/>
  <c r="AQ11" i="6"/>
  <c r="AQ11" i="5"/>
  <c r="AF11" i="6"/>
  <c r="AF11" i="5"/>
  <c r="P11" i="6"/>
  <c r="P11" i="5"/>
  <c r="AO11" i="6"/>
  <c r="AO11" i="5"/>
  <c r="AD11" i="6"/>
  <c r="AD11" i="5"/>
  <c r="S11" i="5"/>
  <c r="S11" i="6"/>
  <c r="AE35" i="5"/>
  <c r="AE41" i="5" s="1"/>
  <c r="AW108" i="6"/>
  <c r="AW109" i="6"/>
  <c r="L49" i="10" l="1"/>
  <c r="L53" i="10" s="1"/>
  <c r="L51" i="10"/>
  <c r="M45" i="10" s="1"/>
  <c r="M48" i="10" s="1"/>
  <c r="K17" i="10"/>
  <c r="AE36" i="5"/>
  <c r="AF32" i="5" s="1"/>
  <c r="AF34" i="5" s="1"/>
  <c r="AQ10" i="5"/>
  <c r="AQ9" i="6"/>
  <c r="AQ16" i="6"/>
  <c r="AQ133" i="3"/>
  <c r="AR166" i="3"/>
  <c r="AR163" i="3"/>
  <c r="AR164" i="3" s="1"/>
  <c r="AR10" i="6" s="1"/>
  <c r="AR160" i="3"/>
  <c r="AR170" i="3"/>
  <c r="AR171" i="3" s="1"/>
  <c r="AS146" i="3"/>
  <c r="AR162" i="3"/>
  <c r="AS145" i="3"/>
  <c r="AR159" i="3"/>
  <c r="AQ4" i="5"/>
  <c r="AQ3" i="5"/>
  <c r="AT131" i="3"/>
  <c r="AT130" i="3"/>
  <c r="K26" i="5"/>
  <c r="L19" i="5" s="1"/>
  <c r="AX109" i="6"/>
  <c r="AX108" i="6"/>
  <c r="AQ12" i="5"/>
  <c r="AQ12" i="6"/>
  <c r="AQ155" i="6" s="1"/>
  <c r="AQ44" i="5" s="1"/>
  <c r="AQ169" i="3"/>
  <c r="AQ15" i="6" s="1"/>
  <c r="AQ177" i="3"/>
  <c r="AQ176" i="3"/>
  <c r="AQ172" i="3"/>
  <c r="AR18" i="3"/>
  <c r="AR17" i="3"/>
  <c r="AP60" i="6"/>
  <c r="AP64" i="6" s="1"/>
  <c r="AP98" i="6"/>
  <c r="AP111" i="6" s="1"/>
  <c r="AP95" i="6"/>
  <c r="AP97" i="6"/>
  <c r="AP96" i="6"/>
  <c r="AP99" i="6"/>
  <c r="AP94" i="6"/>
  <c r="AQ3" i="6"/>
  <c r="AQ4" i="6"/>
  <c r="AP8" i="6"/>
  <c r="AP9" i="5"/>
  <c r="AQ8" i="5"/>
  <c r="AQ161" i="3"/>
  <c r="AR3" i="6" l="1"/>
  <c r="AR4" i="6"/>
  <c r="AS18" i="3"/>
  <c r="AS17" i="3"/>
  <c r="AQ60" i="6"/>
  <c r="AQ64" i="6" s="1"/>
  <c r="AQ97" i="6"/>
  <c r="AQ94" i="6"/>
  <c r="AQ96" i="6"/>
  <c r="AQ99" i="6"/>
  <c r="AQ95" i="6"/>
  <c r="AQ98" i="6"/>
  <c r="AQ111" i="6" s="1"/>
  <c r="AQ9" i="5"/>
  <c r="AQ8" i="6"/>
  <c r="AR4" i="5"/>
  <c r="AR3" i="5"/>
  <c r="K29" i="10"/>
  <c r="AR9" i="6"/>
  <c r="AR10" i="5"/>
  <c r="AT146" i="3"/>
  <c r="AS166" i="3"/>
  <c r="AS160" i="3"/>
  <c r="AS170" i="3"/>
  <c r="AS171" i="3" s="1"/>
  <c r="AS159" i="3"/>
  <c r="AT145" i="3"/>
  <c r="AS163" i="3"/>
  <c r="AS164" i="3" s="1"/>
  <c r="AS10" i="6" s="1"/>
  <c r="AS162" i="3"/>
  <c r="AF35" i="5"/>
  <c r="AF41" i="5" s="1"/>
  <c r="AR16" i="6"/>
  <c r="AR133" i="3"/>
  <c r="M49" i="10"/>
  <c r="M53" i="10" s="1"/>
  <c r="M51" i="10"/>
  <c r="N45" i="10" s="1"/>
  <c r="N48" i="10" s="1"/>
  <c r="AP113" i="6"/>
  <c r="AR8" i="5"/>
  <c r="AR161" i="3"/>
  <c r="L17" i="10"/>
  <c r="AR177" i="3"/>
  <c r="AR176" i="3"/>
  <c r="L24" i="6"/>
  <c r="L28" i="6" s="1"/>
  <c r="L23" i="5" s="1"/>
  <c r="L24" i="5" s="1"/>
  <c r="AU130" i="3"/>
  <c r="AU131" i="3"/>
  <c r="AR12" i="5"/>
  <c r="AR12" i="6"/>
  <c r="AR155" i="6" s="1"/>
  <c r="AR44" i="5" s="1"/>
  <c r="AR169" i="3"/>
  <c r="AR15" i="6" s="1"/>
  <c r="AR172" i="3"/>
  <c r="L25" i="5" l="1"/>
  <c r="L26" i="5"/>
  <c r="M19" i="5" s="1"/>
  <c r="AU145" i="3"/>
  <c r="AT166" i="3"/>
  <c r="AT163" i="3"/>
  <c r="AT164" i="3" s="1"/>
  <c r="AT10" i="6" s="1"/>
  <c r="AT160" i="3"/>
  <c r="AT159" i="3"/>
  <c r="AT170" i="3"/>
  <c r="AT171" i="3" s="1"/>
  <c r="AU146" i="3"/>
  <c r="AT162" i="3"/>
  <c r="AR60" i="6"/>
  <c r="AR64" i="6" s="1"/>
  <c r="AR97" i="6"/>
  <c r="AR94" i="6"/>
  <c r="AR99" i="6"/>
  <c r="AR96" i="6"/>
  <c r="AR95" i="6"/>
  <c r="AR98" i="6"/>
  <c r="AR111" i="6" s="1"/>
  <c r="AS177" i="3"/>
  <c r="AS176" i="3"/>
  <c r="AF36" i="5"/>
  <c r="AG32" i="5" s="1"/>
  <c r="AG34" i="5" s="1"/>
  <c r="AV130" i="3"/>
  <c r="AV131" i="3"/>
  <c r="AR8" i="6"/>
  <c r="AR9" i="5"/>
  <c r="AS4" i="5"/>
  <c r="AS3" i="5"/>
  <c r="AT18" i="3"/>
  <c r="AT17" i="3"/>
  <c r="AS9" i="6"/>
  <c r="AS10" i="5"/>
  <c r="AS16" i="6"/>
  <c r="AS133" i="3"/>
  <c r="N49" i="10"/>
  <c r="N53" i="10" s="1"/>
  <c r="AS8" i="5"/>
  <c r="AS161" i="3"/>
  <c r="AS3" i="6"/>
  <c r="AS4" i="6"/>
  <c r="M17" i="10"/>
  <c r="AS12" i="5"/>
  <c r="AS12" i="6"/>
  <c r="AS155" i="6" s="1"/>
  <c r="AS44" i="5" s="1"/>
  <c r="AS169" i="3"/>
  <c r="AS15" i="6" s="1"/>
  <c r="AT169" i="3"/>
  <c r="AT15" i="6" s="1"/>
  <c r="AS172" i="3"/>
  <c r="AQ113" i="6"/>
  <c r="N51" i="10" l="1"/>
  <c r="O45" i="10" s="1"/>
  <c r="O48" i="10" s="1"/>
  <c r="AR113" i="6"/>
  <c r="AT12" i="6"/>
  <c r="AT155" i="6" s="1"/>
  <c r="AT44" i="5" s="1"/>
  <c r="AT12" i="5"/>
  <c r="AT60" i="6"/>
  <c r="AT64" i="6" s="1"/>
  <c r="AT97" i="6"/>
  <c r="AT94" i="6"/>
  <c r="AT98" i="6"/>
  <c r="AT111" i="6" s="1"/>
  <c r="AT99" i="6"/>
  <c r="AT96" i="6"/>
  <c r="AT95" i="6"/>
  <c r="N17" i="10"/>
  <c r="AW130" i="3"/>
  <c r="AW131" i="3"/>
  <c r="AT172" i="3"/>
  <c r="AS60" i="6"/>
  <c r="AS64" i="6" s="1"/>
  <c r="AS98" i="6"/>
  <c r="AS111" i="6" s="1"/>
  <c r="AS97" i="6"/>
  <c r="AS99" i="6"/>
  <c r="AS96" i="6"/>
  <c r="AS94" i="6"/>
  <c r="AS95" i="6"/>
  <c r="AT10" i="5"/>
  <c r="AT9" i="6"/>
  <c r="AU162" i="3"/>
  <c r="AU159" i="3"/>
  <c r="AV145" i="3"/>
  <c r="AU170" i="3"/>
  <c r="AU171" i="3" s="1"/>
  <c r="AV146" i="3"/>
  <c r="AU163" i="3"/>
  <c r="AU164" i="3" s="1"/>
  <c r="AU10" i="6" s="1"/>
  <c r="AU160" i="3"/>
  <c r="AU166" i="3"/>
  <c r="AU18" i="3"/>
  <c r="AU17" i="3"/>
  <c r="AG35" i="5"/>
  <c r="AG41" i="5" s="1"/>
  <c r="AG36" i="5"/>
  <c r="AH32" i="5" s="1"/>
  <c r="AH34" i="5" s="1"/>
  <c r="AT16" i="6"/>
  <c r="AT133" i="3"/>
  <c r="AS9" i="5"/>
  <c r="AS8" i="6"/>
  <c r="AT3" i="5"/>
  <c r="AT4" i="5"/>
  <c r="AT177" i="3"/>
  <c r="AT176" i="3"/>
  <c r="AT8" i="5"/>
  <c r="AT161" i="3"/>
  <c r="M24" i="6"/>
  <c r="M28" i="6" s="1"/>
  <c r="M23" i="5" s="1"/>
  <c r="M24" i="5" s="1"/>
  <c r="AT3" i="6"/>
  <c r="AT4" i="6"/>
  <c r="M25" i="5" l="1"/>
  <c r="M26" i="5" s="1"/>
  <c r="N19" i="5" s="1"/>
  <c r="AU8" i="5"/>
  <c r="AU161" i="3"/>
  <c r="AX130" i="3"/>
  <c r="AX131" i="3"/>
  <c r="AU172" i="3"/>
  <c r="AH35" i="5"/>
  <c r="AH41" i="5" s="1"/>
  <c r="AH36" i="5"/>
  <c r="AI32" i="5" s="1"/>
  <c r="AI34" i="5" s="1"/>
  <c r="AU3" i="6"/>
  <c r="AU4" i="6"/>
  <c r="AV18" i="3"/>
  <c r="AV17" i="3"/>
  <c r="AT9" i="5"/>
  <c r="AT8" i="6"/>
  <c r="AU10" i="5"/>
  <c r="AU9" i="6"/>
  <c r="AS113" i="6"/>
  <c r="AT113" i="6"/>
  <c r="AV162" i="3"/>
  <c r="AV159" i="3"/>
  <c r="AV163" i="3"/>
  <c r="AV164" i="3" s="1"/>
  <c r="AV10" i="6" s="1"/>
  <c r="AW146" i="3"/>
  <c r="AV172" i="3"/>
  <c r="AW145" i="3"/>
  <c r="AV160" i="3"/>
  <c r="AV166" i="3"/>
  <c r="AV170" i="3"/>
  <c r="AV171" i="3" s="1"/>
  <c r="AU16" i="6"/>
  <c r="AU133" i="3"/>
  <c r="AU177" i="3"/>
  <c r="AU176" i="3"/>
  <c r="AU3" i="5"/>
  <c r="AU4" i="5"/>
  <c r="AU12" i="6"/>
  <c r="AU155" i="6" s="1"/>
  <c r="AU44" i="5" s="1"/>
  <c r="AU12" i="5"/>
  <c r="AU169" i="3"/>
  <c r="AU15" i="6" s="1"/>
  <c r="AV169" i="3"/>
  <c r="AV15" i="6" s="1"/>
  <c r="O49" i="10"/>
  <c r="O53" i="10" s="1"/>
  <c r="N24" i="6" l="1"/>
  <c r="N28" i="6" s="1"/>
  <c r="N23" i="5" s="1"/>
  <c r="N24" i="5" s="1"/>
  <c r="AV3" i="5"/>
  <c r="AV4" i="5"/>
  <c r="AI35" i="5"/>
  <c r="AI41" i="5" s="1"/>
  <c r="AI36" i="5"/>
  <c r="AJ32" i="5" s="1"/>
  <c r="AJ34" i="5" s="1"/>
  <c r="O51" i="10"/>
  <c r="P45" i="10" s="1"/>
  <c r="P48" i="10" s="1"/>
  <c r="AX145" i="3"/>
  <c r="AW163" i="3"/>
  <c r="AW164" i="3" s="1"/>
  <c r="AW10" i="6" s="1"/>
  <c r="AW159" i="3"/>
  <c r="AW170" i="3" s="1"/>
  <c r="AW162" i="3"/>
  <c r="AW166" i="3"/>
  <c r="AX146" i="3"/>
  <c r="AW160" i="3"/>
  <c r="O17" i="10"/>
  <c r="AW18" i="3"/>
  <c r="AW17" i="3"/>
  <c r="AU9" i="5"/>
  <c r="AU8" i="6"/>
  <c r="AV60" i="6"/>
  <c r="AV64" i="6" s="1"/>
  <c r="AV94" i="6"/>
  <c r="AV99" i="6"/>
  <c r="AV98" i="6"/>
  <c r="AV111" i="6" s="1"/>
  <c r="AV95" i="6"/>
  <c r="AV97" i="6"/>
  <c r="AV96" i="6"/>
  <c r="AV3" i="6"/>
  <c r="AV4" i="6"/>
  <c r="AU60" i="6"/>
  <c r="AU64" i="6" s="1"/>
  <c r="AU99" i="6"/>
  <c r="AU96" i="6"/>
  <c r="AU94" i="6"/>
  <c r="AU97" i="6"/>
  <c r="AU98" i="6"/>
  <c r="AU111" i="6" s="1"/>
  <c r="AU95" i="6"/>
  <c r="AV16" i="6"/>
  <c r="AV133" i="3"/>
  <c r="AV12" i="5"/>
  <c r="AV12" i="6"/>
  <c r="AV155" i="6" s="1"/>
  <c r="AV44" i="5" s="1"/>
  <c r="AW169" i="3"/>
  <c r="AW15" i="6" s="1"/>
  <c r="AV177" i="3"/>
  <c r="AV176" i="3"/>
  <c r="AV9" i="6"/>
  <c r="AV10" i="5"/>
  <c r="AV8" i="5"/>
  <c r="AV161" i="3"/>
  <c r="AW171" i="3" l="1"/>
  <c r="AW172" i="3"/>
  <c r="N25" i="5"/>
  <c r="N26" i="5" s="1"/>
  <c r="O19" i="5" s="1"/>
  <c r="AW3" i="6"/>
  <c r="AW4" i="6"/>
  <c r="AV113" i="6"/>
  <c r="AX17" i="3"/>
  <c r="AX18" i="3"/>
  <c r="AU113" i="6"/>
  <c r="P49" i="10"/>
  <c r="P53" i="10" s="1"/>
  <c r="AW177" i="3"/>
  <c r="AW176" i="3"/>
  <c r="AJ35" i="5"/>
  <c r="AJ41" i="5" s="1"/>
  <c r="AW8" i="5"/>
  <c r="AW161" i="3"/>
  <c r="AX170" i="3"/>
  <c r="AX171" i="3" s="1"/>
  <c r="AX162" i="3"/>
  <c r="AX159" i="3"/>
  <c r="AX172" i="3"/>
  <c r="AX163" i="3"/>
  <c r="AX164" i="3" s="1"/>
  <c r="AX166" i="3"/>
  <c r="AX160" i="3"/>
  <c r="AW4" i="5"/>
  <c r="AW3" i="5"/>
  <c r="AW60" i="6"/>
  <c r="AW64" i="6" s="1"/>
  <c r="AW99" i="6"/>
  <c r="AW95" i="6"/>
  <c r="AW98" i="6"/>
  <c r="AW111" i="6" s="1"/>
  <c r="AW94" i="6"/>
  <c r="AW97" i="6"/>
  <c r="AW96" i="6"/>
  <c r="AW12" i="6"/>
  <c r="AW155" i="6" s="1"/>
  <c r="AW44" i="5" s="1"/>
  <c r="AW12" i="5"/>
  <c r="AW9" i="6"/>
  <c r="AW10" i="5"/>
  <c r="AV9" i="5"/>
  <c r="AV8" i="6"/>
  <c r="O24" i="6" l="1"/>
  <c r="O28" i="6" s="1"/>
  <c r="O23" i="5" s="1"/>
  <c r="O24" i="5" s="1"/>
  <c r="AX176" i="3"/>
  <c r="AX177" i="3"/>
  <c r="P17" i="10"/>
  <c r="AX3" i="6"/>
  <c r="AX4" i="6"/>
  <c r="AX4" i="5"/>
  <c r="AX3" i="5"/>
  <c r="AX8" i="5"/>
  <c r="AX161" i="3"/>
  <c r="AX12" i="6"/>
  <c r="AX155" i="6" s="1"/>
  <c r="AX44" i="5" s="1"/>
  <c r="AX12" i="5"/>
  <c r="AX169" i="3"/>
  <c r="AX15" i="6" s="1"/>
  <c r="AX10" i="6"/>
  <c r="M56" i="9"/>
  <c r="K56" i="9"/>
  <c r="L56" i="9"/>
  <c r="N56" i="9"/>
  <c r="R56" i="9"/>
  <c r="P56" i="9"/>
  <c r="O56" i="9"/>
  <c r="Q56" i="9"/>
  <c r="S56" i="9"/>
  <c r="T56" i="9"/>
  <c r="U56" i="9"/>
  <c r="V56" i="9"/>
  <c r="W56" i="9"/>
  <c r="X56" i="9"/>
  <c r="Y56" i="9"/>
  <c r="AB56" i="9"/>
  <c r="Z56" i="9"/>
  <c r="AA56" i="9"/>
  <c r="AC56" i="9"/>
  <c r="AD56" i="9"/>
  <c r="AF56" i="9"/>
  <c r="AE56" i="9"/>
  <c r="AG56" i="9"/>
  <c r="AH56" i="9"/>
  <c r="AI56" i="9"/>
  <c r="AW8" i="6"/>
  <c r="AW9" i="5"/>
  <c r="P51" i="10"/>
  <c r="Q45" i="10" s="1"/>
  <c r="Q48" i="10" s="1"/>
  <c r="AJ36" i="5"/>
  <c r="AK32" i="5" s="1"/>
  <c r="AK34" i="5" s="1"/>
  <c r="AW113" i="6"/>
  <c r="AX9" i="6"/>
  <c r="AX10" i="5"/>
  <c r="AX16" i="6"/>
  <c r="AX133" i="3"/>
  <c r="AW16" i="6"/>
  <c r="AW133" i="3"/>
  <c r="O25" i="5" l="1"/>
  <c r="O26" i="5" s="1"/>
  <c r="P19" i="5" s="1"/>
  <c r="Q38" i="9"/>
  <c r="Q40" i="9"/>
  <c r="Q39" i="9"/>
  <c r="Q74" i="9"/>
  <c r="Q49" i="10"/>
  <c r="Q53" i="10" s="1"/>
  <c r="Q51" i="10"/>
  <c r="R45" i="10" s="1"/>
  <c r="R48" i="10" s="1"/>
  <c r="AC40" i="9"/>
  <c r="AC39" i="9"/>
  <c r="AC38" i="9"/>
  <c r="AC74" i="9"/>
  <c r="AC24" i="10" s="1"/>
  <c r="O40" i="9"/>
  <c r="O38" i="9"/>
  <c r="O39" i="9"/>
  <c r="O74" i="9"/>
  <c r="AX9" i="5"/>
  <c r="AX8" i="6"/>
  <c r="AA40" i="9"/>
  <c r="AA39" i="9"/>
  <c r="AA38" i="9"/>
  <c r="AA74" i="9"/>
  <c r="P38" i="9"/>
  <c r="P39" i="9"/>
  <c r="P40" i="9"/>
  <c r="P74" i="9"/>
  <c r="Z39" i="9"/>
  <c r="Z40" i="9"/>
  <c r="Z38" i="9"/>
  <c r="Z74" i="9"/>
  <c r="R24" i="10"/>
  <c r="R39" i="9"/>
  <c r="R38" i="9"/>
  <c r="R40" i="9"/>
  <c r="R74" i="9"/>
  <c r="AB40" i="9"/>
  <c r="AB38" i="9"/>
  <c r="AB39" i="9"/>
  <c r="AB74" i="9"/>
  <c r="N24" i="10"/>
  <c r="N39" i="9"/>
  <c r="N38" i="9"/>
  <c r="N40" i="9"/>
  <c r="N74" i="9"/>
  <c r="AW121" i="6"/>
  <c r="AW127" i="6" s="1"/>
  <c r="AW138" i="6" s="1"/>
  <c r="AW61" i="6"/>
  <c r="AW65" i="6" s="1"/>
  <c r="AW144" i="6" s="1"/>
  <c r="AW120" i="6"/>
  <c r="AW126" i="6" s="1"/>
  <c r="AW122" i="6"/>
  <c r="AW128" i="6" s="1"/>
  <c r="AW123" i="6"/>
  <c r="AW129" i="6" s="1"/>
  <c r="AW119" i="6"/>
  <c r="AW125" i="6" s="1"/>
  <c r="Y40" i="9"/>
  <c r="Y38" i="9"/>
  <c r="Y39" i="9"/>
  <c r="Y74" i="9"/>
  <c r="Y24" i="10" s="1"/>
  <c r="L74" i="9"/>
  <c r="L40" i="9"/>
  <c r="L39" i="9"/>
  <c r="L38" i="9"/>
  <c r="X38" i="9"/>
  <c r="X40" i="9"/>
  <c r="X39" i="9"/>
  <c r="X74" i="9"/>
  <c r="X24" i="10" s="1"/>
  <c r="K74" i="9"/>
  <c r="K38" i="9"/>
  <c r="K40" i="9"/>
  <c r="K39" i="9"/>
  <c r="AI40" i="9"/>
  <c r="AI39" i="9"/>
  <c r="AI38" i="9"/>
  <c r="AI74" i="9"/>
  <c r="AI24" i="10" s="1"/>
  <c r="W39" i="9"/>
  <c r="W40" i="9"/>
  <c r="W38" i="9"/>
  <c r="W74" i="9"/>
  <c r="M24" i="10"/>
  <c r="M39" i="9"/>
  <c r="M74" i="9"/>
  <c r="M40" i="9"/>
  <c r="M38" i="9"/>
  <c r="AH39" i="9"/>
  <c r="AH38" i="9"/>
  <c r="AH40" i="9"/>
  <c r="AH74" i="9"/>
  <c r="V40" i="9"/>
  <c r="V39" i="9"/>
  <c r="V38" i="9"/>
  <c r="V74" i="9"/>
  <c r="V24" i="10" s="1"/>
  <c r="P48" i="9"/>
  <c r="P49" i="9" s="1"/>
  <c r="AF48" i="9"/>
  <c r="AF49" i="9" s="1"/>
  <c r="AH48" i="9"/>
  <c r="AH49" i="9" s="1"/>
  <c r="AG39" i="9"/>
  <c r="AG38" i="9"/>
  <c r="AG40" i="9"/>
  <c r="AG74" i="9"/>
  <c r="U24" i="10"/>
  <c r="U40" i="9"/>
  <c r="U38" i="9"/>
  <c r="U39" i="9"/>
  <c r="U74" i="9"/>
  <c r="AX60" i="6"/>
  <c r="AX64" i="6" s="1"/>
  <c r="AX99" i="6"/>
  <c r="AX96" i="6"/>
  <c r="AX95" i="6"/>
  <c r="AX94" i="6"/>
  <c r="AX97" i="6"/>
  <c r="AX98" i="6"/>
  <c r="AX111" i="6" s="1"/>
  <c r="AD38" i="9"/>
  <c r="AD39" i="9"/>
  <c r="AD40" i="9"/>
  <c r="AD74" i="9"/>
  <c r="AE38" i="9"/>
  <c r="AE40" i="9"/>
  <c r="AE39" i="9"/>
  <c r="AE74" i="9"/>
  <c r="AE24" i="10" s="1"/>
  <c r="T39" i="9"/>
  <c r="T40" i="9"/>
  <c r="T38" i="9"/>
  <c r="T74" i="9"/>
  <c r="AT61" i="6"/>
  <c r="AT65" i="6" s="1"/>
  <c r="AT144" i="6" s="1"/>
  <c r="AU61" i="6"/>
  <c r="AU65" i="6" s="1"/>
  <c r="AU144" i="6" s="1"/>
  <c r="AU119" i="6"/>
  <c r="AU125" i="6" s="1"/>
  <c r="AR123" i="6"/>
  <c r="AR129" i="6" s="1"/>
  <c r="AU120" i="6"/>
  <c r="AU126" i="6" s="1"/>
  <c r="AU139" i="6" s="1"/>
  <c r="AU123" i="6"/>
  <c r="AU129" i="6" s="1"/>
  <c r="AS120" i="6"/>
  <c r="AS126" i="6" s="1"/>
  <c r="AQ61" i="6"/>
  <c r="AQ65" i="6" s="1"/>
  <c r="AQ144" i="6" s="1"/>
  <c r="AU121" i="6"/>
  <c r="AU127" i="6" s="1"/>
  <c r="AU138" i="6" s="1"/>
  <c r="AS122" i="6"/>
  <c r="AS128" i="6" s="1"/>
  <c r="AT123" i="6"/>
  <c r="AT129" i="6" s="1"/>
  <c r="AV121" i="6"/>
  <c r="AV127" i="6" s="1"/>
  <c r="AV138" i="6" s="1"/>
  <c r="AT120" i="6"/>
  <c r="AT126" i="6" s="1"/>
  <c r="AV61" i="6"/>
  <c r="AV65" i="6" s="1"/>
  <c r="AV144" i="6" s="1"/>
  <c r="AU122" i="6"/>
  <c r="AU128" i="6" s="1"/>
  <c r="AR121" i="6"/>
  <c r="AR127" i="6" s="1"/>
  <c r="AR138" i="6" s="1"/>
  <c r="AS121" i="6"/>
  <c r="AS127" i="6" s="1"/>
  <c r="AS138" i="6" s="1"/>
  <c r="AR61" i="6"/>
  <c r="AR65" i="6" s="1"/>
  <c r="AR144" i="6" s="1"/>
  <c r="AV122" i="6"/>
  <c r="AV128" i="6" s="1"/>
  <c r="AV123" i="6"/>
  <c r="AV129" i="6" s="1"/>
  <c r="AQ122" i="6"/>
  <c r="AQ128" i="6" s="1"/>
  <c r="AV119" i="6"/>
  <c r="AV125" i="6" s="1"/>
  <c r="AQ121" i="6"/>
  <c r="AQ127" i="6" s="1"/>
  <c r="AQ138" i="6" s="1"/>
  <c r="AR122" i="6"/>
  <c r="AR128" i="6" s="1"/>
  <c r="AQ120" i="6"/>
  <c r="AQ126" i="6" s="1"/>
  <c r="AQ139" i="6" s="1"/>
  <c r="AT122" i="6"/>
  <c r="AT128" i="6" s="1"/>
  <c r="AT119" i="6"/>
  <c r="AT125" i="6" s="1"/>
  <c r="AS119" i="6"/>
  <c r="AS125" i="6" s="1"/>
  <c r="AR119" i="6"/>
  <c r="AR125" i="6" s="1"/>
  <c r="AV120" i="6"/>
  <c r="AV126" i="6" s="1"/>
  <c r="AV139" i="6" s="1"/>
  <c r="AS61" i="6"/>
  <c r="AS65" i="6" s="1"/>
  <c r="AS144" i="6" s="1"/>
  <c r="AS123" i="6"/>
  <c r="AS129" i="6" s="1"/>
  <c r="AT121" i="6"/>
  <c r="AT127" i="6" s="1"/>
  <c r="AT138" i="6" s="1"/>
  <c r="AQ123" i="6"/>
  <c r="AQ129" i="6" s="1"/>
  <c r="K61" i="6"/>
  <c r="K65" i="6" s="1"/>
  <c r="K121" i="6"/>
  <c r="K127" i="6" s="1"/>
  <c r="K138" i="6" s="1"/>
  <c r="L122" i="6"/>
  <c r="L128" i="6" s="1"/>
  <c r="K122" i="6"/>
  <c r="K128" i="6" s="1"/>
  <c r="L61" i="6"/>
  <c r="L65" i="6" s="1"/>
  <c r="L144" i="6" s="1"/>
  <c r="K119" i="6"/>
  <c r="K125" i="6" s="1"/>
  <c r="K137" i="6" s="1"/>
  <c r="K140" i="6" s="1"/>
  <c r="K145" i="6" s="1"/>
  <c r="K123" i="6"/>
  <c r="K129" i="6" s="1"/>
  <c r="L121" i="6"/>
  <c r="L127" i="6" s="1"/>
  <c r="L138" i="6" s="1"/>
  <c r="L120" i="6"/>
  <c r="L126" i="6" s="1"/>
  <c r="M120" i="6"/>
  <c r="M126" i="6" s="1"/>
  <c r="L119" i="6"/>
  <c r="L125" i="6" s="1"/>
  <c r="M121" i="6"/>
  <c r="M127" i="6" s="1"/>
  <c r="M138" i="6" s="1"/>
  <c r="K120" i="6"/>
  <c r="K126" i="6" s="1"/>
  <c r="K139" i="6" s="1"/>
  <c r="M61" i="6"/>
  <c r="M65" i="6" s="1"/>
  <c r="M144" i="6" s="1"/>
  <c r="N119" i="6"/>
  <c r="N125" i="6" s="1"/>
  <c r="O120" i="6"/>
  <c r="O126" i="6" s="1"/>
  <c r="M119" i="6"/>
  <c r="M125" i="6" s="1"/>
  <c r="N123" i="6"/>
  <c r="N129" i="6" s="1"/>
  <c r="N122" i="6"/>
  <c r="N128" i="6" s="1"/>
  <c r="M122" i="6"/>
  <c r="M128" i="6" s="1"/>
  <c r="L123" i="6"/>
  <c r="L129" i="6" s="1"/>
  <c r="M123" i="6"/>
  <c r="M129" i="6" s="1"/>
  <c r="O121" i="6"/>
  <c r="O127" i="6" s="1"/>
  <c r="O138" i="6" s="1"/>
  <c r="N61" i="6"/>
  <c r="N65" i="6" s="1"/>
  <c r="N144" i="6" s="1"/>
  <c r="O119" i="6"/>
  <c r="O125" i="6" s="1"/>
  <c r="N120" i="6"/>
  <c r="N126" i="6" s="1"/>
  <c r="O123" i="6"/>
  <c r="O129" i="6" s="1"/>
  <c r="N121" i="6"/>
  <c r="N127" i="6" s="1"/>
  <c r="N138" i="6" s="1"/>
  <c r="P120" i="6"/>
  <c r="P126" i="6" s="1"/>
  <c r="P121" i="6"/>
  <c r="P127" i="6" s="1"/>
  <c r="P138" i="6" s="1"/>
  <c r="O61" i="6"/>
  <c r="O65" i="6" s="1"/>
  <c r="O144" i="6" s="1"/>
  <c r="O122" i="6"/>
  <c r="O128" i="6" s="1"/>
  <c r="P119" i="6"/>
  <c r="P125" i="6" s="1"/>
  <c r="P122" i="6"/>
  <c r="P128" i="6" s="1"/>
  <c r="P123" i="6"/>
  <c r="P129" i="6" s="1"/>
  <c r="P61" i="6"/>
  <c r="P65" i="6" s="1"/>
  <c r="P144" i="6" s="1"/>
  <c r="T123" i="6"/>
  <c r="T129" i="6" s="1"/>
  <c r="S120" i="6"/>
  <c r="S126" i="6" s="1"/>
  <c r="Q122" i="6"/>
  <c r="Q128" i="6" s="1"/>
  <c r="Q123" i="6"/>
  <c r="Q129" i="6" s="1"/>
  <c r="Q119" i="6"/>
  <c r="Q125" i="6" s="1"/>
  <c r="R122" i="6"/>
  <c r="R128" i="6" s="1"/>
  <c r="R123" i="6"/>
  <c r="R129" i="6" s="1"/>
  <c r="Q61" i="6"/>
  <c r="Q65" i="6" s="1"/>
  <c r="Q144" i="6" s="1"/>
  <c r="R61" i="6"/>
  <c r="R65" i="6" s="1"/>
  <c r="R144" i="6" s="1"/>
  <c r="R120" i="6"/>
  <c r="R126" i="6" s="1"/>
  <c r="Q120" i="6"/>
  <c r="Q126" i="6" s="1"/>
  <c r="R119" i="6"/>
  <c r="R125" i="6" s="1"/>
  <c r="Q121" i="6"/>
  <c r="Q127" i="6" s="1"/>
  <c r="Q138" i="6" s="1"/>
  <c r="S123" i="6"/>
  <c r="S129" i="6" s="1"/>
  <c r="R121" i="6"/>
  <c r="R127" i="6" s="1"/>
  <c r="R138" i="6" s="1"/>
  <c r="T121" i="6"/>
  <c r="T127" i="6" s="1"/>
  <c r="T138" i="6" s="1"/>
  <c r="T119" i="6"/>
  <c r="T125" i="6" s="1"/>
  <c r="T122" i="6"/>
  <c r="T128" i="6" s="1"/>
  <c r="U122" i="6"/>
  <c r="U128" i="6" s="1"/>
  <c r="T61" i="6"/>
  <c r="T65" i="6" s="1"/>
  <c r="T144" i="6" s="1"/>
  <c r="S61" i="6"/>
  <c r="S65" i="6" s="1"/>
  <c r="S144" i="6" s="1"/>
  <c r="T120" i="6"/>
  <c r="T126" i="6" s="1"/>
  <c r="S119" i="6"/>
  <c r="S125" i="6" s="1"/>
  <c r="S121" i="6"/>
  <c r="S127" i="6" s="1"/>
  <c r="S138" i="6" s="1"/>
  <c r="V119" i="6"/>
  <c r="V125" i="6" s="1"/>
  <c r="S122" i="6"/>
  <c r="S128" i="6" s="1"/>
  <c r="U119" i="6"/>
  <c r="U125" i="6" s="1"/>
  <c r="V121" i="6"/>
  <c r="V127" i="6" s="1"/>
  <c r="V138" i="6" s="1"/>
  <c r="X61" i="6"/>
  <c r="X65" i="6" s="1"/>
  <c r="X144" i="6" s="1"/>
  <c r="V122" i="6"/>
  <c r="V128" i="6" s="1"/>
  <c r="V123" i="6"/>
  <c r="V129" i="6" s="1"/>
  <c r="W119" i="6"/>
  <c r="W125" i="6" s="1"/>
  <c r="U121" i="6"/>
  <c r="U127" i="6" s="1"/>
  <c r="U138" i="6" s="1"/>
  <c r="V61" i="6"/>
  <c r="V65" i="6" s="1"/>
  <c r="V144" i="6" s="1"/>
  <c r="U120" i="6"/>
  <c r="U126" i="6" s="1"/>
  <c r="U123" i="6"/>
  <c r="U129" i="6" s="1"/>
  <c r="U61" i="6"/>
  <c r="U65" i="6" s="1"/>
  <c r="U144" i="6" s="1"/>
  <c r="V120" i="6"/>
  <c r="V126" i="6" s="1"/>
  <c r="Y120" i="6"/>
  <c r="Y126" i="6" s="1"/>
  <c r="W122" i="6"/>
  <c r="W128" i="6" s="1"/>
  <c r="X123" i="6"/>
  <c r="X129" i="6" s="1"/>
  <c r="W61" i="6"/>
  <c r="W65" i="6" s="1"/>
  <c r="W144" i="6" s="1"/>
  <c r="W123" i="6"/>
  <c r="W129" i="6" s="1"/>
  <c r="W121" i="6"/>
  <c r="W127" i="6" s="1"/>
  <c r="W138" i="6" s="1"/>
  <c r="W120" i="6"/>
  <c r="W126" i="6" s="1"/>
  <c r="X120" i="6"/>
  <c r="X126" i="6" s="1"/>
  <c r="X139" i="6" s="1"/>
  <c r="X121" i="6"/>
  <c r="X127" i="6" s="1"/>
  <c r="X138" i="6" s="1"/>
  <c r="Z121" i="6"/>
  <c r="Z127" i="6" s="1"/>
  <c r="Z138" i="6" s="1"/>
  <c r="Y119" i="6"/>
  <c r="Y125" i="6" s="1"/>
  <c r="X122" i="6"/>
  <c r="X128" i="6" s="1"/>
  <c r="X119" i="6"/>
  <c r="X125" i="6" s="1"/>
  <c r="Y122" i="6"/>
  <c r="Y128" i="6" s="1"/>
  <c r="Z61" i="6"/>
  <c r="Z65" i="6" s="1"/>
  <c r="Z144" i="6" s="1"/>
  <c r="Y123" i="6"/>
  <c r="Y129" i="6" s="1"/>
  <c r="Z120" i="6"/>
  <c r="Z126" i="6" s="1"/>
  <c r="Z139" i="6" s="1"/>
  <c r="Z123" i="6"/>
  <c r="Z129" i="6" s="1"/>
  <c r="AA123" i="6"/>
  <c r="AA129" i="6" s="1"/>
  <c r="AA122" i="6"/>
  <c r="AA128" i="6" s="1"/>
  <c r="Y61" i="6"/>
  <c r="Y65" i="6" s="1"/>
  <c r="Y144" i="6" s="1"/>
  <c r="Y121" i="6"/>
  <c r="Y127" i="6" s="1"/>
  <c r="Y138" i="6" s="1"/>
  <c r="Z119" i="6"/>
  <c r="Z125" i="6" s="1"/>
  <c r="K48" i="9" s="1"/>
  <c r="K49" i="9" s="1"/>
  <c r="Z122" i="6"/>
  <c r="Z128" i="6" s="1"/>
  <c r="AA61" i="6"/>
  <c r="AA65" i="6" s="1"/>
  <c r="AA144" i="6" s="1"/>
  <c r="AA120" i="6"/>
  <c r="AA126" i="6" s="1"/>
  <c r="AA121" i="6"/>
  <c r="AA127" i="6" s="1"/>
  <c r="AA138" i="6" s="1"/>
  <c r="AA119" i="6"/>
  <c r="AA125" i="6" s="1"/>
  <c r="AB120" i="6"/>
  <c r="AB126" i="6" s="1"/>
  <c r="AB119" i="6"/>
  <c r="AB125" i="6" s="1"/>
  <c r="M48" i="9" s="1"/>
  <c r="M49" i="9" s="1"/>
  <c r="AB122" i="6"/>
  <c r="AB128" i="6" s="1"/>
  <c r="AD122" i="6"/>
  <c r="AD128" i="6" s="1"/>
  <c r="AC122" i="6"/>
  <c r="AC128" i="6" s="1"/>
  <c r="AC123" i="6"/>
  <c r="AC129" i="6" s="1"/>
  <c r="AB121" i="6"/>
  <c r="AB127" i="6" s="1"/>
  <c r="AB138" i="6" s="1"/>
  <c r="AB123" i="6"/>
  <c r="AB129" i="6" s="1"/>
  <c r="AE122" i="6"/>
  <c r="AE128" i="6" s="1"/>
  <c r="AC120" i="6"/>
  <c r="AC126" i="6" s="1"/>
  <c r="AB61" i="6"/>
  <c r="AB65" i="6" s="1"/>
  <c r="AB144" i="6" s="1"/>
  <c r="AC119" i="6"/>
  <c r="AC125" i="6" s="1"/>
  <c r="AD120" i="6"/>
  <c r="AD126" i="6" s="1"/>
  <c r="AD139" i="6" s="1"/>
  <c r="AD119" i="6"/>
  <c r="AD125" i="6" s="1"/>
  <c r="O48" i="9" s="1"/>
  <c r="O49" i="9" s="1"/>
  <c r="AC61" i="6"/>
  <c r="AC65" i="6" s="1"/>
  <c r="AC144" i="6" s="1"/>
  <c r="AC121" i="6"/>
  <c r="AC127" i="6" s="1"/>
  <c r="AC138" i="6" s="1"/>
  <c r="AD121" i="6"/>
  <c r="AD127" i="6" s="1"/>
  <c r="AD138" i="6" s="1"/>
  <c r="AF123" i="6"/>
  <c r="AF129" i="6" s="1"/>
  <c r="AF121" i="6"/>
  <c r="AF127" i="6" s="1"/>
  <c r="AF138" i="6" s="1"/>
  <c r="AD61" i="6"/>
  <c r="AD65" i="6" s="1"/>
  <c r="AD144" i="6" s="1"/>
  <c r="AE121" i="6"/>
  <c r="AE127" i="6" s="1"/>
  <c r="AE138" i="6" s="1"/>
  <c r="AD123" i="6"/>
  <c r="AD129" i="6" s="1"/>
  <c r="AE119" i="6"/>
  <c r="AE125" i="6" s="1"/>
  <c r="AF61" i="6"/>
  <c r="AF65" i="6" s="1"/>
  <c r="AF144" i="6" s="1"/>
  <c r="AE61" i="6"/>
  <c r="AE65" i="6" s="1"/>
  <c r="AE144" i="6" s="1"/>
  <c r="AE120" i="6"/>
  <c r="AE126" i="6" s="1"/>
  <c r="AE123" i="6"/>
  <c r="AE129" i="6" s="1"/>
  <c r="AF120" i="6"/>
  <c r="AF126" i="6" s="1"/>
  <c r="AF119" i="6"/>
  <c r="AF125" i="6" s="1"/>
  <c r="Q48" i="9" s="1"/>
  <c r="Q49" i="9" s="1"/>
  <c r="AH119" i="6"/>
  <c r="AH125" i="6" s="1"/>
  <c r="AG121" i="6"/>
  <c r="AG127" i="6" s="1"/>
  <c r="AG138" i="6" s="1"/>
  <c r="AF122" i="6"/>
  <c r="AF128" i="6" s="1"/>
  <c r="AG123" i="6"/>
  <c r="AG129" i="6" s="1"/>
  <c r="AI123" i="6"/>
  <c r="AI129" i="6" s="1"/>
  <c r="AG61" i="6"/>
  <c r="AG65" i="6" s="1"/>
  <c r="AG144" i="6" s="1"/>
  <c r="AG120" i="6"/>
  <c r="AG126" i="6" s="1"/>
  <c r="AG139" i="6" s="1"/>
  <c r="AH123" i="6"/>
  <c r="AH129" i="6" s="1"/>
  <c r="AH120" i="6"/>
  <c r="AH126" i="6" s="1"/>
  <c r="AG119" i="6"/>
  <c r="AG125" i="6" s="1"/>
  <c r="R48" i="9" s="1"/>
  <c r="R49" i="9" s="1"/>
  <c r="AH121" i="6"/>
  <c r="AH127" i="6" s="1"/>
  <c r="AH138" i="6" s="1"/>
  <c r="AG122" i="6"/>
  <c r="AG128" i="6" s="1"/>
  <c r="AI122" i="6"/>
  <c r="AI128" i="6" s="1"/>
  <c r="AH122" i="6"/>
  <c r="AH128" i="6" s="1"/>
  <c r="AI119" i="6"/>
  <c r="AI125" i="6" s="1"/>
  <c r="AI61" i="6"/>
  <c r="AI65" i="6" s="1"/>
  <c r="AI144" i="6" s="1"/>
  <c r="AI120" i="6"/>
  <c r="AI126" i="6" s="1"/>
  <c r="AH61" i="6"/>
  <c r="AH65" i="6" s="1"/>
  <c r="AH144" i="6" s="1"/>
  <c r="AI121" i="6"/>
  <c r="AI127" i="6" s="1"/>
  <c r="AI138" i="6" s="1"/>
  <c r="AJ61" i="6"/>
  <c r="AJ65" i="6" s="1"/>
  <c r="AJ144" i="6" s="1"/>
  <c r="AJ123" i="6"/>
  <c r="AJ129" i="6" s="1"/>
  <c r="AK120" i="6"/>
  <c r="AK126" i="6" s="1"/>
  <c r="AK121" i="6"/>
  <c r="AK127" i="6" s="1"/>
  <c r="AK138" i="6" s="1"/>
  <c r="AJ120" i="6"/>
  <c r="AJ126" i="6" s="1"/>
  <c r="AJ122" i="6"/>
  <c r="AJ128" i="6" s="1"/>
  <c r="AJ121" i="6"/>
  <c r="AJ127" i="6" s="1"/>
  <c r="AJ138" i="6" s="1"/>
  <c r="AK122" i="6"/>
  <c r="AK128" i="6" s="1"/>
  <c r="AK123" i="6"/>
  <c r="AK129" i="6" s="1"/>
  <c r="AK119" i="6"/>
  <c r="AK125" i="6" s="1"/>
  <c r="AJ119" i="6"/>
  <c r="AJ125" i="6" s="1"/>
  <c r="AM61" i="6"/>
  <c r="AM65" i="6" s="1"/>
  <c r="AM144" i="6" s="1"/>
  <c r="AL119" i="6"/>
  <c r="AL125" i="6" s="1"/>
  <c r="W48" i="9" s="1"/>
  <c r="W49" i="9" s="1"/>
  <c r="AL61" i="6"/>
  <c r="AL65" i="6" s="1"/>
  <c r="AL144" i="6" s="1"/>
  <c r="AN122" i="6"/>
  <c r="AN128" i="6" s="1"/>
  <c r="AL121" i="6"/>
  <c r="AL127" i="6" s="1"/>
  <c r="AL138" i="6" s="1"/>
  <c r="AK61" i="6"/>
  <c r="AK65" i="6" s="1"/>
  <c r="AK144" i="6" s="1"/>
  <c r="AL122" i="6"/>
  <c r="AL128" i="6" s="1"/>
  <c r="AM122" i="6"/>
  <c r="AM128" i="6" s="1"/>
  <c r="AL123" i="6"/>
  <c r="AL129" i="6" s="1"/>
  <c r="AN120" i="6"/>
  <c r="AN126" i="6" s="1"/>
  <c r="AM123" i="6"/>
  <c r="AM129" i="6" s="1"/>
  <c r="AM120" i="6"/>
  <c r="AM126" i="6" s="1"/>
  <c r="AL120" i="6"/>
  <c r="AL126" i="6" s="1"/>
  <c r="AL139" i="6" s="1"/>
  <c r="AN121" i="6"/>
  <c r="AN127" i="6" s="1"/>
  <c r="AN138" i="6" s="1"/>
  <c r="AN123" i="6"/>
  <c r="AN129" i="6" s="1"/>
  <c r="AM121" i="6"/>
  <c r="AM127" i="6" s="1"/>
  <c r="AM138" i="6" s="1"/>
  <c r="AM119" i="6"/>
  <c r="AM125" i="6" s="1"/>
  <c r="X48" i="9" s="1"/>
  <c r="X49" i="9" s="1"/>
  <c r="AN61" i="6"/>
  <c r="AN65" i="6" s="1"/>
  <c r="AN144" i="6" s="1"/>
  <c r="AO121" i="6"/>
  <c r="AO127" i="6" s="1"/>
  <c r="AO138" i="6" s="1"/>
  <c r="AN119" i="6"/>
  <c r="AN125" i="6" s="1"/>
  <c r="AP61" i="6"/>
  <c r="AP65" i="6" s="1"/>
  <c r="AP144" i="6" s="1"/>
  <c r="AQ119" i="6"/>
  <c r="AQ125" i="6" s="1"/>
  <c r="AP123" i="6"/>
  <c r="AP129" i="6" s="1"/>
  <c r="AO122" i="6"/>
  <c r="AO128" i="6" s="1"/>
  <c r="AO123" i="6"/>
  <c r="AO129" i="6" s="1"/>
  <c r="AP119" i="6"/>
  <c r="AP125" i="6" s="1"/>
  <c r="AA48" i="9" s="1"/>
  <c r="AA49" i="9" s="1"/>
  <c r="AO119" i="6"/>
  <c r="AO125" i="6" s="1"/>
  <c r="Z48" i="9" s="1"/>
  <c r="Z49" i="9" s="1"/>
  <c r="AP121" i="6"/>
  <c r="AP127" i="6" s="1"/>
  <c r="AP138" i="6" s="1"/>
  <c r="AO120" i="6"/>
  <c r="AO126" i="6" s="1"/>
  <c r="AO61" i="6"/>
  <c r="AO65" i="6" s="1"/>
  <c r="AO144" i="6" s="1"/>
  <c r="AP120" i="6"/>
  <c r="AP126" i="6" s="1"/>
  <c r="AP139" i="6" s="1"/>
  <c r="AR120" i="6"/>
  <c r="AR126" i="6" s="1"/>
  <c r="AR139" i="6" s="1"/>
  <c r="AP122" i="6"/>
  <c r="AP128" i="6" s="1"/>
  <c r="AX121" i="6"/>
  <c r="AX127" i="6" s="1"/>
  <c r="AX138" i="6" s="1"/>
  <c r="AX120" i="6"/>
  <c r="AX126" i="6" s="1"/>
  <c r="AX122" i="6"/>
  <c r="AX128" i="6" s="1"/>
  <c r="AX61" i="6"/>
  <c r="AX65" i="6" s="1"/>
  <c r="AX144" i="6" s="1"/>
  <c r="AX123" i="6"/>
  <c r="AX129" i="6" s="1"/>
  <c r="AX119" i="6"/>
  <c r="AX125" i="6" s="1"/>
  <c r="AI48" i="9" s="1"/>
  <c r="AI49" i="9" s="1"/>
  <c r="AK35" i="5"/>
  <c r="AK41" i="5" s="1"/>
  <c r="AF24" i="10"/>
  <c r="AF38" i="9"/>
  <c r="AF39" i="9"/>
  <c r="AF40" i="9"/>
  <c r="AF74" i="9"/>
  <c r="S40" i="9"/>
  <c r="S38" i="9"/>
  <c r="S39" i="9"/>
  <c r="S74" i="9"/>
  <c r="S24" i="10" s="1"/>
  <c r="AC26" i="10" l="1"/>
  <c r="AI26" i="10"/>
  <c r="AE26" i="10"/>
  <c r="Y26" i="10"/>
  <c r="V26" i="10"/>
  <c r="S26" i="10"/>
  <c r="X26" i="10"/>
  <c r="P24" i="6"/>
  <c r="P28" i="6" s="1"/>
  <c r="P23" i="5" s="1"/>
  <c r="P24" i="5"/>
  <c r="AM139" i="6"/>
  <c r="P139" i="6"/>
  <c r="AD48" i="9"/>
  <c r="AD49" i="9" s="1"/>
  <c r="AC48" i="9"/>
  <c r="AC49" i="9" s="1"/>
  <c r="AX139" i="6"/>
  <c r="AI139" i="6"/>
  <c r="AC139" i="6"/>
  <c r="AA139" i="6"/>
  <c r="O139" i="6"/>
  <c r="AX113" i="6"/>
  <c r="V48" i="9"/>
  <c r="V49" i="9" s="1"/>
  <c r="R49" i="10"/>
  <c r="R53" i="10" s="1"/>
  <c r="AN139" i="6"/>
  <c r="Y139" i="6"/>
  <c r="AB48" i="9"/>
  <c r="AB49" i="9" s="1"/>
  <c r="L48" i="9"/>
  <c r="L49" i="9" s="1"/>
  <c r="Q17" i="10"/>
  <c r="V139" i="6"/>
  <c r="S139" i="6"/>
  <c r="N139" i="6"/>
  <c r="AT139" i="6"/>
  <c r="M26" i="10"/>
  <c r="M27" i="10"/>
  <c r="N26" i="10"/>
  <c r="N27" i="10"/>
  <c r="R26" i="10"/>
  <c r="K144" i="6"/>
  <c r="K146" i="6" s="1"/>
  <c r="K150" i="6" s="1"/>
  <c r="K151" i="6" s="1"/>
  <c r="K66" i="6"/>
  <c r="L63" i="6" s="1"/>
  <c r="L137" i="6" s="1"/>
  <c r="L140" i="6" s="1"/>
  <c r="L145" i="6" s="1"/>
  <c r="L146" i="6" s="1"/>
  <c r="L150" i="6" s="1"/>
  <c r="L151" i="6" s="1"/>
  <c r="AG24" i="10"/>
  <c r="P24" i="10"/>
  <c r="AF26" i="10"/>
  <c r="AJ139" i="6"/>
  <c r="U139" i="6"/>
  <c r="Q139" i="6"/>
  <c r="S48" i="9"/>
  <c r="S49" i="9" s="1"/>
  <c r="O24" i="10"/>
  <c r="AO139" i="6"/>
  <c r="AF139" i="6"/>
  <c r="T139" i="6"/>
  <c r="R139" i="6"/>
  <c r="M139" i="6"/>
  <c r="AE48" i="9"/>
  <c r="AE49" i="9" s="1"/>
  <c r="AW139" i="6"/>
  <c r="AK36" i="5"/>
  <c r="AL32" i="5" s="1"/>
  <c r="AL34" i="5" s="1"/>
  <c r="AK139" i="6"/>
  <c r="W139" i="6"/>
  <c r="L139" i="6"/>
  <c r="Y48" i="9"/>
  <c r="Y49" i="9" s="1"/>
  <c r="N48" i="9"/>
  <c r="N49" i="9" s="1"/>
  <c r="AH24" i="10"/>
  <c r="Q24" i="10"/>
  <c r="Q27" i="10" s="1"/>
  <c r="AH139" i="6"/>
  <c r="AE139" i="6"/>
  <c r="AS139" i="6"/>
  <c r="T24" i="10"/>
  <c r="AD24" i="10"/>
  <c r="AG48" i="9"/>
  <c r="AG49" i="9" s="1"/>
  <c r="T48" i="9"/>
  <c r="T49" i="9" s="1"/>
  <c r="W24" i="10"/>
  <c r="K24" i="10"/>
  <c r="L24" i="10"/>
  <c r="AB24" i="10"/>
  <c r="Z24" i="10"/>
  <c r="AB139" i="6"/>
  <c r="U26" i="10"/>
  <c r="U48" i="9"/>
  <c r="U49" i="9" s="1"/>
  <c r="AA24" i="10"/>
  <c r="L26" i="10" l="1"/>
  <c r="L27" i="10"/>
  <c r="AH26" i="10"/>
  <c r="AL35" i="5"/>
  <c r="AL41" i="5" s="1"/>
  <c r="P26" i="10"/>
  <c r="P27" i="10"/>
  <c r="AB26" i="10"/>
  <c r="W26" i="10"/>
  <c r="AA26" i="10"/>
  <c r="AD26" i="10"/>
  <c r="O26" i="10"/>
  <c r="O27" i="10"/>
  <c r="P25" i="5"/>
  <c r="P26" i="5" s="1"/>
  <c r="Q19" i="5" s="1"/>
  <c r="K26" i="10"/>
  <c r="K27" i="10"/>
  <c r="L66" i="6"/>
  <c r="M63" i="6" s="1"/>
  <c r="L110" i="6"/>
  <c r="L114" i="6" s="1"/>
  <c r="L45" i="5" s="1"/>
  <c r="L112" i="6"/>
  <c r="R51" i="10"/>
  <c r="S45" i="10" s="1"/>
  <c r="S48" i="10" s="1"/>
  <c r="T26" i="10"/>
  <c r="Q26" i="10"/>
  <c r="R17" i="10"/>
  <c r="R27" i="10"/>
  <c r="AG26" i="10"/>
  <c r="Z26" i="10"/>
  <c r="Q24" i="6" l="1"/>
  <c r="Q28" i="6" s="1"/>
  <c r="Q23" i="5" s="1"/>
  <c r="Q24" i="5" s="1"/>
  <c r="M66" i="6"/>
  <c r="N63" i="6" s="1"/>
  <c r="M110" i="6"/>
  <c r="M112" i="6"/>
  <c r="M137" i="6"/>
  <c r="M140" i="6" s="1"/>
  <c r="M145" i="6" s="1"/>
  <c r="M146" i="6" s="1"/>
  <c r="M150" i="6" s="1"/>
  <c r="M151" i="6" s="1"/>
  <c r="AL36" i="5"/>
  <c r="AM32" i="5" s="1"/>
  <c r="AM34" i="5" s="1"/>
  <c r="S49" i="10"/>
  <c r="S53" i="10" s="1"/>
  <c r="L53" i="5"/>
  <c r="L56" i="5" s="1"/>
  <c r="L46" i="5"/>
  <c r="Q25" i="5" l="1"/>
  <c r="Q26" i="5" s="1"/>
  <c r="R19" i="5" s="1"/>
  <c r="L47" i="5"/>
  <c r="L48" i="5"/>
  <c r="M40" i="5" s="1"/>
  <c r="M46" i="5" s="1"/>
  <c r="M114" i="6"/>
  <c r="M45" i="5" s="1"/>
  <c r="M53" i="5" s="1"/>
  <c r="M56" i="5" s="1"/>
  <c r="AM35" i="5"/>
  <c r="AM41" i="5" s="1"/>
  <c r="S51" i="10"/>
  <c r="T45" i="10" s="1"/>
  <c r="T48" i="10" s="1"/>
  <c r="N66" i="6"/>
  <c r="O63" i="6" s="1"/>
  <c r="N112" i="6"/>
  <c r="N110" i="6"/>
  <c r="N114" i="6" s="1"/>
  <c r="N45" i="5" s="1"/>
  <c r="N53" i="5" s="1"/>
  <c r="N56" i="5" s="1"/>
  <c r="N137" i="6"/>
  <c r="N140" i="6" s="1"/>
  <c r="N145" i="6" s="1"/>
  <c r="N146" i="6" s="1"/>
  <c r="N150" i="6" s="1"/>
  <c r="N151" i="6" s="1"/>
  <c r="S17" i="10"/>
  <c r="S27" i="10"/>
  <c r="R24" i="6" l="1"/>
  <c r="R28" i="6" s="1"/>
  <c r="R23" i="5" s="1"/>
  <c r="R24" i="5" s="1"/>
  <c r="O66" i="6"/>
  <c r="P63" i="6" s="1"/>
  <c r="O112" i="6"/>
  <c r="O110" i="6"/>
  <c r="O114" i="6" s="1"/>
  <c r="O45" i="5" s="1"/>
  <c r="O53" i="5" s="1"/>
  <c r="O56" i="5" s="1"/>
  <c r="O137" i="6"/>
  <c r="O140" i="6" s="1"/>
  <c r="O145" i="6" s="1"/>
  <c r="O146" i="6" s="1"/>
  <c r="O150" i="6" s="1"/>
  <c r="O151" i="6" s="1"/>
  <c r="M47" i="5"/>
  <c r="M48" i="5"/>
  <c r="N40" i="5" s="1"/>
  <c r="N46" i="5" s="1"/>
  <c r="T49" i="10"/>
  <c r="T53" i="10" s="1"/>
  <c r="AM36" i="5"/>
  <c r="AN32" i="5" s="1"/>
  <c r="AN34" i="5" s="1"/>
  <c r="R25" i="5" l="1"/>
  <c r="R26" i="5" s="1"/>
  <c r="S19" i="5" s="1"/>
  <c r="N47" i="5"/>
  <c r="N48" i="5" s="1"/>
  <c r="O40" i="5" s="1"/>
  <c r="O46" i="5" s="1"/>
  <c r="P66" i="6"/>
  <c r="Q63" i="6" s="1"/>
  <c r="P110" i="6"/>
  <c r="P112" i="6"/>
  <c r="P137" i="6"/>
  <c r="P140" i="6" s="1"/>
  <c r="P145" i="6" s="1"/>
  <c r="P146" i="6" s="1"/>
  <c r="P150" i="6" s="1"/>
  <c r="P151" i="6" s="1"/>
  <c r="T51" i="10"/>
  <c r="U45" i="10" s="1"/>
  <c r="U48" i="10" s="1"/>
  <c r="T17" i="10"/>
  <c r="T27" i="10"/>
  <c r="AN36" i="5"/>
  <c r="AO32" i="5" s="1"/>
  <c r="AO34" i="5" s="1"/>
  <c r="AN35" i="5"/>
  <c r="AN41" i="5" s="1"/>
  <c r="O47" i="5" l="1"/>
  <c r="O48" i="5"/>
  <c r="P40" i="5" s="1"/>
  <c r="S24" i="6"/>
  <c r="S28" i="6" s="1"/>
  <c r="S23" i="5" s="1"/>
  <c r="S24" i="5" s="1"/>
  <c r="P114" i="6"/>
  <c r="P45" i="5" s="1"/>
  <c r="P53" i="5" s="1"/>
  <c r="P56" i="5" s="1"/>
  <c r="AO35" i="5"/>
  <c r="AO41" i="5" s="1"/>
  <c r="U49" i="10"/>
  <c r="U53" i="10" s="1"/>
  <c r="Q66" i="6"/>
  <c r="R63" i="6" s="1"/>
  <c r="Q112" i="6"/>
  <c r="Q110" i="6"/>
  <c r="Q114" i="6" s="1"/>
  <c r="Q45" i="5" s="1"/>
  <c r="Q53" i="5" s="1"/>
  <c r="Q56" i="5" s="1"/>
  <c r="Q137" i="6"/>
  <c r="Q140" i="6" s="1"/>
  <c r="Q145" i="6" s="1"/>
  <c r="Q146" i="6" s="1"/>
  <c r="Q150" i="6" s="1"/>
  <c r="Q151" i="6" s="1"/>
  <c r="S25" i="5" l="1"/>
  <c r="S26" i="5" s="1"/>
  <c r="T19" i="5" s="1"/>
  <c r="U51" i="10"/>
  <c r="V45" i="10" s="1"/>
  <c r="V48" i="10" s="1"/>
  <c r="R66" i="6"/>
  <c r="S63" i="6" s="1"/>
  <c r="R110" i="6"/>
  <c r="R112" i="6"/>
  <c r="R137" i="6"/>
  <c r="R140" i="6" s="1"/>
  <c r="R145" i="6" s="1"/>
  <c r="R146" i="6" s="1"/>
  <c r="R150" i="6" s="1"/>
  <c r="R151" i="6" s="1"/>
  <c r="U17" i="10"/>
  <c r="U27" i="10"/>
  <c r="AO36" i="5"/>
  <c r="AP32" i="5" s="1"/>
  <c r="AP34" i="5" s="1"/>
  <c r="P46" i="5"/>
  <c r="T24" i="6" l="1"/>
  <c r="T28" i="6" s="1"/>
  <c r="T23" i="5" s="1"/>
  <c r="T24" i="5" s="1"/>
  <c r="P47" i="5"/>
  <c r="P48" i="5" s="1"/>
  <c r="Q40" i="5" s="1"/>
  <c r="Q46" i="5" s="1"/>
  <c r="S66" i="6"/>
  <c r="T63" i="6" s="1"/>
  <c r="S110" i="6"/>
  <c r="S112" i="6"/>
  <c r="S137" i="6"/>
  <c r="S140" i="6" s="1"/>
  <c r="S145" i="6" s="1"/>
  <c r="S146" i="6" s="1"/>
  <c r="S150" i="6" s="1"/>
  <c r="S151" i="6" s="1"/>
  <c r="AP36" i="5"/>
  <c r="AQ32" i="5" s="1"/>
  <c r="AQ34" i="5" s="1"/>
  <c r="AP35" i="5"/>
  <c r="AP41" i="5" s="1"/>
  <c r="R114" i="6"/>
  <c r="R45" i="5" s="1"/>
  <c r="R53" i="5" s="1"/>
  <c r="R56" i="5" s="1"/>
  <c r="V49" i="10"/>
  <c r="V53" i="10" s="1"/>
  <c r="Q47" i="5" l="1"/>
  <c r="Q48" i="5" s="1"/>
  <c r="R40" i="5" s="1"/>
  <c r="R46" i="5" s="1"/>
  <c r="T25" i="5"/>
  <c r="T26" i="5" s="1"/>
  <c r="U19" i="5" s="1"/>
  <c r="AQ35" i="5"/>
  <c r="AQ41" i="5" s="1"/>
  <c r="AQ36" i="5"/>
  <c r="AR32" i="5" s="1"/>
  <c r="AR34" i="5" s="1"/>
  <c r="S114" i="6"/>
  <c r="S45" i="5" s="1"/>
  <c r="S53" i="5" s="1"/>
  <c r="S56" i="5" s="1"/>
  <c r="T66" i="6"/>
  <c r="U63" i="6" s="1"/>
  <c r="T112" i="6"/>
  <c r="T110" i="6"/>
  <c r="T114" i="6" s="1"/>
  <c r="T45" i="5" s="1"/>
  <c r="T53" i="5" s="1"/>
  <c r="T56" i="5" s="1"/>
  <c r="T137" i="6"/>
  <c r="T140" i="6" s="1"/>
  <c r="T145" i="6" s="1"/>
  <c r="T146" i="6" s="1"/>
  <c r="T150" i="6" s="1"/>
  <c r="T151" i="6" s="1"/>
  <c r="V27" i="10"/>
  <c r="V17" i="10"/>
  <c r="V51" i="10"/>
  <c r="W45" i="10" s="1"/>
  <c r="W48" i="10" s="1"/>
  <c r="U24" i="6" l="1"/>
  <c r="U28" i="6" s="1"/>
  <c r="U23" i="5" s="1"/>
  <c r="U24" i="5" s="1"/>
  <c r="R47" i="5"/>
  <c r="R48" i="5" s="1"/>
  <c r="S40" i="5" s="1"/>
  <c r="S46" i="5" s="1"/>
  <c r="AR35" i="5"/>
  <c r="AR41" i="5" s="1"/>
  <c r="AR36" i="5"/>
  <c r="AS32" i="5" s="1"/>
  <c r="AS34" i="5" s="1"/>
  <c r="U66" i="6"/>
  <c r="V63" i="6" s="1"/>
  <c r="U112" i="6"/>
  <c r="U110" i="6"/>
  <c r="U137" i="6"/>
  <c r="U140" i="6" s="1"/>
  <c r="U145" i="6" s="1"/>
  <c r="U146" i="6" s="1"/>
  <c r="U150" i="6" s="1"/>
  <c r="U151" i="6" s="1"/>
  <c r="W51" i="10"/>
  <c r="X45" i="10" s="1"/>
  <c r="X48" i="10" s="1"/>
  <c r="W49" i="10"/>
  <c r="W53" i="10" s="1"/>
  <c r="S47" i="5" l="1"/>
  <c r="S48" i="5" s="1"/>
  <c r="T40" i="5" s="1"/>
  <c r="T46" i="5" s="1"/>
  <c r="U25" i="5"/>
  <c r="U26" i="5" s="1"/>
  <c r="V19" i="5" s="1"/>
  <c r="U114" i="6"/>
  <c r="U45" i="5" s="1"/>
  <c r="U53" i="5" s="1"/>
  <c r="U56" i="5" s="1"/>
  <c r="AS35" i="5"/>
  <c r="AS41" i="5" s="1"/>
  <c r="AS36" i="5"/>
  <c r="AT32" i="5" s="1"/>
  <c r="AT34" i="5" s="1"/>
  <c r="X49" i="10"/>
  <c r="X53" i="10" s="1"/>
  <c r="V66" i="6"/>
  <c r="W63" i="6" s="1"/>
  <c r="V110" i="6"/>
  <c r="V114" i="6" s="1"/>
  <c r="V45" i="5" s="1"/>
  <c r="V53" i="5" s="1"/>
  <c r="V56" i="5" s="1"/>
  <c r="V112" i="6"/>
  <c r="V137" i="6"/>
  <c r="V140" i="6" s="1"/>
  <c r="V145" i="6" s="1"/>
  <c r="V146" i="6" s="1"/>
  <c r="V150" i="6" s="1"/>
  <c r="V151" i="6" s="1"/>
  <c r="W27" i="10"/>
  <c r="W17" i="10"/>
  <c r="V24" i="6" l="1"/>
  <c r="V28" i="6" s="1"/>
  <c r="V23" i="5" s="1"/>
  <c r="V24" i="5" s="1"/>
  <c r="T47" i="5"/>
  <c r="T48" i="5" s="1"/>
  <c r="U40" i="5" s="1"/>
  <c r="U46" i="5" s="1"/>
  <c r="X51" i="10"/>
  <c r="Y45" i="10" s="1"/>
  <c r="Y48" i="10" s="1"/>
  <c r="X27" i="10"/>
  <c r="X17" i="10"/>
  <c r="AT35" i="5"/>
  <c r="AT41" i="5" s="1"/>
  <c r="AT36" i="5"/>
  <c r="AU32" i="5" s="1"/>
  <c r="AU34" i="5" s="1"/>
  <c r="W66" i="6"/>
  <c r="X63" i="6" s="1"/>
  <c r="W110" i="6"/>
  <c r="W114" i="6" s="1"/>
  <c r="W45" i="5" s="1"/>
  <c r="W53" i="5" s="1"/>
  <c r="W56" i="5" s="1"/>
  <c r="W112" i="6"/>
  <c r="W137" i="6"/>
  <c r="W140" i="6" s="1"/>
  <c r="W145" i="6" s="1"/>
  <c r="W146" i="6" s="1"/>
  <c r="W150" i="6" s="1"/>
  <c r="W151" i="6" s="1"/>
  <c r="U47" i="5" l="1"/>
  <c r="U48" i="5" s="1"/>
  <c r="V40" i="5" s="1"/>
  <c r="V46" i="5" s="1"/>
  <c r="V25" i="5"/>
  <c r="V26" i="5"/>
  <c r="W19" i="5" s="1"/>
  <c r="Y49" i="10"/>
  <c r="Y53" i="10" s="1"/>
  <c r="X66" i="6"/>
  <c r="Y63" i="6" s="1"/>
  <c r="X112" i="6"/>
  <c r="X110" i="6"/>
  <c r="X114" i="6" s="1"/>
  <c r="X45" i="5" s="1"/>
  <c r="X53" i="5" s="1"/>
  <c r="X56" i="5" s="1"/>
  <c r="X137" i="6"/>
  <c r="X140" i="6" s="1"/>
  <c r="X145" i="6" s="1"/>
  <c r="X146" i="6" s="1"/>
  <c r="X150" i="6" s="1"/>
  <c r="X151" i="6" s="1"/>
  <c r="AU35" i="5"/>
  <c r="AU41" i="5" s="1"/>
  <c r="AU36" i="5"/>
  <c r="AV32" i="5" s="1"/>
  <c r="AV34" i="5" s="1"/>
  <c r="V47" i="5" l="1"/>
  <c r="V48" i="5" s="1"/>
  <c r="W40" i="5" s="1"/>
  <c r="W46" i="5" s="1"/>
  <c r="W24" i="6"/>
  <c r="W28" i="6" s="1"/>
  <c r="W23" i="5" s="1"/>
  <c r="W24" i="5" s="1"/>
  <c r="AV35" i="5"/>
  <c r="AV41" i="5" s="1"/>
  <c r="AV36" i="5"/>
  <c r="AW32" i="5" s="1"/>
  <c r="AW34" i="5" s="1"/>
  <c r="Y66" i="6"/>
  <c r="Z63" i="6" s="1"/>
  <c r="Y110" i="6"/>
  <c r="Y112" i="6"/>
  <c r="Y137" i="6"/>
  <c r="Y140" i="6" s="1"/>
  <c r="Y145" i="6" s="1"/>
  <c r="Y146" i="6" s="1"/>
  <c r="Y150" i="6" s="1"/>
  <c r="Y151" i="6" s="1"/>
  <c r="Y51" i="10"/>
  <c r="Z45" i="10" s="1"/>
  <c r="Z48" i="10" s="1"/>
  <c r="Y27" i="10"/>
  <c r="Y17" i="10"/>
  <c r="W25" i="5" l="1"/>
  <c r="W26" i="5" s="1"/>
  <c r="X19" i="5" s="1"/>
  <c r="W47" i="5"/>
  <c r="W48" i="5" s="1"/>
  <c r="X40" i="5" s="1"/>
  <c r="X46" i="5" s="1"/>
  <c r="AW35" i="5"/>
  <c r="AW41" i="5" s="1"/>
  <c r="AW36" i="5"/>
  <c r="AX32" i="5" s="1"/>
  <c r="AX34" i="5" s="1"/>
  <c r="Z66" i="6"/>
  <c r="AA63" i="6" s="1"/>
  <c r="Z112" i="6"/>
  <c r="Z110" i="6"/>
  <c r="Z114" i="6" s="1"/>
  <c r="Z45" i="5" s="1"/>
  <c r="Z53" i="5" s="1"/>
  <c r="Z56" i="5" s="1"/>
  <c r="Z137" i="6"/>
  <c r="Z140" i="6" s="1"/>
  <c r="Z49" i="10"/>
  <c r="Z53" i="10" s="1"/>
  <c r="Y114" i="6"/>
  <c r="Y45" i="5" s="1"/>
  <c r="Y53" i="5" s="1"/>
  <c r="Y56" i="5" s="1"/>
  <c r="X47" i="5" l="1"/>
  <c r="X48" i="5"/>
  <c r="Y40" i="5" s="1"/>
  <c r="Y46" i="5" s="1"/>
  <c r="X24" i="6"/>
  <c r="X28" i="6" s="1"/>
  <c r="X23" i="5" s="1"/>
  <c r="X24" i="5"/>
  <c r="Z17" i="10"/>
  <c r="Z27" i="10"/>
  <c r="Z145" i="6"/>
  <c r="Z146" i="6" s="1"/>
  <c r="Z150" i="6" s="1"/>
  <c r="Z151" i="6" s="1"/>
  <c r="K41" i="9" s="1"/>
  <c r="K42" i="9" s="1"/>
  <c r="K28" i="10"/>
  <c r="K30" i="10" s="1"/>
  <c r="K47" i="12" s="1"/>
  <c r="AA66" i="6"/>
  <c r="AB63" i="6" s="1"/>
  <c r="AA112" i="6"/>
  <c r="AA110" i="6"/>
  <c r="AA137" i="6"/>
  <c r="AA140" i="6" s="1"/>
  <c r="AX35" i="5"/>
  <c r="AX41" i="5" s="1"/>
  <c r="AX36" i="5"/>
  <c r="Z51" i="10"/>
  <c r="AA45" i="10" s="1"/>
  <c r="AA48" i="10" s="1"/>
  <c r="AA114" i="6" l="1"/>
  <c r="AA45" i="5" s="1"/>
  <c r="AA53" i="5" s="1"/>
  <c r="AA56" i="5" s="1"/>
  <c r="AB66" i="6"/>
  <c r="AC63" i="6" s="1"/>
  <c r="AB110" i="6"/>
  <c r="AB112" i="6"/>
  <c r="AB137" i="6"/>
  <c r="AB140" i="6" s="1"/>
  <c r="AA49" i="10"/>
  <c r="AA53" i="10" s="1"/>
  <c r="X25" i="5"/>
  <c r="X26" i="5" s="1"/>
  <c r="Y19" i="5" s="1"/>
  <c r="Y47" i="5"/>
  <c r="Y48" i="5"/>
  <c r="Z40" i="5" s="1"/>
  <c r="Z46" i="5" s="1"/>
  <c r="AA145" i="6"/>
  <c r="AA146" i="6" s="1"/>
  <c r="AA150" i="6" s="1"/>
  <c r="AA151" i="6" s="1"/>
  <c r="L41" i="9" s="1"/>
  <c r="L42" i="9" s="1"/>
  <c r="L28" i="10"/>
  <c r="L30" i="10" s="1"/>
  <c r="L47" i="12" s="1"/>
  <c r="Y24" i="6" l="1"/>
  <c r="Y28" i="6" s="1"/>
  <c r="Y23" i="5" s="1"/>
  <c r="Y24" i="5"/>
  <c r="AA17" i="10"/>
  <c r="AA27" i="10"/>
  <c r="Z47" i="5"/>
  <c r="Z48" i="5"/>
  <c r="AA40" i="5" s="1"/>
  <c r="AA46" i="5" s="1"/>
  <c r="AA51" i="10"/>
  <c r="AB45" i="10" s="1"/>
  <c r="AB48" i="10" s="1"/>
  <c r="AB145" i="6"/>
  <c r="AB146" i="6" s="1"/>
  <c r="AB150" i="6" s="1"/>
  <c r="AB151" i="6" s="1"/>
  <c r="M41" i="9" s="1"/>
  <c r="M42" i="9" s="1"/>
  <c r="M28" i="10"/>
  <c r="M30" i="10" s="1"/>
  <c r="M47" i="12" s="1"/>
  <c r="AB114" i="6"/>
  <c r="AB45" i="5" s="1"/>
  <c r="AB53" i="5" s="1"/>
  <c r="AB56" i="5" s="1"/>
  <c r="AC66" i="6"/>
  <c r="AD63" i="6" s="1"/>
  <c r="AC112" i="6"/>
  <c r="AC110" i="6"/>
  <c r="AC114" i="6" s="1"/>
  <c r="AC45" i="5" s="1"/>
  <c r="AC53" i="5" s="1"/>
  <c r="AC56" i="5" s="1"/>
  <c r="AC137" i="6"/>
  <c r="AC140" i="6" s="1"/>
  <c r="AB49" i="10" l="1"/>
  <c r="AB53" i="10" s="1"/>
  <c r="AA47" i="5"/>
  <c r="AA48" i="5"/>
  <c r="AB40" i="5" s="1"/>
  <c r="AB46" i="5" s="1"/>
  <c r="AC145" i="6"/>
  <c r="AC146" i="6" s="1"/>
  <c r="AC150" i="6" s="1"/>
  <c r="AC151" i="6" s="1"/>
  <c r="N41" i="9" s="1"/>
  <c r="N42" i="9" s="1"/>
  <c r="N28" i="10"/>
  <c r="N30" i="10" s="1"/>
  <c r="N47" i="12" s="1"/>
  <c r="Y25" i="5"/>
  <c r="Y26" i="5" s="1"/>
  <c r="Z19" i="5" s="1"/>
  <c r="AD66" i="6"/>
  <c r="AE63" i="6" s="1"/>
  <c r="AD112" i="6"/>
  <c r="AD110" i="6"/>
  <c r="AD114" i="6" s="1"/>
  <c r="AD45" i="5" s="1"/>
  <c r="AD53" i="5" s="1"/>
  <c r="AD56" i="5" s="1"/>
  <c r="AD137" i="6"/>
  <c r="AD140" i="6" s="1"/>
  <c r="Z24" i="6" l="1"/>
  <c r="Z28" i="6" s="1"/>
  <c r="Z23" i="5" s="1"/>
  <c r="Z24" i="5" s="1"/>
  <c r="AB47" i="5"/>
  <c r="AB48" i="5"/>
  <c r="AC40" i="5" s="1"/>
  <c r="AC46" i="5" s="1"/>
  <c r="AD145" i="6"/>
  <c r="AD146" i="6" s="1"/>
  <c r="AD150" i="6" s="1"/>
  <c r="AD151" i="6" s="1"/>
  <c r="O41" i="9" s="1"/>
  <c r="O42" i="9" s="1"/>
  <c r="O28" i="10"/>
  <c r="O30" i="10" s="1"/>
  <c r="O47" i="12" s="1"/>
  <c r="AB17" i="10"/>
  <c r="AB27" i="10"/>
  <c r="AE66" i="6"/>
  <c r="AF63" i="6" s="1"/>
  <c r="AE112" i="6"/>
  <c r="AE110" i="6"/>
  <c r="AE114" i="6" s="1"/>
  <c r="AE45" i="5" s="1"/>
  <c r="AE53" i="5" s="1"/>
  <c r="AE56" i="5" s="1"/>
  <c r="AE137" i="6"/>
  <c r="AE140" i="6" s="1"/>
  <c r="AB51" i="10"/>
  <c r="AC45" i="10" s="1"/>
  <c r="AC48" i="10" s="1"/>
  <c r="Z25" i="5" l="1"/>
  <c r="Z26" i="5" s="1"/>
  <c r="AA19" i="5" s="1"/>
  <c r="AC49" i="10"/>
  <c r="AC53" i="10" s="1"/>
  <c r="AC51" i="10"/>
  <c r="AD45" i="10" s="1"/>
  <c r="AD48" i="10" s="1"/>
  <c r="AC47" i="5"/>
  <c r="AC48" i="5"/>
  <c r="AD40" i="5" s="1"/>
  <c r="AD46" i="5" s="1"/>
  <c r="AE145" i="6"/>
  <c r="AE146" i="6" s="1"/>
  <c r="AE150" i="6" s="1"/>
  <c r="AE151" i="6" s="1"/>
  <c r="P41" i="9" s="1"/>
  <c r="P42" i="9" s="1"/>
  <c r="P28" i="10"/>
  <c r="P30" i="10" s="1"/>
  <c r="P47" i="12" s="1"/>
  <c r="AF66" i="6"/>
  <c r="AG63" i="6" s="1"/>
  <c r="AF110" i="6"/>
  <c r="AF112" i="6"/>
  <c r="AF137" i="6"/>
  <c r="AF140" i="6" s="1"/>
  <c r="AA24" i="6" l="1"/>
  <c r="AA28" i="6" s="1"/>
  <c r="AA23" i="5" s="1"/>
  <c r="AA24" i="5"/>
  <c r="AF145" i="6"/>
  <c r="AF146" i="6" s="1"/>
  <c r="AF150" i="6" s="1"/>
  <c r="AF151" i="6" s="1"/>
  <c r="Q41" i="9" s="1"/>
  <c r="Q42" i="9" s="1"/>
  <c r="Q28" i="10"/>
  <c r="Q30" i="10" s="1"/>
  <c r="Q47" i="12" s="1"/>
  <c r="AD49" i="10"/>
  <c r="AD53" i="10" s="1"/>
  <c r="AD47" i="5"/>
  <c r="AD48" i="5" s="1"/>
  <c r="AE40" i="5" s="1"/>
  <c r="AE46" i="5" s="1"/>
  <c r="AC27" i="10"/>
  <c r="AC17" i="10"/>
  <c r="AF114" i="6"/>
  <c r="AF45" i="5" s="1"/>
  <c r="AF53" i="5" s="1"/>
  <c r="AF56" i="5" s="1"/>
  <c r="AG66" i="6"/>
  <c r="AH63" i="6" s="1"/>
  <c r="AG110" i="6"/>
  <c r="AG114" i="6" s="1"/>
  <c r="AG45" i="5" s="1"/>
  <c r="AG53" i="5" s="1"/>
  <c r="AG56" i="5" s="1"/>
  <c r="AG112" i="6"/>
  <c r="AG137" i="6"/>
  <c r="AG140" i="6" s="1"/>
  <c r="AE47" i="5" l="1"/>
  <c r="AE48" i="5"/>
  <c r="AF40" i="5" s="1"/>
  <c r="AF46" i="5" s="1"/>
  <c r="AD51" i="10"/>
  <c r="AE45" i="10" s="1"/>
  <c r="AE48" i="10" s="1"/>
  <c r="AD27" i="10"/>
  <c r="AD17" i="10"/>
  <c r="AG145" i="6"/>
  <c r="AG146" i="6" s="1"/>
  <c r="AG150" i="6" s="1"/>
  <c r="AG151" i="6" s="1"/>
  <c r="R41" i="9" s="1"/>
  <c r="R42" i="9" s="1"/>
  <c r="R28" i="10"/>
  <c r="R30" i="10" s="1"/>
  <c r="R47" i="12" s="1"/>
  <c r="AH66" i="6"/>
  <c r="AI63" i="6" s="1"/>
  <c r="AH110" i="6"/>
  <c r="AH114" i="6" s="1"/>
  <c r="AH45" i="5" s="1"/>
  <c r="AH53" i="5" s="1"/>
  <c r="AH56" i="5" s="1"/>
  <c r="AH112" i="6"/>
  <c r="AH137" i="6"/>
  <c r="AH140" i="6" s="1"/>
  <c r="AA25" i="5"/>
  <c r="AA26" i="5"/>
  <c r="AB19" i="5" s="1"/>
  <c r="AI66" i="6" l="1"/>
  <c r="AJ63" i="6" s="1"/>
  <c r="AI112" i="6"/>
  <c r="AI110" i="6"/>
  <c r="AI114" i="6" s="1"/>
  <c r="AI45" i="5" s="1"/>
  <c r="AI53" i="5" s="1"/>
  <c r="AI56" i="5" s="1"/>
  <c r="AI137" i="6"/>
  <c r="AI140" i="6" s="1"/>
  <c r="AB24" i="6"/>
  <c r="AB28" i="6" s="1"/>
  <c r="AB23" i="5" s="1"/>
  <c r="AB24" i="5" s="1"/>
  <c r="AE49" i="10"/>
  <c r="AE53" i="10" s="1"/>
  <c r="AH145" i="6"/>
  <c r="AH146" i="6" s="1"/>
  <c r="AH150" i="6" s="1"/>
  <c r="AH151" i="6" s="1"/>
  <c r="S41" i="9" s="1"/>
  <c r="S42" i="9" s="1"/>
  <c r="S28" i="10"/>
  <c r="S30" i="10" s="1"/>
  <c r="S47" i="12" s="1"/>
  <c r="AF47" i="5"/>
  <c r="AF48" i="5" s="1"/>
  <c r="AG40" i="5" s="1"/>
  <c r="AG46" i="5" s="1"/>
  <c r="AG47" i="5" l="1"/>
  <c r="AG48" i="5" s="1"/>
  <c r="AH40" i="5" s="1"/>
  <c r="AH46" i="5" s="1"/>
  <c r="AB25" i="5"/>
  <c r="AB26" i="5" s="1"/>
  <c r="AC19" i="5" s="1"/>
  <c r="AE17" i="10"/>
  <c r="AE27" i="10"/>
  <c r="AE51" i="10"/>
  <c r="AF45" i="10" s="1"/>
  <c r="AF48" i="10" s="1"/>
  <c r="AI145" i="6"/>
  <c r="AI146" i="6" s="1"/>
  <c r="AI150" i="6" s="1"/>
  <c r="AI151" i="6" s="1"/>
  <c r="T41" i="9" s="1"/>
  <c r="T42" i="9" s="1"/>
  <c r="T28" i="10"/>
  <c r="T30" i="10" s="1"/>
  <c r="T47" i="12" s="1"/>
  <c r="AJ66" i="6"/>
  <c r="AK63" i="6" s="1"/>
  <c r="AJ112" i="6"/>
  <c r="AJ110" i="6"/>
  <c r="AJ114" i="6" s="1"/>
  <c r="AJ45" i="5" s="1"/>
  <c r="AJ53" i="5" s="1"/>
  <c r="AJ56" i="5" s="1"/>
  <c r="AJ137" i="6"/>
  <c r="AJ140" i="6" s="1"/>
  <c r="AC24" i="6" l="1"/>
  <c r="AC28" i="6" s="1"/>
  <c r="AC23" i="5" s="1"/>
  <c r="AC24" i="5"/>
  <c r="AH47" i="5"/>
  <c r="AH48" i="5" s="1"/>
  <c r="AI40" i="5" s="1"/>
  <c r="AI46" i="5" s="1"/>
  <c r="AF49" i="10"/>
  <c r="AF53" i="10" s="1"/>
  <c r="AF51" i="10"/>
  <c r="AG45" i="10" s="1"/>
  <c r="AG48" i="10" s="1"/>
  <c r="AJ145" i="6"/>
  <c r="AJ146" i="6" s="1"/>
  <c r="AJ150" i="6" s="1"/>
  <c r="AJ151" i="6" s="1"/>
  <c r="U41" i="9" s="1"/>
  <c r="U42" i="9" s="1"/>
  <c r="U28" i="10"/>
  <c r="U30" i="10" s="1"/>
  <c r="U47" i="12" s="1"/>
  <c r="AK66" i="6"/>
  <c r="AL63" i="6" s="1"/>
  <c r="AK112" i="6"/>
  <c r="AK110" i="6"/>
  <c r="AK114" i="6" s="1"/>
  <c r="AK45" i="5" s="1"/>
  <c r="AK53" i="5" s="1"/>
  <c r="AK56" i="5" s="1"/>
  <c r="AK137" i="6"/>
  <c r="AK140" i="6" s="1"/>
  <c r="AI47" i="5" l="1"/>
  <c r="AI48" i="5" s="1"/>
  <c r="AJ40" i="5" s="1"/>
  <c r="AJ46" i="5" s="1"/>
  <c r="AG49" i="10"/>
  <c r="AG53" i="10" s="1"/>
  <c r="AF17" i="10"/>
  <c r="AF27" i="10"/>
  <c r="AK145" i="6"/>
  <c r="AK146" i="6" s="1"/>
  <c r="AK150" i="6" s="1"/>
  <c r="AK151" i="6" s="1"/>
  <c r="V41" i="9" s="1"/>
  <c r="V42" i="9" s="1"/>
  <c r="V28" i="10"/>
  <c r="V30" i="10" s="1"/>
  <c r="V47" i="12" s="1"/>
  <c r="AC25" i="5"/>
  <c r="AC26" i="5"/>
  <c r="AD19" i="5" s="1"/>
  <c r="AL66" i="6"/>
  <c r="AM63" i="6" s="1"/>
  <c r="AL110" i="6"/>
  <c r="AL112" i="6"/>
  <c r="AL137" i="6"/>
  <c r="AL140" i="6" s="1"/>
  <c r="AJ47" i="5" l="1"/>
  <c r="AJ48" i="5"/>
  <c r="AK40" i="5" s="1"/>
  <c r="AK46" i="5" s="1"/>
  <c r="AG27" i="10"/>
  <c r="AG17" i="10"/>
  <c r="AG51" i="10"/>
  <c r="AH45" i="10" s="1"/>
  <c r="AH48" i="10" s="1"/>
  <c r="AL145" i="6"/>
  <c r="AL146" i="6" s="1"/>
  <c r="AL150" i="6" s="1"/>
  <c r="AL151" i="6" s="1"/>
  <c r="W41" i="9" s="1"/>
  <c r="W42" i="9" s="1"/>
  <c r="W28" i="10"/>
  <c r="W30" i="10" s="1"/>
  <c r="W47" i="12" s="1"/>
  <c r="AL114" i="6"/>
  <c r="AL45" i="5" s="1"/>
  <c r="AL53" i="5" s="1"/>
  <c r="AL56" i="5" s="1"/>
  <c r="AD24" i="6"/>
  <c r="AD28" i="6" s="1"/>
  <c r="AD23" i="5" s="1"/>
  <c r="AD24" i="5" s="1"/>
  <c r="AM66" i="6"/>
  <c r="AN63" i="6" s="1"/>
  <c r="AM112" i="6"/>
  <c r="AM110" i="6"/>
  <c r="AM114" i="6" s="1"/>
  <c r="AM45" i="5" s="1"/>
  <c r="AM53" i="5" s="1"/>
  <c r="AM56" i="5" s="1"/>
  <c r="AM137" i="6"/>
  <c r="AM140" i="6" s="1"/>
  <c r="AD25" i="5" l="1"/>
  <c r="AD26" i="5" s="1"/>
  <c r="AE19" i="5" s="1"/>
  <c r="AM145" i="6"/>
  <c r="AM146" i="6" s="1"/>
  <c r="AM150" i="6" s="1"/>
  <c r="AM151" i="6" s="1"/>
  <c r="X41" i="9" s="1"/>
  <c r="X42" i="9" s="1"/>
  <c r="X28" i="10"/>
  <c r="X30" i="10" s="1"/>
  <c r="X47" i="12" s="1"/>
  <c r="AN66" i="6"/>
  <c r="AO63" i="6" s="1"/>
  <c r="AN110" i="6"/>
  <c r="AN114" i="6" s="1"/>
  <c r="AN45" i="5" s="1"/>
  <c r="AN53" i="5" s="1"/>
  <c r="AN56" i="5" s="1"/>
  <c r="AN112" i="6"/>
  <c r="AN137" i="6"/>
  <c r="AN140" i="6" s="1"/>
  <c r="AK47" i="5"/>
  <c r="AK48" i="5"/>
  <c r="AL40" i="5" s="1"/>
  <c r="AL46" i="5" s="1"/>
  <c r="AH49" i="10"/>
  <c r="AH53" i="10" s="1"/>
  <c r="AE24" i="6" l="1"/>
  <c r="AE28" i="6" s="1"/>
  <c r="AE23" i="5" s="1"/>
  <c r="AE24" i="5"/>
  <c r="AH27" i="10"/>
  <c r="AH17" i="10"/>
  <c r="AL47" i="5"/>
  <c r="AL48" i="5"/>
  <c r="AM40" i="5" s="1"/>
  <c r="AM46" i="5" s="1"/>
  <c r="AO66" i="6"/>
  <c r="AP63" i="6" s="1"/>
  <c r="AO112" i="6"/>
  <c r="AO110" i="6"/>
  <c r="AO137" i="6"/>
  <c r="AO140" i="6" s="1"/>
  <c r="AH51" i="10"/>
  <c r="AI45" i="10" s="1"/>
  <c r="AI48" i="10" s="1"/>
  <c r="AN145" i="6"/>
  <c r="AN146" i="6" s="1"/>
  <c r="AN150" i="6" s="1"/>
  <c r="AN151" i="6" s="1"/>
  <c r="Y41" i="9" s="1"/>
  <c r="Y42" i="9" s="1"/>
  <c r="Y28" i="10"/>
  <c r="Y30" i="10" s="1"/>
  <c r="Y47" i="12" s="1"/>
  <c r="AI49" i="10" l="1"/>
  <c r="AI50" i="10"/>
  <c r="AI51" i="10" s="1"/>
  <c r="AO145" i="6"/>
  <c r="AO146" i="6" s="1"/>
  <c r="AO150" i="6" s="1"/>
  <c r="AO151" i="6" s="1"/>
  <c r="Z41" i="9" s="1"/>
  <c r="Z42" i="9" s="1"/>
  <c r="Z28" i="10"/>
  <c r="Z30" i="10" s="1"/>
  <c r="Z47" i="12" s="1"/>
  <c r="AP66" i="6"/>
  <c r="AQ63" i="6" s="1"/>
  <c r="AP112" i="6"/>
  <c r="AP110" i="6"/>
  <c r="AP114" i="6" s="1"/>
  <c r="AP45" i="5" s="1"/>
  <c r="AP53" i="5" s="1"/>
  <c r="AP56" i="5" s="1"/>
  <c r="AP137" i="6"/>
  <c r="AP140" i="6" s="1"/>
  <c r="AO114" i="6"/>
  <c r="AO45" i="5" s="1"/>
  <c r="AO53" i="5" s="1"/>
  <c r="AO56" i="5" s="1"/>
  <c r="AM47" i="5"/>
  <c r="AM48" i="5"/>
  <c r="AN40" i="5" s="1"/>
  <c r="AN46" i="5" s="1"/>
  <c r="AE25" i="5"/>
  <c r="AE26" i="5"/>
  <c r="AF19" i="5" s="1"/>
  <c r="AN47" i="5" l="1"/>
  <c r="AN48" i="5" s="1"/>
  <c r="AO40" i="5" s="1"/>
  <c r="AO46" i="5" s="1"/>
  <c r="AQ66" i="6"/>
  <c r="AR63" i="6" s="1"/>
  <c r="AQ112" i="6"/>
  <c r="AQ110" i="6"/>
  <c r="AQ137" i="6"/>
  <c r="AQ140" i="6" s="1"/>
  <c r="AF24" i="6"/>
  <c r="AF28" i="6" s="1"/>
  <c r="AF23" i="5" s="1"/>
  <c r="AF24" i="5" s="1"/>
  <c r="AP145" i="6"/>
  <c r="AP146" i="6" s="1"/>
  <c r="AP150" i="6" s="1"/>
  <c r="AP151" i="6" s="1"/>
  <c r="AA41" i="9" s="1"/>
  <c r="AA42" i="9" s="1"/>
  <c r="AA28" i="10"/>
  <c r="AA30" i="10" s="1"/>
  <c r="AA47" i="12" s="1"/>
  <c r="AI53" i="10"/>
  <c r="AF25" i="5" l="1"/>
  <c r="AF26" i="5" s="1"/>
  <c r="AG19" i="5" s="1"/>
  <c r="AO47" i="5"/>
  <c r="AO48" i="5" s="1"/>
  <c r="AP40" i="5" s="1"/>
  <c r="AP46" i="5" s="1"/>
  <c r="AI27" i="10"/>
  <c r="AI17" i="10"/>
  <c r="AR66" i="6"/>
  <c r="AS63" i="6" s="1"/>
  <c r="AR112" i="6"/>
  <c r="AR110" i="6"/>
  <c r="AR114" i="6" s="1"/>
  <c r="AR45" i="5" s="1"/>
  <c r="AR53" i="5" s="1"/>
  <c r="AR56" i="5" s="1"/>
  <c r="AR137" i="6"/>
  <c r="AR140" i="6" s="1"/>
  <c r="AQ145" i="6"/>
  <c r="AQ146" i="6" s="1"/>
  <c r="AQ150" i="6" s="1"/>
  <c r="AQ151" i="6" s="1"/>
  <c r="AB41" i="9" s="1"/>
  <c r="AB42" i="9" s="1"/>
  <c r="AB28" i="10"/>
  <c r="AB30" i="10" s="1"/>
  <c r="AB47" i="12" s="1"/>
  <c r="AQ114" i="6"/>
  <c r="AQ45" i="5" s="1"/>
  <c r="AQ53" i="5" s="1"/>
  <c r="AQ56" i="5" s="1"/>
  <c r="AP47" i="5" l="1"/>
  <c r="AP48" i="5" s="1"/>
  <c r="AQ40" i="5" s="1"/>
  <c r="AQ46" i="5" s="1"/>
  <c r="AG24" i="6"/>
  <c r="AG28" i="6" s="1"/>
  <c r="AG23" i="5" s="1"/>
  <c r="AG24" i="5"/>
  <c r="AR145" i="6"/>
  <c r="AR146" i="6" s="1"/>
  <c r="AR150" i="6" s="1"/>
  <c r="AR151" i="6" s="1"/>
  <c r="AC41" i="9" s="1"/>
  <c r="AC42" i="9" s="1"/>
  <c r="AC28" i="10"/>
  <c r="AC30" i="10" s="1"/>
  <c r="AC47" i="12" s="1"/>
  <c r="AS66" i="6"/>
  <c r="AT63" i="6" s="1"/>
  <c r="AS112" i="6"/>
  <c r="AS110" i="6"/>
  <c r="AS137" i="6"/>
  <c r="AS140" i="6" s="1"/>
  <c r="AQ47" i="5" l="1"/>
  <c r="AQ48" i="5"/>
  <c r="AR40" i="5" s="1"/>
  <c r="AR46" i="5" s="1"/>
  <c r="AT66" i="6"/>
  <c r="AU63" i="6" s="1"/>
  <c r="AT110" i="6"/>
  <c r="AT112" i="6"/>
  <c r="AT137" i="6"/>
  <c r="AT140" i="6" s="1"/>
  <c r="AG26" i="5"/>
  <c r="AH19" i="5" s="1"/>
  <c r="AG25" i="5"/>
  <c r="AS145" i="6"/>
  <c r="AS146" i="6" s="1"/>
  <c r="AS150" i="6" s="1"/>
  <c r="AS151" i="6" s="1"/>
  <c r="AD41" i="9" s="1"/>
  <c r="AD42" i="9" s="1"/>
  <c r="AD28" i="10"/>
  <c r="AD30" i="10" s="1"/>
  <c r="AD47" i="12" s="1"/>
  <c r="AS114" i="6"/>
  <c r="AS45" i="5" s="1"/>
  <c r="AS53" i="5" s="1"/>
  <c r="AS56" i="5" s="1"/>
  <c r="AH24" i="6" l="1"/>
  <c r="AH28" i="6" s="1"/>
  <c r="AH23" i="5" s="1"/>
  <c r="AH24" i="5"/>
  <c r="AT114" i="6"/>
  <c r="AT45" i="5" s="1"/>
  <c r="AT53" i="5" s="1"/>
  <c r="AT56" i="5" s="1"/>
  <c r="AT145" i="6"/>
  <c r="AT146" i="6" s="1"/>
  <c r="AT150" i="6" s="1"/>
  <c r="AT151" i="6" s="1"/>
  <c r="AE41" i="9" s="1"/>
  <c r="AE42" i="9" s="1"/>
  <c r="AE28" i="10"/>
  <c r="AE30" i="10" s="1"/>
  <c r="AE47" i="12" s="1"/>
  <c r="AU66" i="6"/>
  <c r="AV63" i="6" s="1"/>
  <c r="AU112" i="6"/>
  <c r="AU110" i="6"/>
  <c r="AU137" i="6"/>
  <c r="AU140" i="6" s="1"/>
  <c r="AR48" i="5"/>
  <c r="AS40" i="5" s="1"/>
  <c r="AS46" i="5" s="1"/>
  <c r="AR47" i="5"/>
  <c r="AV66" i="6" l="1"/>
  <c r="AW63" i="6" s="1"/>
  <c r="AV110" i="6"/>
  <c r="AV112" i="6"/>
  <c r="AV137" i="6"/>
  <c r="AV140" i="6" s="1"/>
  <c r="AS47" i="5"/>
  <c r="AS48" i="5" s="1"/>
  <c r="AT40" i="5" s="1"/>
  <c r="AT46" i="5" s="1"/>
  <c r="AU145" i="6"/>
  <c r="AU146" i="6" s="1"/>
  <c r="AU150" i="6" s="1"/>
  <c r="AU151" i="6" s="1"/>
  <c r="AF41" i="9" s="1"/>
  <c r="AF42" i="9" s="1"/>
  <c r="AF28" i="10"/>
  <c r="AF30" i="10" s="1"/>
  <c r="AF47" i="12" s="1"/>
  <c r="AH25" i="5"/>
  <c r="AH26" i="5"/>
  <c r="AI19" i="5" s="1"/>
  <c r="AU114" i="6"/>
  <c r="AU45" i="5" s="1"/>
  <c r="AU53" i="5" s="1"/>
  <c r="AU56" i="5" s="1"/>
  <c r="AT47" i="5" l="1"/>
  <c r="AT48" i="5" s="1"/>
  <c r="AU40" i="5" s="1"/>
  <c r="AU46" i="5" s="1"/>
  <c r="AV114" i="6"/>
  <c r="AV45" i="5" s="1"/>
  <c r="AV53" i="5" s="1"/>
  <c r="AV56" i="5" s="1"/>
  <c r="AV145" i="6"/>
  <c r="AV146" i="6" s="1"/>
  <c r="AV150" i="6" s="1"/>
  <c r="AV151" i="6" s="1"/>
  <c r="AG41" i="9" s="1"/>
  <c r="AG42" i="9" s="1"/>
  <c r="AG28" i="10"/>
  <c r="AG30" i="10" s="1"/>
  <c r="AG47" i="12" s="1"/>
  <c r="AI24" i="6"/>
  <c r="AI28" i="6" s="1"/>
  <c r="AI23" i="5" s="1"/>
  <c r="AI24" i="5" s="1"/>
  <c r="AW66" i="6"/>
  <c r="AX63" i="6" s="1"/>
  <c r="AW112" i="6"/>
  <c r="AW110" i="6"/>
  <c r="AW137" i="6"/>
  <c r="AW140" i="6" s="1"/>
  <c r="AI25" i="5" l="1"/>
  <c r="AI26" i="5" s="1"/>
  <c r="AJ19" i="5" s="1"/>
  <c r="AU47" i="5"/>
  <c r="AU48" i="5" s="1"/>
  <c r="AV40" i="5" s="1"/>
  <c r="AV46" i="5" s="1"/>
  <c r="AW145" i="6"/>
  <c r="AW146" i="6" s="1"/>
  <c r="AW150" i="6" s="1"/>
  <c r="AW151" i="6" s="1"/>
  <c r="AH41" i="9" s="1"/>
  <c r="AH42" i="9" s="1"/>
  <c r="AH50" i="9"/>
  <c r="AH28" i="10"/>
  <c r="AH30" i="10" s="1"/>
  <c r="AH47" i="12" s="1"/>
  <c r="AF50" i="9"/>
  <c r="AD50" i="9"/>
  <c r="AW114" i="6"/>
  <c r="AW45" i="5" s="1"/>
  <c r="AW53" i="5" s="1"/>
  <c r="AW56" i="5" s="1"/>
  <c r="AX66" i="6"/>
  <c r="AX137" i="6"/>
  <c r="AX140" i="6" s="1"/>
  <c r="AX110" i="6"/>
  <c r="AX112" i="6"/>
  <c r="AV47" i="5" l="1"/>
  <c r="AV48" i="5"/>
  <c r="AW40" i="5" s="1"/>
  <c r="AW46" i="5" s="1"/>
  <c r="AJ24" i="6"/>
  <c r="AJ28" i="6" s="1"/>
  <c r="AJ23" i="5" s="1"/>
  <c r="AJ24" i="5" s="1"/>
  <c r="AX114" i="6"/>
  <c r="AX45" i="5" s="1"/>
  <c r="AX53" i="5" s="1"/>
  <c r="AX56" i="5" s="1"/>
  <c r="I57" i="5" s="1"/>
  <c r="AX145" i="6"/>
  <c r="AX146" i="6" s="1"/>
  <c r="AX150" i="6" s="1"/>
  <c r="AX151" i="6" s="1"/>
  <c r="AI41" i="9" s="1"/>
  <c r="AI42" i="9" s="1"/>
  <c r="AI50" i="9"/>
  <c r="AI28" i="10"/>
  <c r="AI30" i="10" s="1"/>
  <c r="AI47" i="12" s="1"/>
  <c r="K50" i="9"/>
  <c r="I52" i="9" s="1"/>
  <c r="L50" i="9"/>
  <c r="M50" i="9"/>
  <c r="N50" i="9"/>
  <c r="P50" i="9"/>
  <c r="O50" i="9"/>
  <c r="Q50" i="9"/>
  <c r="S50" i="9"/>
  <c r="R50" i="9"/>
  <c r="T50" i="9"/>
  <c r="U50" i="9"/>
  <c r="V50" i="9"/>
  <c r="W50" i="9"/>
  <c r="X50" i="9"/>
  <c r="Y50" i="9"/>
  <c r="Z50" i="9"/>
  <c r="AG50" i="9"/>
  <c r="AC50" i="9"/>
  <c r="AE50" i="9"/>
  <c r="AA50" i="9"/>
  <c r="AB50" i="9"/>
  <c r="AJ25" i="5" l="1"/>
  <c r="AJ26" i="5" s="1"/>
  <c r="AK19" i="5" s="1"/>
  <c r="AB57" i="9"/>
  <c r="P57" i="9"/>
  <c r="AA57" i="9"/>
  <c r="O57" i="9"/>
  <c r="AE57" i="9"/>
  <c r="S57" i="9"/>
  <c r="AI57" i="9"/>
  <c r="AI70" i="12" s="1"/>
  <c r="T57" i="9"/>
  <c r="AH57" i="9"/>
  <c r="R57" i="9"/>
  <c r="W57" i="9"/>
  <c r="V57" i="9"/>
  <c r="U57" i="9"/>
  <c r="AD57" i="9"/>
  <c r="AC57" i="9"/>
  <c r="Z57" i="9"/>
  <c r="K57" i="9"/>
  <c r="AG57" i="9"/>
  <c r="I54" i="9"/>
  <c r="I64" i="9" s="1"/>
  <c r="I75" i="12" s="1"/>
  <c r="AF57" i="9"/>
  <c r="Y57" i="9"/>
  <c r="Q57" i="9"/>
  <c r="M57" i="9"/>
  <c r="L57" i="9"/>
  <c r="X57" i="9"/>
  <c r="N57" i="9"/>
  <c r="AW47" i="5"/>
  <c r="AW48" i="5"/>
  <c r="AX40" i="5" s="1"/>
  <c r="AX46" i="5" s="1"/>
  <c r="AK24" i="6" l="1"/>
  <c r="AK28" i="6" s="1"/>
  <c r="AK23" i="5" s="1"/>
  <c r="AK24" i="5"/>
  <c r="R70" i="12"/>
  <c r="R61" i="9"/>
  <c r="T70" i="12"/>
  <c r="T61" i="9"/>
  <c r="AH70" i="12"/>
  <c r="AH61" i="9"/>
  <c r="S70" i="12"/>
  <c r="S61" i="9"/>
  <c r="AE70" i="12"/>
  <c r="AE61" i="9"/>
  <c r="Y70" i="12"/>
  <c r="Y61" i="9"/>
  <c r="O70" i="12"/>
  <c r="O61" i="9"/>
  <c r="AA70" i="12"/>
  <c r="AA61" i="9"/>
  <c r="AG70" i="12"/>
  <c r="AG61" i="9"/>
  <c r="AI61" i="9"/>
  <c r="AD70" i="12"/>
  <c r="AD61" i="9"/>
  <c r="U70" i="12"/>
  <c r="U61" i="9"/>
  <c r="AB70" i="12"/>
  <c r="AB61" i="9"/>
  <c r="Q70" i="12"/>
  <c r="Q61" i="9"/>
  <c r="K70" i="12"/>
  <c r="K61" i="9"/>
  <c r="AC70" i="12"/>
  <c r="AC61" i="9"/>
  <c r="P70" i="12"/>
  <c r="P61" i="9"/>
  <c r="L70" i="12"/>
  <c r="L61" i="9"/>
  <c r="V70" i="12"/>
  <c r="V61" i="9"/>
  <c r="AF70" i="12"/>
  <c r="AF61" i="9"/>
  <c r="AX47" i="5"/>
  <c r="AX48" i="5" s="1"/>
  <c r="Z70" i="12"/>
  <c r="Z61" i="9"/>
  <c r="N70" i="12"/>
  <c r="N61" i="9"/>
  <c r="X70" i="12"/>
  <c r="X61" i="9"/>
  <c r="M70" i="12"/>
  <c r="M61" i="9"/>
  <c r="W70" i="12"/>
  <c r="W61" i="9"/>
  <c r="I62" i="9" l="1"/>
  <c r="I66" i="9" s="1"/>
  <c r="AK25" i="5"/>
  <c r="AK26" i="5"/>
  <c r="AL19" i="5" s="1"/>
  <c r="AL24" i="6" l="1"/>
  <c r="AL28" i="6" s="1"/>
  <c r="AL23" i="5" s="1"/>
  <c r="AL24" i="5" s="1"/>
  <c r="I28" i="13"/>
  <c r="AA67" i="9"/>
  <c r="U67" i="9"/>
  <c r="Z67" i="9"/>
  <c r="AB67" i="9"/>
  <c r="L67" i="9"/>
  <c r="L46" i="12" s="1"/>
  <c r="L48" i="12" s="1"/>
  <c r="W67" i="9"/>
  <c r="W46" i="12" s="1"/>
  <c r="W48" i="12" s="1"/>
  <c r="AD67" i="9"/>
  <c r="AD46" i="12" s="1"/>
  <c r="AD48" i="12" s="1"/>
  <c r="T67" i="9"/>
  <c r="T46" i="12" s="1"/>
  <c r="T48" i="12" s="1"/>
  <c r="Q67" i="9"/>
  <c r="Q46" i="12" s="1"/>
  <c r="Q48" i="12" s="1"/>
  <c r="K67" i="9"/>
  <c r="AH67" i="9"/>
  <c r="AF67" i="9"/>
  <c r="O67" i="9"/>
  <c r="P67" i="9"/>
  <c r="AG67" i="9"/>
  <c r="AG46" i="12" s="1"/>
  <c r="AG48" i="12" s="1"/>
  <c r="R67" i="9"/>
  <c r="N67" i="9"/>
  <c r="N46" i="12" s="1"/>
  <c r="N48" i="12" s="1"/>
  <c r="Y67" i="9"/>
  <c r="Y46" i="12" s="1"/>
  <c r="Y48" i="12" s="1"/>
  <c r="X67" i="9"/>
  <c r="X46" i="12" s="1"/>
  <c r="X48" i="12" s="1"/>
  <c r="AI67" i="9"/>
  <c r="AI46" i="12" s="1"/>
  <c r="AI48" i="12" s="1"/>
  <c r="M67" i="9"/>
  <c r="M46" i="12" s="1"/>
  <c r="M48" i="12" s="1"/>
  <c r="AE67" i="9"/>
  <c r="V67" i="9"/>
  <c r="V46" i="12" s="1"/>
  <c r="V48" i="12" s="1"/>
  <c r="S67" i="9"/>
  <c r="AC67" i="9"/>
  <c r="O76" i="9"/>
  <c r="AD76" i="9"/>
  <c r="W76" i="9"/>
  <c r="X76" i="9"/>
  <c r="K76" i="9"/>
  <c r="T76" i="9"/>
  <c r="U76" i="9"/>
  <c r="S76" i="9"/>
  <c r="M76" i="9"/>
  <c r="Q76" i="9"/>
  <c r="AI76" i="9"/>
  <c r="AH76" i="9"/>
  <c r="L76" i="9"/>
  <c r="Y76" i="9"/>
  <c r="N76" i="9"/>
  <c r="R76" i="9"/>
  <c r="AB76" i="9"/>
  <c r="Z76" i="9"/>
  <c r="AC76" i="9"/>
  <c r="P76" i="9"/>
  <c r="AG76" i="9"/>
  <c r="AA76" i="9"/>
  <c r="V76" i="9"/>
  <c r="AE76" i="9"/>
  <c r="AF76" i="9"/>
  <c r="AL25" i="5" l="1"/>
  <c r="AL26" i="5" s="1"/>
  <c r="AM19" i="5" s="1"/>
  <c r="M54" i="12"/>
  <c r="M53" i="12"/>
  <c r="M59" i="12"/>
  <c r="M61" i="12" s="1"/>
  <c r="M65" i="12" s="1"/>
  <c r="M69" i="12" s="1"/>
  <c r="M72" i="12" s="1"/>
  <c r="Q53" i="12"/>
  <c r="T53" i="12"/>
  <c r="AD53" i="12"/>
  <c r="Y53" i="12"/>
  <c r="N53" i="12"/>
  <c r="N54" i="12"/>
  <c r="N59" i="12"/>
  <c r="N61" i="12" s="1"/>
  <c r="N65" i="12" s="1"/>
  <c r="N69" i="12" s="1"/>
  <c r="N72" i="12" s="1"/>
  <c r="R46" i="12"/>
  <c r="R48" i="12" s="1"/>
  <c r="AG53" i="12"/>
  <c r="P46" i="12"/>
  <c r="P48" i="12" s="1"/>
  <c r="U46" i="12"/>
  <c r="U48" i="12" s="1"/>
  <c r="AC46" i="12"/>
  <c r="AC48" i="12" s="1"/>
  <c r="O46" i="12"/>
  <c r="O48" i="12" s="1"/>
  <c r="AA46" i="12"/>
  <c r="AA48" i="12" s="1"/>
  <c r="S46" i="12"/>
  <c r="S48" i="12" s="1"/>
  <c r="AF46" i="12"/>
  <c r="AF48" i="12" s="1"/>
  <c r="AI54" i="12"/>
  <c r="AI59" i="12" s="1"/>
  <c r="AI61" i="12" s="1"/>
  <c r="AI65" i="12" s="1"/>
  <c r="AI69" i="12" s="1"/>
  <c r="AI72" i="12" s="1"/>
  <c r="AI53" i="12"/>
  <c r="X53" i="12"/>
  <c r="L54" i="12"/>
  <c r="L53" i="12"/>
  <c r="L59" i="12"/>
  <c r="L61" i="12" s="1"/>
  <c r="L65" i="12" s="1"/>
  <c r="L69" i="12" s="1"/>
  <c r="L72" i="12" s="1"/>
  <c r="V53" i="12"/>
  <c r="AH46" i="12"/>
  <c r="AH48" i="12" s="1"/>
  <c r="W53" i="12"/>
  <c r="AB46" i="12"/>
  <c r="AB48" i="12" s="1"/>
  <c r="Z46" i="12"/>
  <c r="Z48" i="12" s="1"/>
  <c r="AE46" i="12"/>
  <c r="AE48" i="12" s="1"/>
  <c r="K46" i="12"/>
  <c r="K48" i="12" s="1"/>
  <c r="AM24" i="6" l="1"/>
  <c r="AM28" i="6" s="1"/>
  <c r="AM23" i="5" s="1"/>
  <c r="AM24" i="5" s="1"/>
  <c r="R53" i="12"/>
  <c r="AF53" i="12"/>
  <c r="AH53" i="12"/>
  <c r="AA53" i="12"/>
  <c r="O54" i="12"/>
  <c r="O53" i="12"/>
  <c r="O59" i="12"/>
  <c r="O61" i="12" s="1"/>
  <c r="O65" i="12" s="1"/>
  <c r="O69" i="12" s="1"/>
  <c r="O72" i="12" s="1"/>
  <c r="AE53" i="12"/>
  <c r="AC53" i="12"/>
  <c r="S53" i="12"/>
  <c r="Z53" i="12"/>
  <c r="K54" i="12"/>
  <c r="K59" i="12" s="1"/>
  <c r="K61" i="12" s="1"/>
  <c r="K65" i="12" s="1"/>
  <c r="K69" i="12" s="1"/>
  <c r="K72" i="12" s="1"/>
  <c r="K53" i="12"/>
  <c r="K55" i="12" s="1"/>
  <c r="L52" i="12" s="1"/>
  <c r="L55" i="12" s="1"/>
  <c r="M52" i="12" s="1"/>
  <c r="M55" i="12" s="1"/>
  <c r="N52" i="12" s="1"/>
  <c r="N55" i="12" s="1"/>
  <c r="O52" i="12" s="1"/>
  <c r="O55" i="12" s="1"/>
  <c r="P52" i="12" s="1"/>
  <c r="U53" i="12"/>
  <c r="AB53" i="12"/>
  <c r="P53" i="12"/>
  <c r="AM25" i="5" l="1"/>
  <c r="AM26" i="5" s="1"/>
  <c r="AN19" i="5" s="1"/>
  <c r="P54" i="12"/>
  <c r="P59" i="12" s="1"/>
  <c r="P61" i="12" s="1"/>
  <c r="P65" i="12" s="1"/>
  <c r="P69" i="12" s="1"/>
  <c r="P72" i="12" s="1"/>
  <c r="AN24" i="6" l="1"/>
  <c r="AN28" i="6" s="1"/>
  <c r="AN23" i="5" s="1"/>
  <c r="AN24" i="5"/>
  <c r="P55" i="12"/>
  <c r="Q52" i="12" s="1"/>
  <c r="Q54" i="12" l="1"/>
  <c r="Q59" i="12" s="1"/>
  <c r="Q61" i="12" s="1"/>
  <c r="Q65" i="12" s="1"/>
  <c r="Q69" i="12" s="1"/>
  <c r="Q72" i="12" s="1"/>
  <c r="AN25" i="5"/>
  <c r="AN26" i="5"/>
  <c r="AO19" i="5" s="1"/>
  <c r="AO24" i="6" l="1"/>
  <c r="AO28" i="6" s="1"/>
  <c r="AO23" i="5" s="1"/>
  <c r="AO24" i="5" s="1"/>
  <c r="Q55" i="12"/>
  <c r="R52" i="12" s="1"/>
  <c r="AO25" i="5" l="1"/>
  <c r="AO26" i="5" s="1"/>
  <c r="AP19" i="5" s="1"/>
  <c r="R54" i="12"/>
  <c r="R59" i="12" s="1"/>
  <c r="R61" i="12" s="1"/>
  <c r="R65" i="12" s="1"/>
  <c r="R69" i="12" s="1"/>
  <c r="R72" i="12" s="1"/>
  <c r="AP24" i="6" l="1"/>
  <c r="AP28" i="6" s="1"/>
  <c r="AP23" i="5" s="1"/>
  <c r="AP24" i="5"/>
  <c r="R55" i="12"/>
  <c r="S52" i="12" s="1"/>
  <c r="S54" i="12" l="1"/>
  <c r="S59" i="12" s="1"/>
  <c r="S61" i="12" s="1"/>
  <c r="S65" i="12" s="1"/>
  <c r="S69" i="12" s="1"/>
  <c r="S72" i="12" s="1"/>
  <c r="AP25" i="5"/>
  <c r="AP26" i="5" s="1"/>
  <c r="AQ19" i="5" s="1"/>
  <c r="AQ24" i="6" l="1"/>
  <c r="AQ28" i="6" s="1"/>
  <c r="AQ23" i="5" s="1"/>
  <c r="AQ24" i="5" s="1"/>
  <c r="S55" i="12"/>
  <c r="T52" i="12" s="1"/>
  <c r="AQ25" i="5" l="1"/>
  <c r="AQ26" i="5" s="1"/>
  <c r="AR19" i="5" s="1"/>
  <c r="T54" i="12"/>
  <c r="T59" i="12" s="1"/>
  <c r="T61" i="12" s="1"/>
  <c r="T65" i="12" s="1"/>
  <c r="T69" i="12" s="1"/>
  <c r="T72" i="12" s="1"/>
  <c r="AR24" i="6" l="1"/>
  <c r="AR28" i="6" s="1"/>
  <c r="AR23" i="5" s="1"/>
  <c r="AR24" i="5"/>
  <c r="T55" i="12"/>
  <c r="U52" i="12" s="1"/>
  <c r="U54" i="12" l="1"/>
  <c r="U59" i="12" s="1"/>
  <c r="U61" i="12" s="1"/>
  <c r="U65" i="12" s="1"/>
  <c r="U69" i="12" s="1"/>
  <c r="U72" i="12" s="1"/>
  <c r="AR25" i="5"/>
  <c r="AR26" i="5" s="1"/>
  <c r="AS19" i="5" s="1"/>
  <c r="AS24" i="6" l="1"/>
  <c r="AS28" i="6" s="1"/>
  <c r="AS23" i="5" s="1"/>
  <c r="AS24" i="5"/>
  <c r="U55" i="12"/>
  <c r="V52" i="12" s="1"/>
  <c r="V54" i="12" l="1"/>
  <c r="V59" i="12" s="1"/>
  <c r="V61" i="12" s="1"/>
  <c r="V65" i="12" s="1"/>
  <c r="V69" i="12" s="1"/>
  <c r="V72" i="12" s="1"/>
  <c r="AS25" i="5"/>
  <c r="AS26" i="5" s="1"/>
  <c r="AT19" i="5" s="1"/>
  <c r="AT24" i="6" l="1"/>
  <c r="AT28" i="6" s="1"/>
  <c r="AT23" i="5" s="1"/>
  <c r="AT24" i="5"/>
  <c r="V55" i="12"/>
  <c r="W52" i="12" s="1"/>
  <c r="W54" i="12" l="1"/>
  <c r="W59" i="12" s="1"/>
  <c r="W61" i="12" s="1"/>
  <c r="W65" i="12" s="1"/>
  <c r="W69" i="12" s="1"/>
  <c r="W72" i="12" s="1"/>
  <c r="AT25" i="5"/>
  <c r="AT26" i="5"/>
  <c r="AU19" i="5" s="1"/>
  <c r="AU24" i="6" l="1"/>
  <c r="AU28" i="6" s="1"/>
  <c r="AU23" i="5" s="1"/>
  <c r="AU24" i="5" s="1"/>
  <c r="W55" i="12"/>
  <c r="X52" i="12" s="1"/>
  <c r="AU25" i="5" l="1"/>
  <c r="AU26" i="5"/>
  <c r="AV19" i="5" s="1"/>
  <c r="X54" i="12"/>
  <c r="X59" i="12" s="1"/>
  <c r="X61" i="12" s="1"/>
  <c r="X65" i="12" s="1"/>
  <c r="X69" i="12" s="1"/>
  <c r="X72" i="12" s="1"/>
  <c r="X55" i="12" l="1"/>
  <c r="Y52" i="12" s="1"/>
  <c r="AV24" i="6"/>
  <c r="AV28" i="6" s="1"/>
  <c r="AV23" i="5" s="1"/>
  <c r="AV24" i="5" s="1"/>
  <c r="AV25" i="5" l="1"/>
  <c r="AV26" i="5" s="1"/>
  <c r="AW19" i="5" s="1"/>
  <c r="Y54" i="12"/>
  <c r="Y59" i="12" s="1"/>
  <c r="Y61" i="12" s="1"/>
  <c r="Y65" i="12" s="1"/>
  <c r="Y69" i="12" s="1"/>
  <c r="Y72" i="12" s="1"/>
  <c r="AW24" i="6" l="1"/>
  <c r="AW28" i="6" s="1"/>
  <c r="AW23" i="5" s="1"/>
  <c r="AW24" i="5"/>
  <c r="Y55" i="12"/>
  <c r="Z52" i="12" s="1"/>
  <c r="Z54" i="12" l="1"/>
  <c r="Z59" i="12" s="1"/>
  <c r="Z61" i="12" s="1"/>
  <c r="Z65" i="12" s="1"/>
  <c r="Z69" i="12" s="1"/>
  <c r="Z72" i="12" s="1"/>
  <c r="AW25" i="5"/>
  <c r="AW26" i="5" s="1"/>
  <c r="AX19" i="5" s="1"/>
  <c r="AX24" i="6" l="1"/>
  <c r="AX28" i="6" s="1"/>
  <c r="AX23" i="5" s="1"/>
  <c r="AX24" i="5"/>
  <c r="Z55" i="12"/>
  <c r="AA52" i="12" s="1"/>
  <c r="AA54" i="12" l="1"/>
  <c r="AA59" i="12" s="1"/>
  <c r="AA61" i="12" s="1"/>
  <c r="AA65" i="12" s="1"/>
  <c r="AA69" i="12" s="1"/>
  <c r="AA72" i="12" s="1"/>
  <c r="AX25" i="5"/>
  <c r="K11" i="7" s="1"/>
  <c r="AX26" i="5"/>
  <c r="AH46" i="6" l="1"/>
  <c r="AW45" i="6"/>
  <c r="AA45" i="6"/>
  <c r="AR45" i="6"/>
  <c r="Y46" i="6"/>
  <c r="T46" i="6"/>
  <c r="K46" i="6"/>
  <c r="AJ45" i="6"/>
  <c r="AQ46" i="6"/>
  <c r="AJ46" i="6"/>
  <c r="R45" i="6"/>
  <c r="M45" i="6"/>
  <c r="AC45" i="6"/>
  <c r="V45" i="6"/>
  <c r="AM45" i="6"/>
  <c r="AD45" i="6"/>
  <c r="AV46" i="6"/>
  <c r="AT46" i="6"/>
  <c r="S45" i="6"/>
  <c r="AX46" i="6"/>
  <c r="AI45" i="6"/>
  <c r="P44" i="6"/>
  <c r="AF46" i="6"/>
  <c r="M46" i="6"/>
  <c r="AK45" i="6"/>
  <c r="AL46" i="6"/>
  <c r="X46" i="6"/>
  <c r="O46" i="6"/>
  <c r="W45" i="6"/>
  <c r="AI46" i="6"/>
  <c r="AM46" i="6"/>
  <c r="AS46" i="6"/>
  <c r="R46" i="6"/>
  <c r="V46" i="6"/>
  <c r="L46" i="6"/>
  <c r="AE45" i="6"/>
  <c r="T45" i="6"/>
  <c r="L43" i="6"/>
  <c r="P46" i="6"/>
  <c r="T43" i="6"/>
  <c r="AK46" i="6"/>
  <c r="N45" i="6"/>
  <c r="AN46" i="6"/>
  <c r="R44" i="6"/>
  <c r="U46" i="6"/>
  <c r="Z46" i="6"/>
  <c r="AX45" i="6"/>
  <c r="AN45" i="6"/>
  <c r="K45" i="6"/>
  <c r="O43" i="6"/>
  <c r="AT45" i="6"/>
  <c r="AC46" i="6"/>
  <c r="AF45" i="6"/>
  <c r="AP45" i="6"/>
  <c r="S46" i="6"/>
  <c r="AP46" i="6"/>
  <c r="P43" i="6"/>
  <c r="X45" i="6"/>
  <c r="AA46" i="6"/>
  <c r="O45" i="6"/>
  <c r="AD46" i="6"/>
  <c r="U45" i="6"/>
  <c r="Z45" i="6"/>
  <c r="Q43" i="6"/>
  <c r="AV45" i="6"/>
  <c r="AU45" i="6"/>
  <c r="AR46" i="6"/>
  <c r="N46" i="6"/>
  <c r="AO46" i="6"/>
  <c r="AG45" i="6"/>
  <c r="Y45" i="6"/>
  <c r="S44" i="6"/>
  <c r="L45" i="6"/>
  <c r="P45" i="6"/>
  <c r="Q45" i="6"/>
  <c r="AB45" i="6"/>
  <c r="AH45" i="6"/>
  <c r="Q46" i="6"/>
  <c r="W46" i="6"/>
  <c r="AW46" i="6"/>
  <c r="AO45" i="6"/>
  <c r="Q44" i="6"/>
  <c r="O44" i="6"/>
  <c r="AB46" i="6"/>
  <c r="AQ45" i="6"/>
  <c r="AG46" i="6"/>
  <c r="AS45" i="6"/>
  <c r="AU46" i="6"/>
  <c r="AE46" i="6"/>
  <c r="AL45" i="6"/>
  <c r="R43" i="6"/>
  <c r="R47" i="6" s="1"/>
  <c r="K43" i="6"/>
  <c r="L44" i="6"/>
  <c r="K44" i="6"/>
  <c r="M43" i="6"/>
  <c r="M44" i="6"/>
  <c r="N43" i="6"/>
  <c r="N44" i="6"/>
  <c r="T44" i="6"/>
  <c r="S43" i="6"/>
  <c r="U44" i="6"/>
  <c r="U43" i="6"/>
  <c r="V44" i="6"/>
  <c r="V43" i="6"/>
  <c r="W43" i="6"/>
  <c r="W44" i="6"/>
  <c r="X43" i="6"/>
  <c r="X44" i="6"/>
  <c r="Y43" i="6"/>
  <c r="Y44" i="6"/>
  <c r="Z44" i="6"/>
  <c r="Z43" i="6"/>
  <c r="AA43" i="6"/>
  <c r="AA47" i="6" s="1"/>
  <c r="AA44" i="6"/>
  <c r="AB44" i="6"/>
  <c r="AB43" i="6"/>
  <c r="AC43" i="6"/>
  <c r="AC44" i="6"/>
  <c r="AD44" i="6"/>
  <c r="AD43" i="6"/>
  <c r="AD47" i="6" s="1"/>
  <c r="AE44" i="6"/>
  <c r="AE43" i="6"/>
  <c r="AF43" i="6"/>
  <c r="AF44" i="6"/>
  <c r="AG43" i="6"/>
  <c r="AG44" i="6"/>
  <c r="AH43" i="6"/>
  <c r="AH44" i="6"/>
  <c r="AI43" i="6"/>
  <c r="AI44" i="6"/>
  <c r="AJ43" i="6"/>
  <c r="AJ44" i="6"/>
  <c r="AK43" i="6"/>
  <c r="AK44" i="6"/>
  <c r="AL44" i="6"/>
  <c r="AL43" i="6"/>
  <c r="AL47" i="6" s="1"/>
  <c r="AM43" i="6"/>
  <c r="AM44" i="6"/>
  <c r="AN44" i="6"/>
  <c r="AN43" i="6"/>
  <c r="AO43" i="6"/>
  <c r="AO44" i="6"/>
  <c r="AP43" i="6"/>
  <c r="AP44" i="6"/>
  <c r="AQ43" i="6"/>
  <c r="AQ44" i="6"/>
  <c r="AR44" i="6"/>
  <c r="AR43" i="6"/>
  <c r="AR47" i="6" s="1"/>
  <c r="AS43" i="6"/>
  <c r="AS44" i="6"/>
  <c r="AT44" i="6"/>
  <c r="AT43" i="6"/>
  <c r="AT47" i="6" s="1"/>
  <c r="AU44" i="6"/>
  <c r="AU43" i="6"/>
  <c r="AU47" i="6" s="1"/>
  <c r="AV44" i="6"/>
  <c r="AV43" i="6"/>
  <c r="AV47" i="6" s="1"/>
  <c r="AX43" i="6"/>
  <c r="AX44" i="6"/>
  <c r="AW44" i="6"/>
  <c r="AW43" i="6"/>
  <c r="AW47" i="6" s="1"/>
  <c r="AA55" i="12"/>
  <c r="AB52" i="12" s="1"/>
  <c r="AP47" i="6" l="1"/>
  <c r="AJ47" i="6"/>
  <c r="X47" i="6"/>
  <c r="M47" i="6"/>
  <c r="AO47" i="6"/>
  <c r="AI47" i="6"/>
  <c r="AC47" i="6"/>
  <c r="W47" i="6"/>
  <c r="P47" i="6"/>
  <c r="AN47" i="6"/>
  <c r="AB47" i="6"/>
  <c r="V47" i="6"/>
  <c r="K19" i="10"/>
  <c r="K47" i="6"/>
  <c r="K48" i="6"/>
  <c r="AH47" i="6"/>
  <c r="U47" i="6"/>
  <c r="AM47" i="6"/>
  <c r="S47" i="6"/>
  <c r="Q47" i="6"/>
  <c r="T47" i="6"/>
  <c r="AS47" i="6"/>
  <c r="Z47" i="6"/>
  <c r="AF47" i="6"/>
  <c r="AB54" i="12"/>
  <c r="AB59" i="12" s="1"/>
  <c r="AB61" i="12" s="1"/>
  <c r="AB65" i="12" s="1"/>
  <c r="AB69" i="12" s="1"/>
  <c r="AB72" i="12" s="1"/>
  <c r="AE47" i="6"/>
  <c r="O47" i="6"/>
  <c r="L47" i="6"/>
  <c r="AG47" i="6"/>
  <c r="AX47" i="6"/>
  <c r="AQ47" i="6"/>
  <c r="AK47" i="6"/>
  <c r="Y47" i="6"/>
  <c r="N47" i="6"/>
  <c r="AB55" i="12" l="1"/>
  <c r="AC52" i="12" s="1"/>
  <c r="K49" i="6"/>
  <c r="K50" i="6" l="1"/>
  <c r="L42" i="6" s="1"/>
  <c r="AC54" i="12"/>
  <c r="AC59" i="12" s="1"/>
  <c r="AC61" i="12" s="1"/>
  <c r="AC65" i="12" s="1"/>
  <c r="AC69" i="12" s="1"/>
  <c r="AC72" i="12" s="1"/>
  <c r="AC55" i="12" l="1"/>
  <c r="AD52" i="12" s="1"/>
  <c r="L48" i="6"/>
  <c r="L49" i="6"/>
  <c r="L50" i="6" l="1"/>
  <c r="M42" i="6" s="1"/>
  <c r="AD55" i="12"/>
  <c r="AE52" i="12" s="1"/>
  <c r="AD54" i="12"/>
  <c r="AD59" i="12" s="1"/>
  <c r="AD61" i="12" s="1"/>
  <c r="AD65" i="12" s="1"/>
  <c r="AD69" i="12" s="1"/>
  <c r="AD72" i="12" s="1"/>
  <c r="AE54" i="12" l="1"/>
  <c r="AE59" i="12" s="1"/>
  <c r="AE61" i="12" s="1"/>
  <c r="AE65" i="12" s="1"/>
  <c r="AE69" i="12" s="1"/>
  <c r="AE72" i="12" s="1"/>
  <c r="M48" i="6"/>
  <c r="M49" i="6"/>
  <c r="M50" i="6" l="1"/>
  <c r="N42" i="6" s="1"/>
  <c r="AE55" i="12"/>
  <c r="AF52" i="12" s="1"/>
  <c r="AF54" i="12" l="1"/>
  <c r="AF59" i="12" s="1"/>
  <c r="AF61" i="12" s="1"/>
  <c r="AF65" i="12" s="1"/>
  <c r="AF69" i="12" s="1"/>
  <c r="AF72" i="12" s="1"/>
  <c r="N48" i="6"/>
  <c r="N49" i="6"/>
  <c r="N50" i="6" l="1"/>
  <c r="O42" i="6" s="1"/>
  <c r="AF55" i="12"/>
  <c r="AG52" i="12" s="1"/>
  <c r="AG54" i="12" l="1"/>
  <c r="AG59" i="12" s="1"/>
  <c r="AG61" i="12" s="1"/>
  <c r="AG65" i="12" s="1"/>
  <c r="AG69" i="12" s="1"/>
  <c r="AG72" i="12" s="1"/>
  <c r="O48" i="6"/>
  <c r="O49" i="6"/>
  <c r="O50" i="6" l="1"/>
  <c r="P42" i="6" s="1"/>
  <c r="AG55" i="12"/>
  <c r="AH52" i="12" s="1"/>
  <c r="AH54" i="12" l="1"/>
  <c r="AH59" i="12" s="1"/>
  <c r="AH61" i="12" s="1"/>
  <c r="AH65" i="12" s="1"/>
  <c r="AH69" i="12" s="1"/>
  <c r="AH72" i="12" s="1"/>
  <c r="I73" i="12" s="1"/>
  <c r="I77" i="12" s="1"/>
  <c r="I30" i="13" s="1"/>
  <c r="I34" i="13" s="1"/>
  <c r="I38" i="13" s="1"/>
  <c r="P48" i="6"/>
  <c r="P49" i="6" s="1"/>
  <c r="P50" i="6" s="1"/>
  <c r="Q42" i="6" s="1"/>
  <c r="Q48" i="6" l="1"/>
  <c r="Q49" i="6"/>
  <c r="Q50" i="6" s="1"/>
  <c r="R42" i="6" s="1"/>
  <c r="AH55" i="12"/>
  <c r="AI52" i="12" s="1"/>
  <c r="AI55" i="12" s="1"/>
  <c r="R48" i="6" l="1"/>
  <c r="R49" i="6"/>
  <c r="R50" i="6" s="1"/>
  <c r="S42" i="6" s="1"/>
  <c r="S48" i="6" l="1"/>
  <c r="S49" i="6"/>
  <c r="S50" i="6" s="1"/>
  <c r="T42" i="6" s="1"/>
  <c r="T48" i="6" l="1"/>
  <c r="T49" i="6" s="1"/>
  <c r="T50" i="6" s="1"/>
  <c r="U42" i="6" s="1"/>
  <c r="U48" i="6" l="1"/>
  <c r="U49" i="6" s="1"/>
  <c r="U50" i="6" s="1"/>
  <c r="V42" i="6" s="1"/>
  <c r="V48" i="6" l="1"/>
  <c r="V49" i="6" s="1"/>
  <c r="V50" i="6" s="1"/>
  <c r="W42" i="6" s="1"/>
  <c r="W48" i="6" l="1"/>
  <c r="W49" i="6"/>
  <c r="W50" i="6" s="1"/>
  <c r="X42" i="6" s="1"/>
  <c r="X48" i="6" l="1"/>
  <c r="X49" i="6"/>
  <c r="X50" i="6" s="1"/>
  <c r="Y42" i="6" s="1"/>
  <c r="Y48" i="6" l="1"/>
  <c r="Y49" i="6"/>
  <c r="Y50" i="6" s="1"/>
  <c r="Z42" i="6" s="1"/>
  <c r="Z48" i="6" l="1"/>
  <c r="Z49" i="6"/>
  <c r="Z50" i="6" s="1"/>
  <c r="AA42" i="6" s="1"/>
  <c r="AA48" i="6" l="1"/>
  <c r="AA49" i="6"/>
  <c r="AA50" i="6" s="1"/>
  <c r="AB42" i="6" s="1"/>
  <c r="AB48" i="6" l="1"/>
  <c r="AB49" i="6" s="1"/>
  <c r="AB50" i="6" s="1"/>
  <c r="AC42" i="6" s="1"/>
  <c r="AC48" i="6" l="1"/>
  <c r="AC49" i="6"/>
  <c r="AC50" i="6" s="1"/>
  <c r="AD42" i="6" s="1"/>
  <c r="AD48" i="6" l="1"/>
  <c r="AD49" i="6"/>
  <c r="AD50" i="6" s="1"/>
  <c r="AE42" i="6" s="1"/>
  <c r="AE48" i="6" l="1"/>
  <c r="AE49" i="6"/>
  <c r="AE50" i="6" s="1"/>
  <c r="AF42" i="6" s="1"/>
  <c r="AF48" i="6" l="1"/>
  <c r="AF49" i="6"/>
  <c r="AF50" i="6" s="1"/>
  <c r="AG42" i="6" s="1"/>
  <c r="AG48" i="6" l="1"/>
  <c r="AG49" i="6"/>
  <c r="AG50" i="6" s="1"/>
  <c r="AH42" i="6" s="1"/>
  <c r="AH48" i="6" l="1"/>
  <c r="AH49" i="6"/>
  <c r="AH50" i="6" s="1"/>
  <c r="AI42" i="6" s="1"/>
  <c r="AI48" i="6" l="1"/>
  <c r="AI49" i="6"/>
  <c r="AI50" i="6" s="1"/>
  <c r="AJ42" i="6" s="1"/>
  <c r="AJ48" i="6" l="1"/>
  <c r="AJ49" i="6"/>
  <c r="AJ50" i="6" s="1"/>
  <c r="AK42" i="6" s="1"/>
  <c r="AK48" i="6" l="1"/>
  <c r="AK49" i="6"/>
  <c r="AK50" i="6" s="1"/>
  <c r="AL42" i="6" s="1"/>
  <c r="AL48" i="6" l="1"/>
  <c r="AL49" i="6"/>
  <c r="AL50" i="6" s="1"/>
  <c r="AM42" i="6" s="1"/>
  <c r="AM48" i="6" l="1"/>
  <c r="AM49" i="6"/>
  <c r="AM50" i="6" s="1"/>
  <c r="AN42" i="6" s="1"/>
  <c r="AN48" i="6" l="1"/>
  <c r="AN49" i="6"/>
  <c r="AN50" i="6" s="1"/>
  <c r="AO42" i="6" s="1"/>
  <c r="AO48" i="6" l="1"/>
  <c r="AO49" i="6" s="1"/>
  <c r="AO50" i="6" s="1"/>
  <c r="AP42" i="6" s="1"/>
  <c r="AP48" i="6" l="1"/>
  <c r="AP49" i="6" s="1"/>
  <c r="AP50" i="6" s="1"/>
  <c r="AQ42" i="6" s="1"/>
  <c r="AQ48" i="6" l="1"/>
  <c r="AQ49" i="6" s="1"/>
  <c r="AQ50" i="6" s="1"/>
  <c r="AR42" i="6" s="1"/>
  <c r="AR48" i="6" l="1"/>
  <c r="AR49" i="6" s="1"/>
  <c r="AR50" i="6" s="1"/>
  <c r="AS42" i="6" s="1"/>
  <c r="AS48" i="6" l="1"/>
  <c r="AS49" i="6" s="1"/>
  <c r="AS50" i="6" s="1"/>
  <c r="AT42" i="6" s="1"/>
  <c r="AT48" i="6" l="1"/>
  <c r="AT49" i="6" s="1"/>
  <c r="AT50" i="6" s="1"/>
  <c r="AU42" i="6" s="1"/>
  <c r="AU48" i="6" l="1"/>
  <c r="AU49" i="6" s="1"/>
  <c r="AU50" i="6" s="1"/>
  <c r="AV42" i="6" s="1"/>
  <c r="AV48" i="6" l="1"/>
  <c r="AV49" i="6" s="1"/>
  <c r="AV50" i="6" s="1"/>
  <c r="AW42" i="6" s="1"/>
  <c r="AW48" i="6" l="1"/>
  <c r="AW49" i="6" s="1"/>
  <c r="AW50" i="6" s="1"/>
  <c r="AX42" i="6" s="1"/>
  <c r="AX48" i="6" l="1"/>
  <c r="AX49" i="6" l="1"/>
  <c r="AX50" i="6" l="1"/>
  <c r="K10" i="7"/>
  <c r="K12" i="7" s="1"/>
  <c r="K72" i="10" l="1"/>
  <c r="K34" i="7"/>
  <c r="K25" i="7"/>
  <c r="K11" i="9" l="1"/>
  <c r="K11" i="8"/>
  <c r="K14" i="7"/>
  <c r="K15" i="7" s="1"/>
  <c r="AH70" i="10"/>
  <c r="V70" i="10"/>
  <c r="AG70" i="10"/>
  <c r="Y70" i="10"/>
  <c r="M70" i="10"/>
  <c r="X70" i="10"/>
  <c r="L70" i="10"/>
  <c r="AI70" i="10"/>
  <c r="W70" i="10"/>
  <c r="K70" i="10"/>
  <c r="Q70" i="10"/>
  <c r="AF70" i="10"/>
  <c r="P70" i="10"/>
  <c r="T70" i="10"/>
  <c r="S70" i="10"/>
  <c r="AD70" i="10"/>
  <c r="AC70" i="10"/>
  <c r="AE70" i="10"/>
  <c r="N70" i="10"/>
  <c r="O70" i="10"/>
  <c r="Z70" i="10"/>
  <c r="U70" i="10"/>
  <c r="R70" i="10"/>
  <c r="AA70" i="10"/>
  <c r="AB70" i="10"/>
  <c r="K69" i="10"/>
  <c r="K18" i="10" s="1"/>
  <c r="K20" i="10" s="1"/>
  <c r="K35" i="7" l="1"/>
  <c r="L9" i="7"/>
  <c r="L12" i="7" s="1"/>
  <c r="K17" i="7"/>
  <c r="K10" i="12"/>
  <c r="K10" i="11"/>
  <c r="K68" i="10"/>
  <c r="K73" i="10" s="1"/>
  <c r="K74" i="10" s="1"/>
  <c r="L72" i="10" s="1"/>
  <c r="L34" i="7" l="1"/>
  <c r="L25" i="7"/>
  <c r="K37" i="7"/>
  <c r="K40" i="7" s="1"/>
  <c r="K12" i="8" s="1"/>
  <c r="K13" i="8" s="1"/>
  <c r="K28" i="8" s="1"/>
  <c r="K38" i="7"/>
  <c r="K41" i="7" s="1"/>
  <c r="K12" i="9" s="1"/>
  <c r="K13" i="9" s="1"/>
  <c r="K28" i="9" s="1"/>
  <c r="L69" i="10"/>
  <c r="L18" i="10" l="1"/>
  <c r="L20" i="10" s="1"/>
  <c r="L68" i="10"/>
  <c r="L73" i="10" s="1"/>
  <c r="L74" i="10" s="1"/>
  <c r="M72" i="10" s="1"/>
  <c r="L11" i="8"/>
  <c r="L11" i="9"/>
  <c r="L14" i="7"/>
  <c r="L15" i="7" s="1"/>
  <c r="L35" i="7" l="1"/>
  <c r="M9" i="7"/>
  <c r="M12" i="7" s="1"/>
  <c r="L17" i="7"/>
  <c r="M69" i="10"/>
  <c r="L10" i="12"/>
  <c r="L10" i="11"/>
  <c r="M18" i="10" l="1"/>
  <c r="M20" i="10" s="1"/>
  <c r="M68" i="10"/>
  <c r="M73" i="10" s="1"/>
  <c r="M74" i="10" s="1"/>
  <c r="N72" i="10" s="1"/>
  <c r="M34" i="7"/>
  <c r="M25" i="7"/>
  <c r="L37" i="7"/>
  <c r="L40" i="7" s="1"/>
  <c r="L12" i="8" s="1"/>
  <c r="L13" i="8" s="1"/>
  <c r="L28" i="8" s="1"/>
  <c r="L38" i="7"/>
  <c r="L41" i="7" s="1"/>
  <c r="L12" i="9" s="1"/>
  <c r="L13" i="9" s="1"/>
  <c r="L28" i="9" s="1"/>
  <c r="M11" i="8" l="1"/>
  <c r="M11" i="9"/>
  <c r="M14" i="7"/>
  <c r="M15" i="7" s="1"/>
  <c r="N69" i="10"/>
  <c r="M10" i="12"/>
  <c r="M10" i="11"/>
  <c r="N9" i="7" l="1"/>
  <c r="N12" i="7" s="1"/>
  <c r="M35" i="7"/>
  <c r="M17" i="7"/>
  <c r="N18" i="10"/>
  <c r="N20" i="10" s="1"/>
  <c r="N68" i="10"/>
  <c r="N73" i="10" s="1"/>
  <c r="N74" i="10" s="1"/>
  <c r="O72" i="10" s="1"/>
  <c r="O69" i="10" l="1"/>
  <c r="M37" i="7"/>
  <c r="M40" i="7" s="1"/>
  <c r="M12" i="8" s="1"/>
  <c r="M13" i="8" s="1"/>
  <c r="M28" i="8" s="1"/>
  <c r="M38" i="7"/>
  <c r="M41" i="7" s="1"/>
  <c r="M12" i="9" s="1"/>
  <c r="M13" i="9" s="1"/>
  <c r="M28" i="9" s="1"/>
  <c r="N10" i="12"/>
  <c r="N10" i="11"/>
  <c r="N34" i="7"/>
  <c r="N25" i="7"/>
  <c r="N11" i="9" l="1"/>
  <c r="N11" i="8"/>
  <c r="N14" i="7"/>
  <c r="N15" i="7" s="1"/>
  <c r="O18" i="10"/>
  <c r="O20" i="10" s="1"/>
  <c r="O68" i="10"/>
  <c r="O73" i="10" s="1"/>
  <c r="O74" i="10" s="1"/>
  <c r="P72" i="10" s="1"/>
  <c r="P69" i="10" l="1"/>
  <c r="O10" i="11"/>
  <c r="O10" i="12"/>
  <c r="O9" i="7"/>
  <c r="O12" i="7" s="1"/>
  <c r="N35" i="7"/>
  <c r="N17" i="7"/>
  <c r="N38" i="7" l="1"/>
  <c r="N41" i="7" s="1"/>
  <c r="N12" i="9" s="1"/>
  <c r="N13" i="9" s="1"/>
  <c r="N28" i="9" s="1"/>
  <c r="N37" i="7"/>
  <c r="N40" i="7" s="1"/>
  <c r="N12" i="8" s="1"/>
  <c r="N13" i="8" s="1"/>
  <c r="N28" i="8" s="1"/>
  <c r="O34" i="7"/>
  <c r="O25" i="7"/>
  <c r="P18" i="10"/>
  <c r="P20" i="10" s="1"/>
  <c r="P68" i="10"/>
  <c r="P73" i="10" s="1"/>
  <c r="P74" i="10" s="1"/>
  <c r="Q72" i="10" s="1"/>
  <c r="O11" i="9" l="1"/>
  <c r="O11" i="8"/>
  <c r="O14" i="7"/>
  <c r="O15" i="7" s="1"/>
  <c r="Q69" i="10"/>
  <c r="P10" i="12"/>
  <c r="P10" i="11"/>
  <c r="Q18" i="10" l="1"/>
  <c r="Q20" i="10" s="1"/>
  <c r="Q68" i="10"/>
  <c r="Q73" i="10" s="1"/>
  <c r="Q74" i="10" s="1"/>
  <c r="R72" i="10" s="1"/>
  <c r="P9" i="7"/>
  <c r="P12" i="7" s="1"/>
  <c r="O35" i="7"/>
  <c r="O17" i="7"/>
  <c r="P34" i="7" l="1"/>
  <c r="P25" i="7"/>
  <c r="O38" i="7"/>
  <c r="O41" i="7" s="1"/>
  <c r="O12" i="9" s="1"/>
  <c r="O13" i="9" s="1"/>
  <c r="O28" i="9" s="1"/>
  <c r="O37" i="7"/>
  <c r="O40" i="7" s="1"/>
  <c r="O12" i="8" s="1"/>
  <c r="O13" i="8" s="1"/>
  <c r="O28" i="8" s="1"/>
  <c r="R69" i="10"/>
  <c r="Q10" i="12"/>
  <c r="Q10" i="11"/>
  <c r="R18" i="10" l="1"/>
  <c r="R20" i="10" s="1"/>
  <c r="R68" i="10"/>
  <c r="R73" i="10" s="1"/>
  <c r="R74" i="10" s="1"/>
  <c r="S72" i="10" s="1"/>
  <c r="P11" i="8"/>
  <c r="P11" i="9"/>
  <c r="P14" i="7"/>
  <c r="P15" i="7" s="1"/>
  <c r="Q9" i="7" l="1"/>
  <c r="Q12" i="7" s="1"/>
  <c r="P35" i="7"/>
  <c r="P17" i="7"/>
  <c r="S69" i="10"/>
  <c r="R10" i="12"/>
  <c r="R10" i="11"/>
  <c r="S18" i="10" l="1"/>
  <c r="S20" i="10" s="1"/>
  <c r="S68" i="10"/>
  <c r="S73" i="10" s="1"/>
  <c r="S74" i="10" s="1"/>
  <c r="T72" i="10" s="1"/>
  <c r="P38" i="7"/>
  <c r="P41" i="7" s="1"/>
  <c r="P12" i="9" s="1"/>
  <c r="P13" i="9" s="1"/>
  <c r="P28" i="9" s="1"/>
  <c r="P37" i="7"/>
  <c r="P40" i="7" s="1"/>
  <c r="P12" i="8" s="1"/>
  <c r="P13" i="8" s="1"/>
  <c r="P28" i="8" s="1"/>
  <c r="Q34" i="7"/>
  <c r="Q25" i="7"/>
  <c r="Q11" i="9" l="1"/>
  <c r="Q11" i="8"/>
  <c r="Q14" i="7"/>
  <c r="Q15" i="7" s="1"/>
  <c r="T69" i="10"/>
  <c r="S10" i="11"/>
  <c r="S10" i="12"/>
  <c r="T18" i="10" l="1"/>
  <c r="T20" i="10" s="1"/>
  <c r="T68" i="10"/>
  <c r="T73" i="10" s="1"/>
  <c r="T74" i="10" s="1"/>
  <c r="U72" i="10" s="1"/>
  <c r="Q35" i="7"/>
  <c r="R9" i="7"/>
  <c r="R12" i="7" s="1"/>
  <c r="Q17" i="7"/>
  <c r="R34" i="7" l="1"/>
  <c r="R25" i="7"/>
  <c r="Q38" i="7"/>
  <c r="Q41" i="7" s="1"/>
  <c r="Q12" i="9" s="1"/>
  <c r="Q13" i="9" s="1"/>
  <c r="Q28" i="9" s="1"/>
  <c r="Q37" i="7"/>
  <c r="Q40" i="7" s="1"/>
  <c r="Q12" i="8" s="1"/>
  <c r="Q13" i="8" s="1"/>
  <c r="Q28" i="8" s="1"/>
  <c r="U69" i="10"/>
  <c r="T10" i="12"/>
  <c r="T10" i="11"/>
  <c r="U18" i="10" l="1"/>
  <c r="U20" i="10" s="1"/>
  <c r="U68" i="10"/>
  <c r="U73" i="10" s="1"/>
  <c r="U74" i="10" s="1"/>
  <c r="V72" i="10" s="1"/>
  <c r="R11" i="8"/>
  <c r="R11" i="9"/>
  <c r="R14" i="7"/>
  <c r="R15" i="7" s="1"/>
  <c r="S9" i="7" l="1"/>
  <c r="S12" i="7" s="1"/>
  <c r="R35" i="7"/>
  <c r="R17" i="7"/>
  <c r="V69" i="10"/>
  <c r="U10" i="12"/>
  <c r="U10" i="11"/>
  <c r="V18" i="10" l="1"/>
  <c r="V20" i="10" s="1"/>
  <c r="V68" i="10"/>
  <c r="V73" i="10" s="1"/>
  <c r="V74" i="10" s="1"/>
  <c r="W72" i="10" s="1"/>
  <c r="R38" i="7"/>
  <c r="R41" i="7" s="1"/>
  <c r="R12" i="9" s="1"/>
  <c r="R13" i="9" s="1"/>
  <c r="R28" i="9" s="1"/>
  <c r="R37" i="7"/>
  <c r="R40" i="7" s="1"/>
  <c r="R12" i="8" s="1"/>
  <c r="R13" i="8" s="1"/>
  <c r="R28" i="8" s="1"/>
  <c r="S34" i="7"/>
  <c r="S25" i="7"/>
  <c r="S11" i="8" l="1"/>
  <c r="S11" i="9"/>
  <c r="S14" i="7"/>
  <c r="S15" i="7" s="1"/>
  <c r="W69" i="10"/>
  <c r="V10" i="12"/>
  <c r="V10" i="11"/>
  <c r="W18" i="10" l="1"/>
  <c r="W20" i="10" s="1"/>
  <c r="W68" i="10"/>
  <c r="W73" i="10" s="1"/>
  <c r="W74" i="10" s="1"/>
  <c r="X72" i="10" s="1"/>
  <c r="S35" i="7"/>
  <c r="T9" i="7"/>
  <c r="T12" i="7" s="1"/>
  <c r="S17" i="7"/>
  <c r="T34" i="7" l="1"/>
  <c r="T25" i="7"/>
  <c r="S37" i="7"/>
  <c r="S40" i="7" s="1"/>
  <c r="S12" i="8" s="1"/>
  <c r="S13" i="8" s="1"/>
  <c r="S28" i="8" s="1"/>
  <c r="S38" i="7"/>
  <c r="S41" i="7" s="1"/>
  <c r="S12" i="9" s="1"/>
  <c r="S13" i="9" s="1"/>
  <c r="S28" i="9" s="1"/>
  <c r="X69" i="10"/>
  <c r="W10" i="12"/>
  <c r="W10" i="11"/>
  <c r="X18" i="10" l="1"/>
  <c r="X20" i="10" s="1"/>
  <c r="X68" i="10"/>
  <c r="X73" i="10" s="1"/>
  <c r="X74" i="10" s="1"/>
  <c r="Y72" i="10" s="1"/>
  <c r="T11" i="9"/>
  <c r="T11" i="8"/>
  <c r="T14" i="7"/>
  <c r="T15" i="7" s="1"/>
  <c r="T35" i="7" l="1"/>
  <c r="U9" i="7"/>
  <c r="U12" i="7" s="1"/>
  <c r="T17" i="7"/>
  <c r="Y69" i="10"/>
  <c r="X10" i="12"/>
  <c r="X10" i="11"/>
  <c r="Y18" i="10" l="1"/>
  <c r="Y20" i="10" s="1"/>
  <c r="Y68" i="10"/>
  <c r="Y73" i="10" s="1"/>
  <c r="Y74" i="10" s="1"/>
  <c r="Z72" i="10" s="1"/>
  <c r="U34" i="7"/>
  <c r="U25" i="7"/>
  <c r="T38" i="7"/>
  <c r="T41" i="7" s="1"/>
  <c r="T12" i="9" s="1"/>
  <c r="T13" i="9" s="1"/>
  <c r="T28" i="9" s="1"/>
  <c r="T37" i="7"/>
  <c r="T40" i="7" s="1"/>
  <c r="T12" i="8" s="1"/>
  <c r="T13" i="8" s="1"/>
  <c r="T28" i="8" s="1"/>
  <c r="U11" i="9" l="1"/>
  <c r="U11" i="8"/>
  <c r="U14" i="7"/>
  <c r="U15" i="7" s="1"/>
  <c r="Z69" i="10"/>
  <c r="Y10" i="12"/>
  <c r="Y10" i="11"/>
  <c r="Z18" i="10" l="1"/>
  <c r="Z20" i="10" s="1"/>
  <c r="Z68" i="10"/>
  <c r="Z73" i="10" s="1"/>
  <c r="Z74" i="10" s="1"/>
  <c r="AA72" i="10" s="1"/>
  <c r="U35" i="7"/>
  <c r="V9" i="7"/>
  <c r="V12" i="7" s="1"/>
  <c r="U17" i="7"/>
  <c r="V34" i="7" l="1"/>
  <c r="V25" i="7"/>
  <c r="U38" i="7"/>
  <c r="U41" i="7" s="1"/>
  <c r="U12" i="9" s="1"/>
  <c r="U13" i="9" s="1"/>
  <c r="U28" i="9" s="1"/>
  <c r="U37" i="7"/>
  <c r="U40" i="7" s="1"/>
  <c r="U12" i="8" s="1"/>
  <c r="U13" i="8" s="1"/>
  <c r="U28" i="8" s="1"/>
  <c r="AA69" i="10"/>
  <c r="Z10" i="12"/>
  <c r="Z10" i="11"/>
  <c r="AA18" i="10" l="1"/>
  <c r="AA20" i="10" s="1"/>
  <c r="AA68" i="10"/>
  <c r="AA73" i="10" s="1"/>
  <c r="AA74" i="10" s="1"/>
  <c r="AB72" i="10" s="1"/>
  <c r="V11" i="9"/>
  <c r="V11" i="8"/>
  <c r="V14" i="7"/>
  <c r="V15" i="7" s="1"/>
  <c r="V35" i="7" l="1"/>
  <c r="W9" i="7"/>
  <c r="W12" i="7" s="1"/>
  <c r="V17" i="7"/>
  <c r="AB69" i="10"/>
  <c r="AA10" i="11"/>
  <c r="AA10" i="12"/>
  <c r="AB18" i="10" l="1"/>
  <c r="AB20" i="10" s="1"/>
  <c r="AB68" i="10"/>
  <c r="AB73" i="10" s="1"/>
  <c r="AB74" i="10" s="1"/>
  <c r="AC72" i="10" s="1"/>
  <c r="W34" i="7"/>
  <c r="W25" i="7"/>
  <c r="V37" i="7"/>
  <c r="V40" i="7" s="1"/>
  <c r="V12" i="8" s="1"/>
  <c r="V13" i="8" s="1"/>
  <c r="V28" i="8" s="1"/>
  <c r="V38" i="7"/>
  <c r="V41" i="7" s="1"/>
  <c r="V12" i="9" s="1"/>
  <c r="V13" i="9" s="1"/>
  <c r="V28" i="9" s="1"/>
  <c r="W11" i="9" l="1"/>
  <c r="W11" i="8"/>
  <c r="W14" i="7"/>
  <c r="W15" i="7" s="1"/>
  <c r="AC69" i="10"/>
  <c r="AB10" i="12"/>
  <c r="AB10" i="11"/>
  <c r="AC18" i="10" l="1"/>
  <c r="AC20" i="10" s="1"/>
  <c r="AC68" i="10"/>
  <c r="AC73" i="10" s="1"/>
  <c r="AC74" i="10" s="1"/>
  <c r="AD72" i="10" s="1"/>
  <c r="W35" i="7"/>
  <c r="X9" i="7"/>
  <c r="X12" i="7" s="1"/>
  <c r="W17" i="7"/>
  <c r="X34" i="7" l="1"/>
  <c r="X25" i="7"/>
  <c r="W38" i="7"/>
  <c r="W41" i="7" s="1"/>
  <c r="W12" i="9" s="1"/>
  <c r="W13" i="9" s="1"/>
  <c r="W28" i="9" s="1"/>
  <c r="W37" i="7"/>
  <c r="W40" i="7" s="1"/>
  <c r="W12" i="8" s="1"/>
  <c r="W13" i="8" s="1"/>
  <c r="W28" i="8" s="1"/>
  <c r="AD69" i="10"/>
  <c r="AC10" i="12"/>
  <c r="AC10" i="11"/>
  <c r="AD18" i="10" l="1"/>
  <c r="AD20" i="10" s="1"/>
  <c r="AD68" i="10"/>
  <c r="AD73" i="10" s="1"/>
  <c r="AD74" i="10" s="1"/>
  <c r="AE72" i="10" s="1"/>
  <c r="X11" i="8"/>
  <c r="X11" i="9"/>
  <c r="X14" i="7"/>
  <c r="X15" i="7" s="1"/>
  <c r="Y9" i="7" l="1"/>
  <c r="Y12" i="7" s="1"/>
  <c r="X35" i="7"/>
  <c r="X17" i="7"/>
  <c r="AE69" i="10"/>
  <c r="AD10" i="12"/>
  <c r="AD10" i="11"/>
  <c r="AE18" i="10" l="1"/>
  <c r="AE20" i="10" s="1"/>
  <c r="AE68" i="10"/>
  <c r="AE73" i="10" s="1"/>
  <c r="AE74" i="10" s="1"/>
  <c r="AF72" i="10" s="1"/>
  <c r="X37" i="7"/>
  <c r="X40" i="7" s="1"/>
  <c r="X12" i="8" s="1"/>
  <c r="X13" i="8" s="1"/>
  <c r="X28" i="8" s="1"/>
  <c r="X38" i="7"/>
  <c r="X41" i="7" s="1"/>
  <c r="X12" i="9" s="1"/>
  <c r="X13" i="9" s="1"/>
  <c r="X28" i="9" s="1"/>
  <c r="Y34" i="7"/>
  <c r="Y25" i="7"/>
  <c r="Y11" i="9" l="1"/>
  <c r="Y11" i="8"/>
  <c r="Y14" i="7"/>
  <c r="Y15" i="7" s="1"/>
  <c r="AF69" i="10"/>
  <c r="AE10" i="11"/>
  <c r="AE10" i="12"/>
  <c r="AF18" i="10" l="1"/>
  <c r="AF20" i="10" s="1"/>
  <c r="AF68" i="10"/>
  <c r="AF73" i="10" s="1"/>
  <c r="AF74" i="10" s="1"/>
  <c r="AG72" i="10" s="1"/>
  <c r="Z9" i="7"/>
  <c r="Z12" i="7" s="1"/>
  <c r="Y35" i="7"/>
  <c r="Y17" i="7"/>
  <c r="Y37" i="7" l="1"/>
  <c r="Y40" i="7" s="1"/>
  <c r="Y12" i="8" s="1"/>
  <c r="Y13" i="8" s="1"/>
  <c r="Y28" i="8" s="1"/>
  <c r="Y38" i="7"/>
  <c r="Y41" i="7" s="1"/>
  <c r="Y12" i="9" s="1"/>
  <c r="Y13" i="9" s="1"/>
  <c r="Y28" i="9" s="1"/>
  <c r="Z34" i="7"/>
  <c r="Z25" i="7"/>
  <c r="AG69" i="10"/>
  <c r="AF10" i="12"/>
  <c r="AF10" i="11"/>
  <c r="AG18" i="10" l="1"/>
  <c r="AG20" i="10" s="1"/>
  <c r="AG68" i="10"/>
  <c r="AG73" i="10" s="1"/>
  <c r="AG74" i="10" s="1"/>
  <c r="AH72" i="10" s="1"/>
  <c r="Z11" i="9"/>
  <c r="Z11" i="8"/>
  <c r="Z14" i="7"/>
  <c r="Z15" i="7" s="1"/>
  <c r="AG10" i="12" l="1"/>
  <c r="AG10" i="11"/>
  <c r="AA9" i="7"/>
  <c r="AA12" i="7" s="1"/>
  <c r="Z35" i="7"/>
  <c r="Z17" i="7"/>
  <c r="AH69" i="10"/>
  <c r="AH18" i="10" l="1"/>
  <c r="AH20" i="10" s="1"/>
  <c r="AH68" i="10"/>
  <c r="AH73" i="10" s="1"/>
  <c r="AH74" i="10" s="1"/>
  <c r="AI72" i="10" s="1"/>
  <c r="Z37" i="7"/>
  <c r="Z40" i="7" s="1"/>
  <c r="Z12" i="8" s="1"/>
  <c r="Z13" i="8" s="1"/>
  <c r="Z28" i="8" s="1"/>
  <c r="Z38" i="7"/>
  <c r="Z41" i="7" s="1"/>
  <c r="Z12" i="9" s="1"/>
  <c r="Z13" i="9" s="1"/>
  <c r="Z28" i="9" s="1"/>
  <c r="AA34" i="7"/>
  <c r="AA25" i="7"/>
  <c r="AI73" i="10" l="1"/>
  <c r="AI74" i="10" s="1"/>
  <c r="AI69" i="10"/>
  <c r="AA11" i="9"/>
  <c r="AA11" i="8"/>
  <c r="AA14" i="7"/>
  <c r="AA15" i="7" s="1"/>
  <c r="AH10" i="12"/>
  <c r="AH10" i="11"/>
  <c r="AB9" i="7" l="1"/>
  <c r="AB12" i="7" s="1"/>
  <c r="AA35" i="7"/>
  <c r="AA17" i="7"/>
  <c r="AI18" i="10"/>
  <c r="AI20" i="10" s="1"/>
  <c r="AI68" i="10"/>
  <c r="AI10" i="12" l="1"/>
  <c r="AI10" i="11"/>
  <c r="AA37" i="7"/>
  <c r="AA40" i="7" s="1"/>
  <c r="AA12" i="8" s="1"/>
  <c r="AA13" i="8" s="1"/>
  <c r="AA28" i="8" s="1"/>
  <c r="AA38" i="7"/>
  <c r="AA41" i="7" s="1"/>
  <c r="AA12" i="9" s="1"/>
  <c r="AA13" i="9" s="1"/>
  <c r="AA28" i="9" s="1"/>
  <c r="AB34" i="7"/>
  <c r="AB25" i="7"/>
  <c r="AB11" i="8" l="1"/>
  <c r="AB11" i="9"/>
  <c r="AB14" i="7"/>
  <c r="AB15" i="7" s="1"/>
  <c r="AC9" i="7" l="1"/>
  <c r="AC12" i="7" s="1"/>
  <c r="AB35" i="7"/>
  <c r="AB17" i="7"/>
  <c r="AB37" i="7" l="1"/>
  <c r="AB40" i="7" s="1"/>
  <c r="AB12" i="8" s="1"/>
  <c r="AB13" i="8" s="1"/>
  <c r="AB28" i="8" s="1"/>
  <c r="AB38" i="7"/>
  <c r="AB41" i="7" s="1"/>
  <c r="AB12" i="9" s="1"/>
  <c r="AB13" i="9" s="1"/>
  <c r="AB28" i="9" s="1"/>
  <c r="AC34" i="7"/>
  <c r="AC25" i="7"/>
  <c r="AC11" i="9" l="1"/>
  <c r="AC11" i="8"/>
  <c r="AC14" i="7"/>
  <c r="AC15" i="7" s="1"/>
  <c r="AD9" i="7" l="1"/>
  <c r="AD12" i="7" s="1"/>
  <c r="AC35" i="7"/>
  <c r="AC17" i="7"/>
  <c r="AC38" i="7" l="1"/>
  <c r="AC41" i="7" s="1"/>
  <c r="AC12" i="9" s="1"/>
  <c r="AC13" i="9" s="1"/>
  <c r="AC28" i="9" s="1"/>
  <c r="AC37" i="7"/>
  <c r="AC40" i="7" s="1"/>
  <c r="AC12" i="8" s="1"/>
  <c r="AC13" i="8" s="1"/>
  <c r="AC28" i="8" s="1"/>
  <c r="AD34" i="7"/>
  <c r="AD25" i="7"/>
  <c r="AD11" i="9" l="1"/>
  <c r="AD11" i="8"/>
  <c r="AD14" i="7"/>
  <c r="AD15" i="7" s="1"/>
  <c r="AE9" i="7" l="1"/>
  <c r="AE12" i="7" s="1"/>
  <c r="AD35" i="7"/>
  <c r="AD17" i="7"/>
  <c r="AD38" i="7" l="1"/>
  <c r="AD41" i="7" s="1"/>
  <c r="AD12" i="9" s="1"/>
  <c r="AD13" i="9" s="1"/>
  <c r="AD28" i="9" s="1"/>
  <c r="AD37" i="7"/>
  <c r="AD40" i="7" s="1"/>
  <c r="AD12" i="8" s="1"/>
  <c r="AD13" i="8" s="1"/>
  <c r="AD28" i="8" s="1"/>
  <c r="AE34" i="7"/>
  <c r="AE25" i="7"/>
  <c r="AE11" i="8" l="1"/>
  <c r="AE11" i="9"/>
  <c r="AE14" i="7"/>
  <c r="AE15" i="7" s="1"/>
  <c r="AE35" i="7" l="1"/>
  <c r="AF9" i="7"/>
  <c r="AF12" i="7" s="1"/>
  <c r="AE17" i="7"/>
  <c r="AF34" i="7" l="1"/>
  <c r="AF25" i="7"/>
  <c r="AE37" i="7"/>
  <c r="AE40" i="7" s="1"/>
  <c r="AE12" i="8" s="1"/>
  <c r="AE13" i="8" s="1"/>
  <c r="AE28" i="8" s="1"/>
  <c r="AE38" i="7"/>
  <c r="AE41" i="7" s="1"/>
  <c r="AE12" i="9" s="1"/>
  <c r="AE13" i="9" s="1"/>
  <c r="AE28" i="9" s="1"/>
  <c r="AF11" i="8" l="1"/>
  <c r="AF11" i="9"/>
  <c r="AF14" i="7"/>
  <c r="AF15" i="7" s="1"/>
  <c r="AF35" i="7" l="1"/>
  <c r="AG9" i="7"/>
  <c r="AG12" i="7" s="1"/>
  <c r="AF17" i="7"/>
  <c r="AG34" i="7" l="1"/>
  <c r="AG25" i="7"/>
  <c r="AF38" i="7"/>
  <c r="AF41" i="7" s="1"/>
  <c r="AF12" i="9" s="1"/>
  <c r="AF13" i="9" s="1"/>
  <c r="AF28" i="9" s="1"/>
  <c r="AF37" i="7"/>
  <c r="AF40" i="7" s="1"/>
  <c r="AF12" i="8" s="1"/>
  <c r="AF13" i="8" s="1"/>
  <c r="AF28" i="8" s="1"/>
  <c r="AG11" i="9" l="1"/>
  <c r="AG11" i="8"/>
  <c r="AG14" i="7"/>
  <c r="AG15" i="7" s="1"/>
  <c r="AG35" i="7" l="1"/>
  <c r="AH9" i="7"/>
  <c r="AH12" i="7" s="1"/>
  <c r="AG17" i="7"/>
  <c r="AH34" i="7" l="1"/>
  <c r="AH25" i="7"/>
  <c r="AG38" i="7"/>
  <c r="AG41" i="7" s="1"/>
  <c r="AG12" i="9" s="1"/>
  <c r="AG13" i="9" s="1"/>
  <c r="AG28" i="9" s="1"/>
  <c r="AG37" i="7"/>
  <c r="AG40" i="7" s="1"/>
  <c r="AG12" i="8" s="1"/>
  <c r="AG13" i="8" s="1"/>
  <c r="AG28" i="8" s="1"/>
  <c r="AH11" i="8" l="1"/>
  <c r="AH11" i="9"/>
  <c r="AH14" i="7"/>
  <c r="AH15" i="7" s="1"/>
  <c r="AH35" i="7" l="1"/>
  <c r="AI9" i="7"/>
  <c r="AI12" i="7" s="1"/>
  <c r="AH17" i="7"/>
  <c r="AI34" i="7" l="1"/>
  <c r="AI25" i="7"/>
  <c r="AH37" i="7"/>
  <c r="AH40" i="7" s="1"/>
  <c r="AH12" i="8" s="1"/>
  <c r="AH13" i="8" s="1"/>
  <c r="AH28" i="8" s="1"/>
  <c r="AH38" i="7"/>
  <c r="AH41" i="7" s="1"/>
  <c r="AH12" i="9" s="1"/>
  <c r="AH13" i="9" s="1"/>
  <c r="AH28" i="9" s="1"/>
  <c r="AI11" i="8" l="1"/>
  <c r="AI11" i="9"/>
  <c r="AI14" i="7"/>
  <c r="AI15" i="7" s="1"/>
  <c r="I27" i="7"/>
  <c r="G40" i="1" s="1"/>
  <c r="AI35" i="7" l="1"/>
  <c r="AI17" i="7"/>
  <c r="AI38" i="7" l="1"/>
  <c r="AI41" i="7" s="1"/>
  <c r="AI12" i="9" s="1"/>
  <c r="AI13" i="9" s="1"/>
  <c r="AI28" i="9" s="1"/>
  <c r="I29" i="9" s="1"/>
  <c r="I33" i="9" s="1"/>
  <c r="AI37" i="7"/>
  <c r="AI40" i="7" s="1"/>
  <c r="AI12" i="8" s="1"/>
  <c r="AI13" i="8" s="1"/>
  <c r="AI28" i="8" s="1"/>
  <c r="I29" i="8" s="1"/>
  <c r="I33" i="8" s="1"/>
  <c r="I8" i="13" l="1"/>
  <c r="K34" i="8"/>
  <c r="K9" i="11" s="1"/>
  <c r="K11" i="11" s="1"/>
  <c r="L34" i="8"/>
  <c r="L9" i="11" s="1"/>
  <c r="L11" i="11" s="1"/>
  <c r="M34" i="8"/>
  <c r="M9" i="11" s="1"/>
  <c r="M11" i="11" s="1"/>
  <c r="N34" i="8"/>
  <c r="N9" i="11" s="1"/>
  <c r="N11" i="11" s="1"/>
  <c r="O34" i="8"/>
  <c r="O9" i="11" s="1"/>
  <c r="O11" i="11" s="1"/>
  <c r="P34" i="8"/>
  <c r="P9" i="11" s="1"/>
  <c r="P11" i="11" s="1"/>
  <c r="Q34" i="8"/>
  <c r="Q9" i="11" s="1"/>
  <c r="Q11" i="11" s="1"/>
  <c r="R34" i="8"/>
  <c r="R9" i="11" s="1"/>
  <c r="R11" i="11" s="1"/>
  <c r="S34" i="8"/>
  <c r="S9" i="11" s="1"/>
  <c r="S11" i="11" s="1"/>
  <c r="T34" i="8"/>
  <c r="T9" i="11" s="1"/>
  <c r="T11" i="11" s="1"/>
  <c r="U34" i="8"/>
  <c r="U9" i="11" s="1"/>
  <c r="U11" i="11" s="1"/>
  <c r="V34" i="8"/>
  <c r="V9" i="11" s="1"/>
  <c r="V11" i="11" s="1"/>
  <c r="W34" i="8"/>
  <c r="W9" i="11" s="1"/>
  <c r="W11" i="11" s="1"/>
  <c r="X34" i="8"/>
  <c r="X9" i="11" s="1"/>
  <c r="X11" i="11" s="1"/>
  <c r="Y34" i="8"/>
  <c r="Y9" i="11" s="1"/>
  <c r="Y11" i="11" s="1"/>
  <c r="Z34" i="8"/>
  <c r="Z9" i="11" s="1"/>
  <c r="Z11" i="11" s="1"/>
  <c r="AA34" i="8"/>
  <c r="AA9" i="11" s="1"/>
  <c r="AA11" i="11" s="1"/>
  <c r="AB34" i="8"/>
  <c r="AB9" i="11" s="1"/>
  <c r="AB11" i="11" s="1"/>
  <c r="AC34" i="8"/>
  <c r="AC9" i="11" s="1"/>
  <c r="AC11" i="11" s="1"/>
  <c r="AD34" i="8"/>
  <c r="AD9" i="11" s="1"/>
  <c r="AD11" i="11" s="1"/>
  <c r="AE34" i="8"/>
  <c r="AE9" i="11" s="1"/>
  <c r="AE11" i="11" s="1"/>
  <c r="AF34" i="8"/>
  <c r="AF9" i="11" s="1"/>
  <c r="AF11" i="11" s="1"/>
  <c r="AG34" i="8"/>
  <c r="AG9" i="11" s="1"/>
  <c r="AG11" i="11" s="1"/>
  <c r="AH34" i="8"/>
  <c r="AH9" i="11" s="1"/>
  <c r="AH11" i="11" s="1"/>
  <c r="AI34" i="8"/>
  <c r="AI9" i="11" s="1"/>
  <c r="AI11" i="11" s="1"/>
  <c r="I9" i="13"/>
  <c r="L34" i="9"/>
  <c r="L9" i="12" s="1"/>
  <c r="L11" i="12" s="1"/>
  <c r="K34" i="9"/>
  <c r="K9" i="12" s="1"/>
  <c r="K11" i="12" s="1"/>
  <c r="M34" i="9"/>
  <c r="M9" i="12" s="1"/>
  <c r="M11" i="12" s="1"/>
  <c r="N34" i="9"/>
  <c r="N9" i="12" s="1"/>
  <c r="N11" i="12" s="1"/>
  <c r="O34" i="9"/>
  <c r="O9" i="12" s="1"/>
  <c r="O11" i="12" s="1"/>
  <c r="P34" i="9"/>
  <c r="P9" i="12" s="1"/>
  <c r="P11" i="12" s="1"/>
  <c r="Q34" i="9"/>
  <c r="Q9" i="12" s="1"/>
  <c r="Q11" i="12" s="1"/>
  <c r="R34" i="9"/>
  <c r="R9" i="12" s="1"/>
  <c r="R11" i="12" s="1"/>
  <c r="S34" i="9"/>
  <c r="S9" i="12" s="1"/>
  <c r="S11" i="12" s="1"/>
  <c r="T34" i="9"/>
  <c r="T9" i="12" s="1"/>
  <c r="T11" i="12" s="1"/>
  <c r="U34" i="9"/>
  <c r="U9" i="12" s="1"/>
  <c r="U11" i="12" s="1"/>
  <c r="V34" i="9"/>
  <c r="V9" i="12" s="1"/>
  <c r="V11" i="12" s="1"/>
  <c r="W34" i="9"/>
  <c r="W9" i="12" s="1"/>
  <c r="W11" i="12" s="1"/>
  <c r="X34" i="9"/>
  <c r="X9" i="12" s="1"/>
  <c r="X11" i="12" s="1"/>
  <c r="Y34" i="9"/>
  <c r="Y9" i="12" s="1"/>
  <c r="Y11" i="12" s="1"/>
  <c r="Z34" i="9"/>
  <c r="Z9" i="12" s="1"/>
  <c r="Z11" i="12" s="1"/>
  <c r="AA34" i="9"/>
  <c r="AA9" i="12" s="1"/>
  <c r="AA11" i="12" s="1"/>
  <c r="AB34" i="9"/>
  <c r="AB9" i="12" s="1"/>
  <c r="AB11" i="12" s="1"/>
  <c r="AC34" i="9"/>
  <c r="AC9" i="12" s="1"/>
  <c r="AC11" i="12" s="1"/>
  <c r="AD34" i="9"/>
  <c r="AD9" i="12" s="1"/>
  <c r="AD11" i="12" s="1"/>
  <c r="AE34" i="9"/>
  <c r="AE9" i="12" s="1"/>
  <c r="AE11" i="12" s="1"/>
  <c r="AF34" i="9"/>
  <c r="AF9" i="12" s="1"/>
  <c r="AF11" i="12" s="1"/>
  <c r="AG34" i="9"/>
  <c r="AG9" i="12" s="1"/>
  <c r="AG11" i="12" s="1"/>
  <c r="AH34" i="9"/>
  <c r="AH9" i="12" s="1"/>
  <c r="AH11" i="12" s="1"/>
  <c r="AI34" i="9"/>
  <c r="AI9" i="12" s="1"/>
  <c r="AI11" i="12" s="1"/>
  <c r="U16" i="11" l="1"/>
  <c r="T16" i="11"/>
  <c r="AD16" i="11"/>
  <c r="Q16" i="11"/>
  <c r="AF16" i="11"/>
  <c r="P16" i="11"/>
  <c r="AE16" i="12"/>
  <c r="AE16" i="11"/>
  <c r="O17" i="12"/>
  <c r="O22" i="12"/>
  <c r="O24" i="12" s="1"/>
  <c r="O28" i="12" s="1"/>
  <c r="O32" i="12" s="1"/>
  <c r="O35" i="12" s="1"/>
  <c r="O16" i="12"/>
  <c r="O16" i="11"/>
  <c r="AB16" i="12"/>
  <c r="AB16" i="11"/>
  <c r="N16" i="11"/>
  <c r="S16" i="12"/>
  <c r="Q16" i="12"/>
  <c r="AC16" i="11"/>
  <c r="AA16" i="11"/>
  <c r="L17" i="12"/>
  <c r="L16" i="12"/>
  <c r="L22" i="12"/>
  <c r="L24" i="12" s="1"/>
  <c r="L28" i="12" s="1"/>
  <c r="L32" i="12" s="1"/>
  <c r="L35" i="12" s="1"/>
  <c r="M16" i="11"/>
  <c r="R16" i="12"/>
  <c r="R16" i="11"/>
  <c r="N16" i="12"/>
  <c r="N17" i="12"/>
  <c r="N22" i="12" s="1"/>
  <c r="N24" i="12" s="1"/>
  <c r="N28" i="12" s="1"/>
  <c r="N32" i="12" s="1"/>
  <c r="N35" i="12" s="1"/>
  <c r="K17" i="12"/>
  <c r="K22" i="12" s="1"/>
  <c r="K24" i="12" s="1"/>
  <c r="K28" i="12" s="1"/>
  <c r="K32" i="12" s="1"/>
  <c r="K35" i="12" s="1"/>
  <c r="K16" i="12"/>
  <c r="K18" i="12" s="1"/>
  <c r="L15" i="12" s="1"/>
  <c r="L18" i="12" s="1"/>
  <c r="M15" i="12" s="1"/>
  <c r="M18" i="12" s="1"/>
  <c r="N15" i="12" s="1"/>
  <c r="N18" i="12" s="1"/>
  <c r="O15" i="12" s="1"/>
  <c r="O18" i="12" s="1"/>
  <c r="P15" i="12" s="1"/>
  <c r="X16" i="11"/>
  <c r="L16" i="11"/>
  <c r="AG16" i="11"/>
  <c r="S16" i="11"/>
  <c r="AA16" i="12"/>
  <c r="Y16" i="12"/>
  <c r="X16" i="12"/>
  <c r="W16" i="12"/>
  <c r="AG16" i="12"/>
  <c r="W16" i="11"/>
  <c r="K17" i="11"/>
  <c r="K22" i="11" s="1"/>
  <c r="K24" i="11" s="1"/>
  <c r="K28" i="11" s="1"/>
  <c r="K32" i="11" s="1"/>
  <c r="K35" i="11" s="1"/>
  <c r="K16" i="11"/>
  <c r="K18" i="11" s="1"/>
  <c r="L15" i="11" s="1"/>
  <c r="AD16" i="12"/>
  <c r="AC16" i="12"/>
  <c r="P16" i="12"/>
  <c r="Z16" i="12"/>
  <c r="M17" i="12"/>
  <c r="M16" i="12"/>
  <c r="M22" i="12"/>
  <c r="M24" i="12" s="1"/>
  <c r="M28" i="12" s="1"/>
  <c r="M32" i="12" s="1"/>
  <c r="M35" i="12" s="1"/>
  <c r="Z16" i="11"/>
  <c r="AI17" i="12"/>
  <c r="AI22" i="12" s="1"/>
  <c r="AI24" i="12" s="1"/>
  <c r="AI28" i="12" s="1"/>
  <c r="AI32" i="12" s="1"/>
  <c r="AI35" i="12" s="1"/>
  <c r="AI16" i="12"/>
  <c r="Y16" i="11"/>
  <c r="AH16" i="12"/>
  <c r="V16" i="12"/>
  <c r="U16" i="12"/>
  <c r="AI16" i="11"/>
  <c r="AF16" i="12"/>
  <c r="T16" i="12"/>
  <c r="AH16" i="11"/>
  <c r="V16" i="11"/>
  <c r="P17" i="12" l="1"/>
  <c r="P22" i="12" s="1"/>
  <c r="P24" i="12" s="1"/>
  <c r="P28" i="12" s="1"/>
  <c r="P32" i="12" s="1"/>
  <c r="P35" i="12" s="1"/>
  <c r="L17" i="11"/>
  <c r="L22" i="11" s="1"/>
  <c r="L24" i="11" s="1"/>
  <c r="L28" i="11" s="1"/>
  <c r="L32" i="11" s="1"/>
  <c r="L35" i="11" s="1"/>
  <c r="L18" i="11" l="1"/>
  <c r="M15" i="11" s="1"/>
  <c r="P18" i="12"/>
  <c r="Q15" i="12" s="1"/>
  <c r="Q17" i="12" l="1"/>
  <c r="Q22" i="12" s="1"/>
  <c r="Q24" i="12" s="1"/>
  <c r="Q28" i="12" s="1"/>
  <c r="Q32" i="12" s="1"/>
  <c r="Q35" i="12" s="1"/>
  <c r="M17" i="11"/>
  <c r="M22" i="11" s="1"/>
  <c r="M24" i="11" s="1"/>
  <c r="M28" i="11" s="1"/>
  <c r="M32" i="11" s="1"/>
  <c r="M35" i="11" s="1"/>
  <c r="M18" i="11" l="1"/>
  <c r="N15" i="11" s="1"/>
  <c r="Q18" i="12"/>
  <c r="R15" i="12" s="1"/>
  <c r="R17" i="12" l="1"/>
  <c r="R22" i="12" s="1"/>
  <c r="R24" i="12" s="1"/>
  <c r="R28" i="12" s="1"/>
  <c r="R32" i="12" s="1"/>
  <c r="R35" i="12" s="1"/>
  <c r="N17" i="11"/>
  <c r="N22" i="11" s="1"/>
  <c r="N24" i="11" s="1"/>
  <c r="N28" i="11" s="1"/>
  <c r="N32" i="11" s="1"/>
  <c r="N35" i="11" s="1"/>
  <c r="N18" i="11" l="1"/>
  <c r="O15" i="11" s="1"/>
  <c r="R18" i="12"/>
  <c r="S15" i="12" s="1"/>
  <c r="S18" i="12" l="1"/>
  <c r="T15" i="12" s="1"/>
  <c r="S17" i="12"/>
  <c r="S22" i="12" s="1"/>
  <c r="S24" i="12" s="1"/>
  <c r="S28" i="12" s="1"/>
  <c r="S32" i="12" s="1"/>
  <c r="S35" i="12" s="1"/>
  <c r="O17" i="11"/>
  <c r="O22" i="11" s="1"/>
  <c r="O24" i="11" s="1"/>
  <c r="O28" i="11" s="1"/>
  <c r="O32" i="11" s="1"/>
  <c r="O35" i="11" s="1"/>
  <c r="T17" i="12" l="1"/>
  <c r="T22" i="12" s="1"/>
  <c r="T24" i="12" s="1"/>
  <c r="T28" i="12" s="1"/>
  <c r="T32" i="12" s="1"/>
  <c r="T35" i="12" s="1"/>
  <c r="O18" i="11"/>
  <c r="P15" i="11" s="1"/>
  <c r="P17" i="11" l="1"/>
  <c r="P22" i="11" s="1"/>
  <c r="P24" i="11" s="1"/>
  <c r="P28" i="11" s="1"/>
  <c r="P32" i="11" s="1"/>
  <c r="P35" i="11" s="1"/>
  <c r="T18" i="12"/>
  <c r="U15" i="12" s="1"/>
  <c r="U17" i="12" l="1"/>
  <c r="U22" i="12" s="1"/>
  <c r="U24" i="12" s="1"/>
  <c r="U28" i="12" s="1"/>
  <c r="U32" i="12" s="1"/>
  <c r="U35" i="12" s="1"/>
  <c r="P18" i="11"/>
  <c r="Q15" i="11" s="1"/>
  <c r="Q17" i="11" l="1"/>
  <c r="Q22" i="11" s="1"/>
  <c r="Q24" i="11" s="1"/>
  <c r="Q28" i="11" s="1"/>
  <c r="Q32" i="11" s="1"/>
  <c r="Q35" i="11" s="1"/>
  <c r="U18" i="12"/>
  <c r="V15" i="12" s="1"/>
  <c r="V17" i="12" l="1"/>
  <c r="V22" i="12" s="1"/>
  <c r="V24" i="12" s="1"/>
  <c r="V28" i="12" s="1"/>
  <c r="V32" i="12" s="1"/>
  <c r="V35" i="12" s="1"/>
  <c r="Q18" i="11"/>
  <c r="R15" i="11" s="1"/>
  <c r="R17" i="11" l="1"/>
  <c r="R22" i="11" s="1"/>
  <c r="R24" i="11" s="1"/>
  <c r="R28" i="11" s="1"/>
  <c r="R32" i="11" s="1"/>
  <c r="R35" i="11" s="1"/>
  <c r="V18" i="12"/>
  <c r="W15" i="12" s="1"/>
  <c r="W17" i="12" l="1"/>
  <c r="W22" i="12" s="1"/>
  <c r="W24" i="12" s="1"/>
  <c r="W28" i="12" s="1"/>
  <c r="W32" i="12" s="1"/>
  <c r="W35" i="12" s="1"/>
  <c r="R18" i="11"/>
  <c r="S15" i="11" s="1"/>
  <c r="S17" i="11" l="1"/>
  <c r="S22" i="11" s="1"/>
  <c r="S24" i="11" s="1"/>
  <c r="S28" i="11" s="1"/>
  <c r="S32" i="11" s="1"/>
  <c r="S35" i="11" s="1"/>
  <c r="W18" i="12"/>
  <c r="X15" i="12" s="1"/>
  <c r="X17" i="12" l="1"/>
  <c r="X22" i="12" s="1"/>
  <c r="X24" i="12" s="1"/>
  <c r="X28" i="12" s="1"/>
  <c r="X32" i="12" s="1"/>
  <c r="X35" i="12" s="1"/>
  <c r="S18" i="11"/>
  <c r="T15" i="11" s="1"/>
  <c r="T17" i="11" l="1"/>
  <c r="T22" i="11" s="1"/>
  <c r="T24" i="11" s="1"/>
  <c r="T28" i="11" s="1"/>
  <c r="T32" i="11" s="1"/>
  <c r="T35" i="11" s="1"/>
  <c r="X18" i="12"/>
  <c r="Y15" i="12" s="1"/>
  <c r="Y17" i="12" l="1"/>
  <c r="Y22" i="12" s="1"/>
  <c r="Y24" i="12" s="1"/>
  <c r="Y28" i="12" s="1"/>
  <c r="Y32" i="12" s="1"/>
  <c r="Y35" i="12" s="1"/>
  <c r="T18" i="11"/>
  <c r="U15" i="11" s="1"/>
  <c r="U17" i="11" l="1"/>
  <c r="U22" i="11" s="1"/>
  <c r="U24" i="11" s="1"/>
  <c r="U28" i="11" s="1"/>
  <c r="U32" i="11" s="1"/>
  <c r="U35" i="11" s="1"/>
  <c r="Y18" i="12"/>
  <c r="Z15" i="12" s="1"/>
  <c r="Z17" i="12" l="1"/>
  <c r="Z22" i="12" s="1"/>
  <c r="Z24" i="12" s="1"/>
  <c r="Z28" i="12" s="1"/>
  <c r="Z32" i="12" s="1"/>
  <c r="Z35" i="12" s="1"/>
  <c r="U18" i="11"/>
  <c r="V15" i="11" s="1"/>
  <c r="V17" i="11" l="1"/>
  <c r="V22" i="11" s="1"/>
  <c r="V24" i="11" s="1"/>
  <c r="V28" i="11" s="1"/>
  <c r="V32" i="11" s="1"/>
  <c r="V35" i="11" s="1"/>
  <c r="Z18" i="12"/>
  <c r="AA15" i="12" s="1"/>
  <c r="AA17" i="12" l="1"/>
  <c r="AA22" i="12" s="1"/>
  <c r="AA24" i="12" s="1"/>
  <c r="AA28" i="12" s="1"/>
  <c r="AA32" i="12" s="1"/>
  <c r="AA35" i="12" s="1"/>
  <c r="V18" i="11"/>
  <c r="W15" i="11" s="1"/>
  <c r="W17" i="11" l="1"/>
  <c r="W22" i="11" s="1"/>
  <c r="W24" i="11" s="1"/>
  <c r="W28" i="11" s="1"/>
  <c r="W32" i="11" s="1"/>
  <c r="W35" i="11" s="1"/>
  <c r="AA18" i="12"/>
  <c r="AB15" i="12" s="1"/>
  <c r="W18" i="11" l="1"/>
  <c r="X15" i="11" s="1"/>
  <c r="AB17" i="12"/>
  <c r="AB22" i="12" s="1"/>
  <c r="AB24" i="12" s="1"/>
  <c r="AB28" i="12" s="1"/>
  <c r="AB32" i="12" s="1"/>
  <c r="AB35" i="12" s="1"/>
  <c r="AB18" i="12" l="1"/>
  <c r="AC15" i="12" s="1"/>
  <c r="X17" i="11"/>
  <c r="X22" i="11" s="1"/>
  <c r="X24" i="11" s="1"/>
  <c r="X28" i="11" s="1"/>
  <c r="X32" i="11" s="1"/>
  <c r="X35" i="11" s="1"/>
  <c r="X18" i="11" l="1"/>
  <c r="Y15" i="11" s="1"/>
  <c r="AC17" i="12"/>
  <c r="AC22" i="12" s="1"/>
  <c r="AC24" i="12" s="1"/>
  <c r="AC28" i="12" s="1"/>
  <c r="AC32" i="12" s="1"/>
  <c r="AC35" i="12" s="1"/>
  <c r="AC18" i="12" l="1"/>
  <c r="AD15" i="12" s="1"/>
  <c r="Y17" i="11"/>
  <c r="Y22" i="11" s="1"/>
  <c r="Y24" i="11" s="1"/>
  <c r="Y28" i="11" s="1"/>
  <c r="Y32" i="11" s="1"/>
  <c r="Y35" i="11" s="1"/>
  <c r="Y18" i="11" l="1"/>
  <c r="Z15" i="11" s="1"/>
  <c r="AD17" i="12"/>
  <c r="AD22" i="12" s="1"/>
  <c r="AD24" i="12" s="1"/>
  <c r="AD28" i="12" s="1"/>
  <c r="AD32" i="12" s="1"/>
  <c r="AD35" i="12" s="1"/>
  <c r="AD18" i="12" l="1"/>
  <c r="AE15" i="12" s="1"/>
  <c r="Z17" i="11"/>
  <c r="Z22" i="11" s="1"/>
  <c r="Z24" i="11" s="1"/>
  <c r="Z28" i="11" s="1"/>
  <c r="Z32" i="11" s="1"/>
  <c r="Z35" i="11" s="1"/>
  <c r="Z18" i="11" l="1"/>
  <c r="AA15" i="11" s="1"/>
  <c r="AE17" i="12"/>
  <c r="AE22" i="12" s="1"/>
  <c r="AE24" i="12" s="1"/>
  <c r="AE28" i="12" s="1"/>
  <c r="AE32" i="12" s="1"/>
  <c r="AE35" i="12" s="1"/>
  <c r="AE18" i="12" l="1"/>
  <c r="AF15" i="12" s="1"/>
  <c r="AA17" i="11"/>
  <c r="AA22" i="11" s="1"/>
  <c r="AA24" i="11" s="1"/>
  <c r="AA28" i="11" s="1"/>
  <c r="AA32" i="11" s="1"/>
  <c r="AA35" i="11" s="1"/>
  <c r="AA18" i="11" l="1"/>
  <c r="AB15" i="11" s="1"/>
  <c r="AF17" i="12"/>
  <c r="AF22" i="12" s="1"/>
  <c r="AF24" i="12" s="1"/>
  <c r="AF28" i="12" s="1"/>
  <c r="AF32" i="12" s="1"/>
  <c r="AF35" i="12" s="1"/>
  <c r="AF18" i="12" l="1"/>
  <c r="AG15" i="12" s="1"/>
  <c r="AB17" i="11"/>
  <c r="AB22" i="11" s="1"/>
  <c r="AB24" i="11" s="1"/>
  <c r="AB28" i="11" s="1"/>
  <c r="AB32" i="11" s="1"/>
  <c r="AB35" i="11" s="1"/>
  <c r="AB18" i="11" l="1"/>
  <c r="AC15" i="11" s="1"/>
  <c r="AG17" i="12"/>
  <c r="AG22" i="12" s="1"/>
  <c r="AG24" i="12" s="1"/>
  <c r="AG28" i="12" s="1"/>
  <c r="AG32" i="12" s="1"/>
  <c r="AG35" i="12" s="1"/>
  <c r="AG18" i="12" l="1"/>
  <c r="AH15" i="12" s="1"/>
  <c r="AC17" i="11"/>
  <c r="AC22" i="11" s="1"/>
  <c r="AC24" i="11" s="1"/>
  <c r="AC28" i="11" s="1"/>
  <c r="AC32" i="11" s="1"/>
  <c r="AC35" i="11" s="1"/>
  <c r="AC18" i="11" l="1"/>
  <c r="AD15" i="11" s="1"/>
  <c r="AH17" i="12"/>
  <c r="AH22" i="12" s="1"/>
  <c r="AH24" i="12" s="1"/>
  <c r="AH28" i="12" s="1"/>
  <c r="AH32" i="12" s="1"/>
  <c r="AH35" i="12" s="1"/>
  <c r="I36" i="12" s="1"/>
  <c r="I40" i="12" s="1"/>
  <c r="I12" i="13" s="1"/>
  <c r="I18" i="13" s="1"/>
  <c r="I24" i="13" s="1"/>
  <c r="AH18" i="12" l="1"/>
  <c r="AI15" i="12" s="1"/>
  <c r="AI18" i="12" s="1"/>
  <c r="AD17" i="11"/>
  <c r="AD22" i="11" s="1"/>
  <c r="AD24" i="11" s="1"/>
  <c r="AD28" i="11" s="1"/>
  <c r="AD32" i="11" s="1"/>
  <c r="AD35" i="11" s="1"/>
  <c r="AD18" i="11" l="1"/>
  <c r="AE15" i="11" s="1"/>
  <c r="AE17" i="11" l="1"/>
  <c r="AE22" i="11" s="1"/>
  <c r="AE24" i="11" s="1"/>
  <c r="AE28" i="11" s="1"/>
  <c r="AE32" i="11" s="1"/>
  <c r="AE35" i="11" s="1"/>
  <c r="AE18" i="11" l="1"/>
  <c r="AF15" i="11" s="1"/>
  <c r="AF17" i="11" l="1"/>
  <c r="AF22" i="11" s="1"/>
  <c r="AF24" i="11" s="1"/>
  <c r="AF28" i="11" s="1"/>
  <c r="AF32" i="11" s="1"/>
  <c r="AF35" i="11" s="1"/>
  <c r="AF18" i="11" l="1"/>
  <c r="AG15" i="11" s="1"/>
  <c r="AG17" i="11" l="1"/>
  <c r="AG22" i="11" s="1"/>
  <c r="AG24" i="11" s="1"/>
  <c r="AG28" i="11" s="1"/>
  <c r="AG32" i="11" s="1"/>
  <c r="AG35" i="11" s="1"/>
  <c r="AG18" i="11" l="1"/>
  <c r="AH15" i="11" s="1"/>
  <c r="AH17" i="11" l="1"/>
  <c r="AH22" i="11" s="1"/>
  <c r="AH24" i="11" s="1"/>
  <c r="AH28" i="11" s="1"/>
  <c r="AH32" i="11" s="1"/>
  <c r="AH35" i="11" s="1"/>
  <c r="AH18" i="11" l="1"/>
  <c r="AI15" i="11" s="1"/>
  <c r="AI17" i="11" l="1"/>
  <c r="AI22" i="11" s="1"/>
  <c r="AI24" i="11" s="1"/>
  <c r="AI28" i="11" s="1"/>
  <c r="AI32" i="11" s="1"/>
  <c r="AI35" i="11" s="1"/>
  <c r="I36" i="11" s="1"/>
  <c r="I40" i="11" s="1"/>
  <c r="I11" i="13" s="1"/>
  <c r="I17" i="13" s="1"/>
  <c r="I23" i="13" s="1"/>
  <c r="AI18" i="11" l="1"/>
</calcChain>
</file>

<file path=xl/sharedStrings.xml><?xml version="1.0" encoding="utf-8"?>
<sst xmlns="http://schemas.openxmlformats.org/spreadsheetml/2006/main" count="1277" uniqueCount="524">
  <si>
    <t>Cap and Floor Financial Model 1 (CFFM1) - Actual Cost of Debt (ACOD)</t>
  </si>
  <si>
    <t>Regime design model</t>
  </si>
  <si>
    <r>
      <t>DISCLAIMER:</t>
    </r>
    <r>
      <rPr>
        <sz val="10"/>
        <color rgb="FF000000"/>
        <rFont val="Calibri"/>
        <family val="2"/>
      </rPr>
      <t xml:space="preserve"> In the event of any inconsistency between this model and a project's licence, the licence conditions take precedence.</t>
    </r>
  </si>
  <si>
    <t>For guidance on the use of the CFFM1 - ACOD, please refer to the CFFM1 Handbook - ACOD (CFFM1H - ACOD).</t>
  </si>
  <si>
    <t>Model key</t>
  </si>
  <si>
    <t>Sample</t>
  </si>
  <si>
    <t>Calculated value</t>
  </si>
  <si>
    <t>Formula changes in cells to the right</t>
  </si>
  <si>
    <t>Import from other sheet</t>
  </si>
  <si>
    <t>Export to other sheet</t>
  </si>
  <si>
    <t>Import from &amp; export to other sheet</t>
  </si>
  <si>
    <t>Initial input</t>
  </si>
  <si>
    <t>Initial input for non-GB indexed portion (to be left empty if GB-indexed only)</t>
  </si>
  <si>
    <t>Updated input</t>
  </si>
  <si>
    <t>Notes and instructions</t>
  </si>
  <si>
    <t>Cell intentionally blank</t>
  </si>
  <si>
    <t>Rows added to accommodate project-finance related inputs and calculations</t>
  </si>
  <si>
    <t>Contents</t>
  </si>
  <si>
    <t>Cover</t>
  </si>
  <si>
    <t>Model key and content directory</t>
  </si>
  <si>
    <t>Version Control</t>
  </si>
  <si>
    <t>Version control and log of changes</t>
  </si>
  <si>
    <t>Inputs</t>
  </si>
  <si>
    <t>Input data</t>
  </si>
  <si>
    <t>Data Sources</t>
  </si>
  <si>
    <t>Sources of input data</t>
  </si>
  <si>
    <t>Pre Op RAV</t>
  </si>
  <si>
    <t>Pre-operational RAV balances and project-finance eligible costs</t>
  </si>
  <si>
    <t>Finance</t>
  </si>
  <si>
    <t>Interest during construction, transaction costs, project-finance debt service</t>
  </si>
  <si>
    <t>Op RAV</t>
  </si>
  <si>
    <t>Operational RAV balances, return on RAV and RAV depreciation</t>
  </si>
  <si>
    <t>Allowances Cap</t>
  </si>
  <si>
    <t>Cap allowances (excluding tax) and annuitisation</t>
  </si>
  <si>
    <t>Allowances Floor</t>
  </si>
  <si>
    <t>Floor allowances (excluding tax) and annuitisation</t>
  </si>
  <si>
    <t>Tax Deductions</t>
  </si>
  <si>
    <t>Tax calculations</t>
  </si>
  <si>
    <t>Tax Cap</t>
  </si>
  <si>
    <t>Tax allowances at cap and annuitisation</t>
  </si>
  <si>
    <t>Tax Floor</t>
  </si>
  <si>
    <t>Tax allowances at floor and annuitisation</t>
  </si>
  <si>
    <t>Cap Floor Levels</t>
  </si>
  <si>
    <t>Cap and Floor values</t>
  </si>
  <si>
    <t>Checks</t>
  </si>
  <si>
    <t>Depreciation</t>
  </si>
  <si>
    <t>Debt tenor</t>
  </si>
  <si>
    <t>End of sheet</t>
  </si>
  <si>
    <t>Version control</t>
  </si>
  <si>
    <t>Version number</t>
  </si>
  <si>
    <t>File pathname</t>
  </si>
  <si>
    <t>Based on version</t>
  </si>
  <si>
    <t>Author or editor</t>
  </si>
  <si>
    <t>Date</t>
  </si>
  <si>
    <t>Description of changes</t>
  </si>
  <si>
    <t>Rationale for changes</t>
  </si>
  <si>
    <t>Location of changes</t>
  </si>
  <si>
    <t>Impact of changes on outputs</t>
  </si>
  <si>
    <t>Quality assurance performed? By?</t>
  </si>
  <si>
    <t>Comments on QA performed</t>
  </si>
  <si>
    <t>link</t>
  </si>
  <si>
    <t>N/a</t>
  </si>
  <si>
    <t>Andrew Stone &amp; Neill Aitken (NGV)</t>
  </si>
  <si>
    <t>Internal (ORE) and external (BDO)</t>
  </si>
  <si>
    <t>Comments reflected in version 1.1</t>
  </si>
  <si>
    <t>Martin Namor</t>
  </si>
  <si>
    <t>CFFM split into CFFM1 (up to PCR) &amp; CFFM2 (operations)</t>
  </si>
  <si>
    <t>Simplification and standardisation</t>
  </si>
  <si>
    <t>Throughout the model</t>
  </si>
  <si>
    <t>No impact</t>
  </si>
  <si>
    <t>Internal (ORE - Svitlana Voronkova)</t>
  </si>
  <si>
    <t>Comments reflected in version 2.2</t>
  </si>
  <si>
    <t>Minor changes</t>
  </si>
  <si>
    <t>Reflecting comments from QA and tidying up</t>
  </si>
  <si>
    <t>Further comments reflected in version 2.2</t>
  </si>
  <si>
    <t>Martin Namor &amp; Greenlink &amp; NeuConnect</t>
  </si>
  <si>
    <t>Inclusion of additional inputs and calculations relevant to project financing</t>
  </si>
  <si>
    <t>Allowing determination of actual floor level (AFL) in addition to notional floor level (NFL)</t>
  </si>
  <si>
    <t>Additional output (actual floor);
Original outputs (notional cap and floor) unchanged</t>
  </si>
  <si>
    <t>Comments reflected in version 3.1</t>
  </si>
  <si>
    <t>Changes required to remove post-tail AFL</t>
  </si>
  <si>
    <t>Allowing for AFL only during debt tenor and tail period</t>
  </si>
  <si>
    <t>Removal of post-tail AFL</t>
  </si>
  <si>
    <t>Internal (IC - Riccardo Rosselli; ORE - Svitlana Voronkova)</t>
  </si>
  <si>
    <t>Comments reflected in version 3.2</t>
  </si>
  <si>
    <t>Greenlink &amp; NeuConnect</t>
  </si>
  <si>
    <t>Inclusion of additional dates and flags</t>
  </si>
  <si>
    <t>Correcting errors and allowing separate profiling for NFL and ACL</t>
  </si>
  <si>
    <t>Internal (RF - Martin Namor; ORE - Svitlana Voronkova)</t>
  </si>
  <si>
    <t>Comments reflected in version 3.3</t>
  </si>
  <si>
    <t>Magdalena Rut</t>
  </si>
  <si>
    <t>Placeholder parameters replaced with Greenlink input parameters to generate C+F levels for the Greenlink project.</t>
  </si>
  <si>
    <t>Implementing the regime for Greenlink</t>
  </si>
  <si>
    <t>Medium</t>
  </si>
  <si>
    <t>Internal (ORE - Rahmatullah Kawsary) and External (Greenlink)</t>
  </si>
  <si>
    <t>Comments reflected in version 3.4</t>
  </si>
  <si>
    <t>Lucy Bond</t>
  </si>
  <si>
    <t>Greenlink input parameters replaced with Neuconnect parameters to generate C+F levels for the NeuC project.</t>
  </si>
  <si>
    <t>Implementing the regime for NeuConnect</t>
  </si>
  <si>
    <t>Internal (ORE - Rahmatullah Kawsary)</t>
  </si>
  <si>
    <t>Comments reflected in version 3.5</t>
  </si>
  <si>
    <t>Licence</t>
  </si>
  <si>
    <t>Parameter</t>
  </si>
  <si>
    <t>Units</t>
  </si>
  <si>
    <t>Terminology</t>
  </si>
  <si>
    <t>Constant</t>
  </si>
  <si>
    <t>Annual values</t>
  </si>
  <si>
    <t>Indexation, currency and base year price term</t>
  </si>
  <si>
    <t>GB indexed portion of interconnector</t>
  </si>
  <si>
    <t>choice %</t>
  </si>
  <si>
    <t>Non-GB indexed portion of interconnector</t>
  </si>
  <si>
    <t>%</t>
  </si>
  <si>
    <t>Currency of cost inputs</t>
  </si>
  <si>
    <t>choice</t>
  </si>
  <si>
    <t>£</t>
  </si>
  <si>
    <t>Base year price term</t>
  </si>
  <si>
    <t>£m 20/21 prices</t>
  </si>
  <si>
    <t>Variables set after financial close</t>
  </si>
  <si>
    <t>Actual values</t>
  </si>
  <si>
    <t>Year commencing</t>
  </si>
  <si>
    <t>Year ending</t>
  </si>
  <si>
    <t>Development costs</t>
  </si>
  <si>
    <t>£m nominal prices</t>
  </si>
  <si>
    <t>Capex</t>
  </si>
  <si>
    <t>Spares</t>
  </si>
  <si>
    <t>Base year UK RPI inflation index value (CHAW)</t>
  </si>
  <si>
    <t>Jan 1987 = 100</t>
  </si>
  <si>
    <t>UK RPI index 2020/21</t>
  </si>
  <si>
    <t>12 month average UK RPI inflation index value (CHAW)</t>
  </si>
  <si>
    <t>UK RPI index t</t>
  </si>
  <si>
    <t>Indexation factor</t>
  </si>
  <si>
    <t>Ex-ante allowances for the operational period</t>
  </si>
  <si>
    <t>Operational Year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</si>
  <si>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</si>
  <si>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</si>
  <si>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</si>
  <si>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</si>
  <si>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</si>
  <si>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</si>
  <si>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</si>
  <si>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</si>
  <si>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</si>
  <si>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</si>
  <si>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</si>
  <si>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</si>
  <si>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</si>
  <si>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</si>
  <si>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</si>
  <si>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</si>
  <si>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</si>
  <si>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</si>
  <si>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</si>
  <si>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</si>
  <si>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</si>
  <si>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</si>
  <si>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</si>
  <si>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</si>
  <si>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</si>
  <si>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Replacement Capex</t>
  </si>
  <si>
    <t>£m 2020/21 prices</t>
  </si>
  <si>
    <t>Decommissioning baseline</t>
  </si>
  <si>
    <t>Controllable Opex</t>
  </si>
  <si>
    <t>Non-controllable Opex baseline</t>
  </si>
  <si>
    <t>2020/21 average UK RPI inflation index value (CHAW)</t>
  </si>
  <si>
    <t>2020/21 average EU RPI inflation index value</t>
  </si>
  <si>
    <t>2020/21 average exchange rate (XUMAERS)</t>
  </si>
  <si>
    <t>Indexation conversion from 2021/22 to 2020/21 terms</t>
  </si>
  <si>
    <t>Variables set at financial close</t>
  </si>
  <si>
    <t>Cap return rate</t>
  </si>
  <si>
    <t>real annual %</t>
  </si>
  <si>
    <t>Floor return rate</t>
  </si>
  <si>
    <t>Interest during construction (IDC) rate</t>
  </si>
  <si>
    <t>Cost of debt (for tax)</t>
  </si>
  <si>
    <t>Pre-operational notional gearing</t>
  </si>
  <si>
    <t>Operational notional gearing</t>
  </si>
  <si>
    <t>Equity transaction costs</t>
  </si>
  <si>
    <t>Debt transaction costs</t>
  </si>
  <si>
    <t>Actual cost of debt (inputs are not the exact project values, selected to generate the exact actual floor level determined in the project finance financial model)</t>
  </si>
  <si>
    <t>Project finance key input: senior debt amount or gearing</t>
  </si>
  <si>
    <t>1: Amount (£m)
2: Gearing (%)</t>
  </si>
  <si>
    <t>Project finance senior debt amount (input if 1; empty if 2)</t>
  </si>
  <si>
    <t>Project finance actual gearing (input if 2; empty if 1)</t>
  </si>
  <si>
    <t>Senior Debt tenor</t>
  </si>
  <si>
    <t>full years</t>
  </si>
  <si>
    <t>Senior Debt tail requirement</t>
  </si>
  <si>
    <t>DSCR sizing</t>
  </si>
  <si>
    <t>DSCRx</t>
  </si>
  <si>
    <t>Fixed rate - Construction</t>
  </si>
  <si>
    <t>nominal %</t>
  </si>
  <si>
    <t>Fixed rate - Operation</t>
  </si>
  <si>
    <t>Senior Debt construction margin</t>
  </si>
  <si>
    <t>of which: swap margin</t>
  </si>
  <si>
    <t>Senior Debt upfront fee</t>
  </si>
  <si>
    <t>Senior Debt commitment fee</t>
  </si>
  <si>
    <t>% of applicable margin</t>
  </si>
  <si>
    <t>Senior Debt drawdown year</t>
  </si>
  <si>
    <t>Year</t>
  </si>
  <si>
    <t>Senior Debt drawdown profile</t>
  </si>
  <si>
    <t>Debt Service Reserve Facility/Account amount</t>
  </si>
  <si>
    <t>Debt Service Reserve Facility upfront fee</t>
  </si>
  <si>
    <t>Debt Service Reserve Facility construction margin</t>
  </si>
  <si>
    <t>Debt Service Reserve Facility commitment fee</t>
  </si>
  <si>
    <t>Cap and Floor Liquidity Facility amount</t>
  </si>
  <si>
    <t>Cap and Floor Liquidity Facility average outstanding loan</t>
  </si>
  <si>
    <t>Cap and Floor Liquidity Facility upfront fee</t>
  </si>
  <si>
    <t>Cap and Floor Liquidity Facility construction margin</t>
  </si>
  <si>
    <t>Cap and Floor Liquidity Facility commitment fee</t>
  </si>
  <si>
    <t>Standby Debt Facility amount</t>
  </si>
  <si>
    <t>Standby Debt Facility upfront fee</t>
  </si>
  <si>
    <t>Standby Debt Facility construction margin</t>
  </si>
  <si>
    <t>Standby Debt Facility commitment fee</t>
  </si>
  <si>
    <t>VAT Facility amount</t>
  </si>
  <si>
    <t>VAT Facility average outstanding loan</t>
  </si>
  <si>
    <t>VAT Facility upfront fee</t>
  </si>
  <si>
    <t>VAT Facility construction margin</t>
  </si>
  <si>
    <t>VAT Facility commitment fee</t>
  </si>
  <si>
    <t>Other Facilities amount</t>
  </si>
  <si>
    <t>Other Facilities upfront fee</t>
  </si>
  <si>
    <t>Other Facilities construction margin</t>
  </si>
  <si>
    <t>Other Facilities commitment fee</t>
  </si>
  <si>
    <t>Debt Service Reserve: Facility or Account</t>
  </si>
  <si>
    <t>1: DSRF
2: DSRA</t>
  </si>
  <si>
    <t>Switch for transaction costs in taxes</t>
  </si>
  <si>
    <t>1: notional costs
2: actual costs</t>
  </si>
  <si>
    <t>Senior Debt repayment year</t>
  </si>
  <si>
    <t>Senior Debt repayment profile</t>
  </si>
  <si>
    <t>Senior Debt operation margin (including swap margin)</t>
  </si>
  <si>
    <t>Debt Service Reserve Facility operation margin</t>
  </si>
  <si>
    <t>Cap and Floor Liquidity Facility operation margin</t>
  </si>
  <si>
    <t>Standby Debt Facility operation margin</t>
  </si>
  <si>
    <t>VAT Facility operation margin</t>
  </si>
  <si>
    <t>Other facilities operation margin</t>
  </si>
  <si>
    <t>Model operation</t>
  </si>
  <si>
    <t>Model start date</t>
  </si>
  <si>
    <t>date</t>
  </si>
  <si>
    <t>Regime start date</t>
  </si>
  <si>
    <t>End date for IDC</t>
  </si>
  <si>
    <t>Start of operations</t>
  </si>
  <si>
    <t>Regime end date</t>
  </si>
  <si>
    <t>Debt end date</t>
  </si>
  <si>
    <t>Debt tail end date</t>
  </si>
  <si>
    <t>Number of operational years</t>
  </si>
  <si>
    <t>Debt tenor &lt;= (Regime end date - Start of operations)</t>
  </si>
  <si>
    <t>check</t>
  </si>
  <si>
    <t>Days in year</t>
  </si>
  <si>
    <t>days</t>
  </si>
  <si>
    <t>IDC flag</t>
  </si>
  <si>
    <t>flag</t>
  </si>
  <si>
    <t>Post-IDC and pre-operations flag</t>
  </si>
  <si>
    <t>Operations flag</t>
  </si>
  <si>
    <t>Regime flag</t>
  </si>
  <si>
    <t>Regime years</t>
  </si>
  <si>
    <t>count</t>
  </si>
  <si>
    <t>Transfer construction to operations flag - Notional</t>
  </si>
  <si>
    <t>Transfer construction to operations flag - ACOD</t>
  </si>
  <si>
    <t>`</t>
  </si>
  <si>
    <t>Initial transaction costs flag</t>
  </si>
  <si>
    <t>Financial close flag</t>
  </si>
  <si>
    <t>Debt drawdown flag</t>
  </si>
  <si>
    <t>Debt repayment flag</t>
  </si>
  <si>
    <t>Debt repayment years</t>
  </si>
  <si>
    <t>Debt tail flag</t>
  </si>
  <si>
    <t>Tax - Financial years</t>
  </si>
  <si>
    <t>Long-term expected UK RPI inflation</t>
  </si>
  <si>
    <t>UK RPI inflation uplift from 2019/20 term</t>
  </si>
  <si>
    <t>scalar</t>
  </si>
  <si>
    <t>Tax - Operational years</t>
  </si>
  <si>
    <t>Corporation tax rate</t>
  </si>
  <si>
    <t>Capital allowance rate (declining balance)</t>
  </si>
  <si>
    <t>Start of price base year</t>
  </si>
  <si>
    <t>End of price base year</t>
  </si>
  <si>
    <t>UK RPI uplift from 2020/21 term to start of regime</t>
  </si>
  <si>
    <t>Tax - Annuity</t>
  </si>
  <si>
    <t>Tax element of Cap and Floor annuity previously calculated and fixed</t>
  </si>
  <si>
    <t>No</t>
  </si>
  <si>
    <t>Reference row in</t>
  </si>
  <si>
    <t>Inputs sheet</t>
  </si>
  <si>
    <t>Source</t>
  </si>
  <si>
    <t>Link</t>
  </si>
  <si>
    <t>Project's licence</t>
  </si>
  <si>
    <t>Final Project Assessment decision</t>
  </si>
  <si>
    <t>Office for National Statistics</t>
  </si>
  <si>
    <t>RPI All Items Index: Jan 1987=100</t>
  </si>
  <si>
    <t>Bank of England</t>
  </si>
  <si>
    <t>XUMARES</t>
  </si>
  <si>
    <t>XUMAERS</t>
  </si>
  <si>
    <t>Ofgem's determination based on FID date</t>
  </si>
  <si>
    <t>Window 2 policy decision (fixed for Window 2 projects)</t>
  </si>
  <si>
    <t>Actual cost of debt</t>
  </si>
  <si>
    <t>Developer's Financial Close</t>
  </si>
  <si>
    <t>NeuConnect Cap and Floor Model 1 Handbook</t>
  </si>
  <si>
    <t>HM Revenue and Customs</t>
  </si>
  <si>
    <t>N/A at Final Project Assessment</t>
  </si>
  <si>
    <t>Flags</t>
  </si>
  <si>
    <t>RAV</t>
  </si>
  <si>
    <t>Pre-operational</t>
  </si>
  <si>
    <t>Opening pre-operational RAV (before transfers)</t>
  </si>
  <si>
    <t>Capitalised interest during construction</t>
  </si>
  <si>
    <t>Closing pre-operational RAV (after IDC)</t>
  </si>
  <si>
    <t>Pre-operational RAV transfers</t>
  </si>
  <si>
    <t>Closing pre-operational RAV (after IDC) - adjusted for RAV transfers</t>
  </si>
  <si>
    <t>Opening development costs (before transfers)</t>
  </si>
  <si>
    <t>Closing development costs (before transfers)</t>
  </si>
  <si>
    <t>Development costs transfers</t>
  </si>
  <si>
    <t>Closing development costs (after transfers)</t>
  </si>
  <si>
    <t>Pre-operational costs</t>
  </si>
  <si>
    <t>Opening eligible costs</t>
  </si>
  <si>
    <t>DSRA funding</t>
  </si>
  <si>
    <t>Financial expenses during construction</t>
  </si>
  <si>
    <t>Closing eligible costs</t>
  </si>
  <si>
    <t>Eligible costs transfer</t>
  </si>
  <si>
    <t>Closing eligible costs - adjusted for transfer</t>
  </si>
  <si>
    <t>Eligible costs</t>
  </si>
  <si>
    <t>Note: Due to the circularity of the interest calculation, "Copy-PasteValues" must be performed from Row 52 to Row 53 until the circularity check shows 'OK'</t>
  </si>
  <si>
    <t>Eligible costs - copy</t>
  </si>
  <si>
    <t>Eligible costs - paste</t>
  </si>
  <si>
    <t>Delta</t>
  </si>
  <si>
    <t>Circularity check</t>
  </si>
  <si>
    <t>Debt repayment year</t>
  </si>
  <si>
    <t>Pre-operational interest during construction</t>
  </si>
  <si>
    <t>Interest during construction rate</t>
  </si>
  <si>
    <t>Transaction costs</t>
  </si>
  <si>
    <t>Parameters</t>
  </si>
  <si>
    <t>Allowance</t>
  </si>
  <si>
    <t>Transaction costs - opening</t>
  </si>
  <si>
    <t>Initial debt transaction costs</t>
  </si>
  <si>
    <t>Initial equity transaction costs</t>
  </si>
  <si>
    <t>Final debt transaction costs</t>
  </si>
  <si>
    <t>Final equity transaction costs</t>
  </si>
  <si>
    <t>Transaction costs - annual movement</t>
  </si>
  <si>
    <t>Capitalised IDC on transaction costs</t>
  </si>
  <si>
    <t>Transfer to operational RAV</t>
  </si>
  <si>
    <t>Transaction costs - closing</t>
  </si>
  <si>
    <t>Debt balance and reserves</t>
  </si>
  <si>
    <t>Project finance senior debt amount</t>
  </si>
  <si>
    <t>Project finance actual gearing on eligible costs</t>
  </si>
  <si>
    <t>Senior debt drawdown profile</t>
  </si>
  <si>
    <t>Senior debt repayment profile</t>
  </si>
  <si>
    <t>Opening senior debt balance</t>
  </si>
  <si>
    <t>Senior debt drawdowns</t>
  </si>
  <si>
    <t>Senior debt repayments</t>
  </si>
  <si>
    <t>Closing senior debt balance</t>
  </si>
  <si>
    <t>Debt Service Reserve Facility amount</t>
  </si>
  <si>
    <t>Other facilities amount</t>
  </si>
  <si>
    <t>Upfront fee - Senior Debt</t>
  </si>
  <si>
    <t>Upfront fee - Debt Service Reserve Facility</t>
  </si>
  <si>
    <t>Upfront fee - Cap and Floor Liquidity Facility</t>
  </si>
  <si>
    <t>Upfront fee - Standby Debt Facility</t>
  </si>
  <si>
    <t>Upfront fee - VAT Facility</t>
  </si>
  <si>
    <t>Upfront fee - Other facilities</t>
  </si>
  <si>
    <t>Construction margin - Senior Debt</t>
  </si>
  <si>
    <t>Construction margin - Debt Service Reserve Facility</t>
  </si>
  <si>
    <t>Construction margin - Cap and Floor Liquidity Facility</t>
  </si>
  <si>
    <t>Construction margin - Standby Debt Facility</t>
  </si>
  <si>
    <t>Construction margin - VAT Facility</t>
  </si>
  <si>
    <t>Construction margin - Other facilities</t>
  </si>
  <si>
    <t>Total interest rate - Senior Debt</t>
  </si>
  <si>
    <t xml:space="preserve">Total interest rate - Debt Service Reserve Facility </t>
  </si>
  <si>
    <t>Total interest rate - Cap and Floor Liquidity Facility</t>
  </si>
  <si>
    <t>Total interest rate - Standby Debt Facility</t>
  </si>
  <si>
    <t>Total interest rate - VAT Facility</t>
  </si>
  <si>
    <t>Total interest rate - Other facilities</t>
  </si>
  <si>
    <t>Commitment fee - Senior Debt</t>
  </si>
  <si>
    <t>Commitment fee - Debt Service Reserve Facility</t>
  </si>
  <si>
    <t>Commitment fee - Cap and Floor Liquidity Facility</t>
  </si>
  <si>
    <t>Commitment fee - Standby Debt Facility</t>
  </si>
  <si>
    <t>Commitment fee - VAT Facility</t>
  </si>
  <si>
    <t>Commitment fee - Other facilities</t>
  </si>
  <si>
    <t>Upfront fee payable - Senior Debt</t>
  </si>
  <si>
    <t>Upfront fee payable - Ancillary Facilities</t>
  </si>
  <si>
    <t>Interest payable - Senior Debt</t>
  </si>
  <si>
    <t>Interest payable - Ancillary Facilities</t>
  </si>
  <si>
    <t>Commitment fee payable - Senior Debt</t>
  </si>
  <si>
    <t>Commitment fee payable - Ancillary Facilities</t>
  </si>
  <si>
    <t>Financial expenses during operation</t>
  </si>
  <si>
    <t>Operation margin (including swap margin) - Senior Debt</t>
  </si>
  <si>
    <t>Operation margin - Debt Service Reserve Facility</t>
  </si>
  <si>
    <t>Operation margin - Cap and Floor Liquidity Facility</t>
  </si>
  <si>
    <t>Operation margin - Standby Debt Facility</t>
  </si>
  <si>
    <t>Operation margin - Other facilities</t>
  </si>
  <si>
    <t>Debt service</t>
  </si>
  <si>
    <t>Principal repayment</t>
  </si>
  <si>
    <t>Total debt service</t>
  </si>
  <si>
    <t>Total debt service including buffer</t>
  </si>
  <si>
    <t>DSRA calculation</t>
  </si>
  <si>
    <t xml:space="preserve">DSRA pre-funding </t>
  </si>
  <si>
    <t>Project year</t>
  </si>
  <si>
    <t>Operational</t>
  </si>
  <si>
    <t>Opening operational RAV (before transfers)</t>
  </si>
  <si>
    <t>Transfers of transaction costs</t>
  </si>
  <si>
    <t>Transfers of pre-operational RAV</t>
  </si>
  <si>
    <t>Opening operational RAV (after transfers)</t>
  </si>
  <si>
    <t>Depreciation (negative)</t>
  </si>
  <si>
    <t>Closing operational RAV</t>
  </si>
  <si>
    <t>Average operational RAV</t>
  </si>
  <si>
    <t>Operational RAV depreciation</t>
  </si>
  <si>
    <t>Years remaining until end of operational period</t>
  </si>
  <si>
    <t>Year is before end of operational period</t>
  </si>
  <si>
    <t>RAV depreciation</t>
  </si>
  <si>
    <t>Depreciation equal to additions</t>
  </si>
  <si>
    <t>Operational RAV return</t>
  </si>
  <si>
    <t>NPV neutral return base  (cap)</t>
  </si>
  <si>
    <t>NPV neutral return base (floor)</t>
  </si>
  <si>
    <t>Return (cap)</t>
  </si>
  <si>
    <t>Return (floor)</t>
  </si>
  <si>
    <t xml:space="preserve"> </t>
  </si>
  <si>
    <t>Unprofiled allowances except tax (cap)</t>
  </si>
  <si>
    <t>Non-controllable Opex (baseline)</t>
  </si>
  <si>
    <t>Profiled allowances except tax (cap)</t>
  </si>
  <si>
    <t>Annuity parameters</t>
  </si>
  <si>
    <t>Annuity factor (cap)</t>
  </si>
  <si>
    <t>Year is within operational period</t>
  </si>
  <si>
    <t>Discount factor to start of operational period (cap)</t>
  </si>
  <si>
    <t>Allowances except tax</t>
  </si>
  <si>
    <t>Discounted unprofiled allowances except tax (cap)</t>
  </si>
  <si>
    <t>NPV of allowances except tax (cap)</t>
  </si>
  <si>
    <t>Annuity of allowances except tax (cap)</t>
  </si>
  <si>
    <t>Annuitised allowances except tax (cap)</t>
  </si>
  <si>
    <t>Unprofiled allowances except tax (notional floor)</t>
  </si>
  <si>
    <t>Unprofiled allowances except tax (floor)</t>
  </si>
  <si>
    <t>Profiled allowances except tax (notional floor)</t>
  </si>
  <si>
    <t>Annuity factor (floor)</t>
  </si>
  <si>
    <t>Discount factor to start of operational period (floor)</t>
  </si>
  <si>
    <t>Discounted unprofiled allowances except tax (floor)</t>
  </si>
  <si>
    <t>NPV of allowances except tax (floor)</t>
  </si>
  <si>
    <t>Annuity of allowances except tax (floor)</t>
  </si>
  <si>
    <t>Annuitised allowances except tax (floor)</t>
  </si>
  <si>
    <t>Unprofiled allowances except tax (actual floor during debt tenor and tail period)</t>
  </si>
  <si>
    <t>Profiled allowances except tax (actual floor during debt tenor and tail period)</t>
  </si>
  <si>
    <t>Annuity parameters during debt tenor</t>
  </si>
  <si>
    <t>real %</t>
  </si>
  <si>
    <t>Cost of debt weighting</t>
  </si>
  <si>
    <t>Annuity factor over debt tenor</t>
  </si>
  <si>
    <t>Year within debt tenor</t>
  </si>
  <si>
    <t>Discount factor to start of debt period (floor)</t>
  </si>
  <si>
    <t>Allowances except tax during debt tenor</t>
  </si>
  <si>
    <t>Discounted unprofiled allowances except tax (floor) during debt period</t>
  </si>
  <si>
    <t>NPV of allowances except tax (floor) during debt period</t>
  </si>
  <si>
    <t>Annuity of allowances except tax (floor) during debt tenor</t>
  </si>
  <si>
    <t>Annuitised allowances except tax (floor) during debt tenor</t>
  </si>
  <si>
    <t>Allowances except tax during debt tail period</t>
  </si>
  <si>
    <t>Debt tail requirement</t>
  </si>
  <si>
    <t>Year within tail requirement period</t>
  </si>
  <si>
    <t>Annuitised allowances except tax (floor) during tail period</t>
  </si>
  <si>
    <t>Tax deductions</t>
  </si>
  <si>
    <t>Inflation</t>
  </si>
  <si>
    <t>Forecast UK inflation uplift</t>
  </si>
  <si>
    <t>Total tax deductions - Notional cost of debt</t>
  </si>
  <si>
    <t>Revenue pool additions</t>
  </si>
  <si>
    <t>£m nominal</t>
  </si>
  <si>
    <t>Capital allowances</t>
  </si>
  <si>
    <t>Interest payable</t>
  </si>
  <si>
    <t>Total tax deductions</t>
  </si>
  <si>
    <t>Total tax deductions - Actual cost of debt</t>
  </si>
  <si>
    <t>Year within debt tenor or tail period</t>
  </si>
  <si>
    <t>Tax pools</t>
  </si>
  <si>
    <t>Revenue pool</t>
  </si>
  <si>
    <t>Capital allowance pool</t>
  </si>
  <si>
    <t>Opening balance brought forward</t>
  </si>
  <si>
    <t>Tax book value pre-depreciation</t>
  </si>
  <si>
    <t>Capital allowance (reducing balance)</t>
  </si>
  <si>
    <t>Write-back allowance</t>
  </si>
  <si>
    <t>Closing balance carried forward</t>
  </si>
  <si>
    <t>Interest - Notional cost of debt</t>
  </si>
  <si>
    <t>Cost of debt</t>
  </si>
  <si>
    <t>Expected UK RPI inflation</t>
  </si>
  <si>
    <t>nominal annual %</t>
  </si>
  <si>
    <t>Net debt</t>
  </si>
  <si>
    <t>Principal repayments</t>
  </si>
  <si>
    <t>Net interest paid</t>
  </si>
  <si>
    <t>Total</t>
  </si>
  <si>
    <t>Opening net debt</t>
  </si>
  <si>
    <t>Less principal repayment</t>
  </si>
  <si>
    <t>Closing net debt</t>
  </si>
  <si>
    <t>Unprofiled tax allowance (cap)</t>
  </si>
  <si>
    <t>Profits attributable to corporation tax</t>
  </si>
  <si>
    <t>Less tax deductions</t>
  </si>
  <si>
    <t>Tax losses</t>
  </si>
  <si>
    <t>Taxable losses brought forward</t>
  </si>
  <si>
    <t>In-year taxable loss</t>
  </si>
  <si>
    <t>Profits used to offset losses</t>
  </si>
  <si>
    <t>Taxable losses carried forward</t>
  </si>
  <si>
    <t>Tax allowance</t>
  </si>
  <si>
    <t>Profits attributable to corporation tax (after taxable losses)</t>
  </si>
  <si>
    <t>Corporation tax charge after losses</t>
  </si>
  <si>
    <t>Grossing-up factor for tax on tax charge after losses</t>
  </si>
  <si>
    <t>Profiled tax allowance (cap)</t>
  </si>
  <si>
    <t>Discounted unprofiled tax allowance (cap)</t>
  </si>
  <si>
    <t>NPV of tax allowance (cap)</t>
  </si>
  <si>
    <t>Annuity of tax allowance (cap)</t>
  </si>
  <si>
    <t>Unprofiled tax allowance (notional floor)</t>
  </si>
  <si>
    <t>Unprofiled tax allowance (floor)</t>
  </si>
  <si>
    <t>Profiled tax allowance (notional floor)</t>
  </si>
  <si>
    <t>Discounted unprofiled tax allowance (floor)</t>
  </si>
  <si>
    <t>NPV of tax allowance (floor)</t>
  </si>
  <si>
    <t>Annuity of tax allowance (floor)</t>
  </si>
  <si>
    <t>Unprofiled tax allowance (actual floor)</t>
  </si>
  <si>
    <t>Profiled tax allowance (actual floor)</t>
  </si>
  <si>
    <t>Cap and floor levels and adjustments</t>
  </si>
  <si>
    <t>Cap and Notional Floor levels at FPA (Preliminary) / PCR (Final) and PCA adjustments at PCR</t>
  </si>
  <si>
    <t>Relevant stage: FPA for preliminary levels; PCR for final levels</t>
  </si>
  <si>
    <t>Cap at relevant stage excluding tax (calculated through the model)</t>
  </si>
  <si>
    <t>Floor at relevant stage excluding tax (calculated through the model)</t>
  </si>
  <si>
    <t>Cap at relevant stage - tax element (calculated through the model)</t>
  </si>
  <si>
    <t>Floor at relevant stage - tax element (calculated through the model)</t>
  </si>
  <si>
    <t>Cap at relevant stage - tax element (previously calculated through the model and fixed)</t>
  </si>
  <si>
    <t>Floor at relevant stage - tax element (previously calculated through the model and fixed)</t>
  </si>
  <si>
    <t>Cap at relevant stage including tax (calculated through the model)</t>
  </si>
  <si>
    <t>Floor at relevant stage including tax (calculated through the model)</t>
  </si>
  <si>
    <t>Preliminary Cap including tax (hardcoded at FPA)</t>
  </si>
  <si>
    <t>PCL</t>
  </si>
  <si>
    <t>Preliminary Floor including tax (hardcoded at FPA)</t>
  </si>
  <si>
    <t>PFL</t>
  </si>
  <si>
    <t>Cap PCA adjustment (at PCR)</t>
  </si>
  <si>
    <t>PCAC</t>
  </si>
  <si>
    <t>Floor PCA adjustment (at PCR)</t>
  </si>
  <si>
    <t>PCAF</t>
  </si>
  <si>
    <t xml:space="preserve">Actual floor level at FPA (Preliminary) / PCR (Final) </t>
  </si>
  <si>
    <t>Floor at relevant stage excluding tax during debt tenor and tail period (calculated through the model)</t>
  </si>
  <si>
    <t>Floor at relevant stage - tax element during debt tenor and tail period (calculated through the model)</t>
  </si>
  <si>
    <t>Floor at relevant stage - tax element during debt tenor and tail period (previously calculated through the model and fixed)</t>
  </si>
  <si>
    <t>Floor at relevant stage including tax during debt tenor and tail period (calculated through the model)</t>
  </si>
  <si>
    <t>Preliminary Floor including tax during debt tenor and tail period (hardcoded at FPA)</t>
  </si>
  <si>
    <t>Floor adjustment during debt tenor and tail period (at PCR)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</si>
</sst>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7">
    <numFmt numFmtId="164" formatCode="#,##0&quot; &quot;;&quot;(&quot;#,##0&quot;)&quot;;&quot;-&quot;"/>
    <numFmt numFmtId="165" formatCode="#,##0.0&quot; &quot;;&quot;(&quot;#,##0.0&quot;)&quot;;&quot;- &quot;"/>
    <numFmt numFmtId="166" formatCode="0.0%"/>
    <numFmt numFmtId="167" formatCode="dd&quot; &quot;mmm&quot; &quot;yyyy"/>
    <numFmt numFmtId="168" formatCode="&quot; &quot;* #,##0.000000&quot; &quot;;&quot; &quot;* &quot;(&quot;#,##0.000000&quot;)&quot;;&quot; &quot;* &quot;-&quot;#&quot; &quot;;&quot; &quot;@&quot; &quot;"/>
    <numFmt numFmtId="169" formatCode="0.0000%"/>
    <numFmt numFmtId="170" formatCode="yyyy"/>
    <numFmt numFmtId="171" formatCode="#,##0&quot; &quot;;&quot;(&quot;#,##0&quot;)&quot;;&quot;- &quot;"/>
    <numFmt numFmtId="172" formatCode="0.00%&quot; &quot;;&quot;-&quot;0.00%&quot; &quot;;&quot;-  &quot;;&quot; &quot;@"/>
    <numFmt numFmtId="173" formatCode="#,##0.000&quot; &quot;;&quot;(&quot;#,##0.000&quot;)&quot;;&quot;- &quot;"/>
    <numFmt numFmtId="174" formatCode="#,##0.0000"/>
    <numFmt numFmtId="175" formatCode="&quot; &quot;* #,##0.00&quot; &quot;;&quot; &quot;* &quot;(&quot;#,##0.00&quot;)&quot;;&quot; &quot;* &quot;-&quot;#&quot; &quot;;&quot; &quot;@&quot; &quot;"/>
    <numFmt numFmtId="176" formatCode="0.000%"/>
    <numFmt numFmtId="177" formatCode="&quot; &quot;* #,##0&quot; &quot;;&quot; &quot;* &quot;(&quot;#,##0&quot;)&quot;;&quot; &quot;* &quot;-&quot;#&quot; &quot;;&quot; &quot;@&quot; &quot;"/>
    <numFmt numFmtId="178" formatCode="0.0"/>
    <numFmt numFmtId="179" formatCode="#,##0.000"/>
    <numFmt numFmtId="180" formatCode="#,##0.000000"/>
    <numFmt numFmtId="181" formatCode="0.000"/>
    <numFmt numFmtId="182" formatCode="&quot; &quot;* #,##0.000&quot; &quot;;&quot; &quot;* &quot;(&quot;#,##0.000&quot;)&quot;;&quot; &quot;* &quot;-&quot;#&quot; &quot;;&quot; &quot;@&quot; &quot;"/>
    <numFmt numFmtId="183" formatCode="#,##0.0"/>
    <numFmt numFmtId="184" formatCode="&quot; &quot;* #,##0.0000&quot; &quot;;&quot; &quot;* &quot;(&quot;#,##0.0000&quot;)&quot;;&quot; &quot;* &quot;-&quot;#&quot; &quot;;&quot; &quot;@&quot; &quot;"/>
    <numFmt numFmtId="185" formatCode="#,##0.0&quot; &quot;;[Red]&quot;-&quot;#,##0.0&quot; &quot;"/>
    <numFmt numFmtId="186" formatCode="[$£]#,##0.00&quot; &quot;;[Red]&quot;(&quot;[$£]#,##0.00&quot;)&quot;"/>
    <numFmt numFmtId="187" formatCode="0.0000"/>
    <numFmt numFmtId="188" formatCode="#,##0.00&quot; &quot;;&quot;(&quot;#,##0.00&quot;)&quot;;&quot;- &quot;"/>
    <numFmt numFmtId="189" formatCode="#,##0.0000&quot; &quot;;&quot;(&quot;#,##0.0000&quot;)&quot;;&quot;- &quot;"/>
    <numFmt numFmtId="190" formatCode="#,##0;&quot;-&quot;#,##0"/>
    <numFmt numFmtId="191" formatCode="#,##0&quot; &quot;;&quot;(&quot;#,##0&quot;)&quot;;&quot;-  &quot;;@"/>
    <numFmt numFmtId="192" formatCode="dd\-mmm\-yy&quot; &quot;;;&quot;-  &quot;;@"/>
    <numFmt numFmtId="193" formatCode="&quot; &quot;[$€-809]* #,##0.00&quot; &quot;;&quot;-&quot;[$€-809]* #,##0.00&quot; &quot;;&quot; &quot;[$€-809]* &quot;-&quot;#&quot; &quot;"/>
    <numFmt numFmtId="194" formatCode="[Magenta]&quot;Err&quot;;[Magenta]&quot;Err&quot;;[Blue]&quot;OK&quot;"/>
    <numFmt numFmtId="195" formatCode="&quot; .&quot;General"/>
    <numFmt numFmtId="196" formatCode="#,##0&quot; &quot;;[Red]&quot;(&quot;#,##0&quot;)&quot;;&quot;- &quot;"/>
    <numFmt numFmtId="197" formatCode="0.0&quot; &quot;%;[Red]&quot;(&quot;0.0%&quot;)&quot;;0.0&quot; &quot;%"/>
    <numFmt numFmtId="198" formatCode="[Red][&gt;1]&quot;&gt;100 %&quot;;[Red][&lt;0]&quot;(&quot;0.0%&quot;)&quot;;0.0&quot; &quot;%"/>
    <numFmt numFmtId="199" formatCode="#,##0.0000&quot; &quot;;&quot;(&quot;#,##0.0000&quot;)&quot;;&quot;-  &quot;;@"/>
    <numFmt numFmtId="200" formatCode="0.00%&quot; &quot;;&quot;-&quot;0.00%&quot; &quot;;&quot;-  &quot;;@"/>
  </numFmts>
  <fonts count="65"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G Omega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0"/>
      <color rgb="FF000000"/>
      <name val="Arial"/>
      <family val="2"/>
    </font>
    <font>
      <sz val="11"/>
      <color rgb="FFFF0000"/>
      <name val="Calibri"/>
      <family val="2"/>
    </font>
    <font>
      <b/>
      <sz val="11"/>
      <color rgb="FFFF9900"/>
      <name val="Calibri"/>
      <family val="2"/>
    </font>
    <font>
      <sz val="10"/>
      <color rgb="FF0000FF"/>
      <name val="Arial"/>
      <family val="2"/>
    </font>
    <font>
      <sz val="11"/>
      <color rgb="FF008000"/>
      <name val="Calibri"/>
      <family val="2"/>
    </font>
    <font>
      <sz val="10"/>
      <color rgb="FFC00000"/>
      <name val="Calibri"/>
      <family val="2"/>
    </font>
    <font>
      <sz val="10"/>
      <color rgb="FFBFBFBF"/>
      <name val="Calibri"/>
      <family val="2"/>
    </font>
    <font>
      <b/>
      <sz val="10"/>
      <color rgb="FF000000"/>
      <name val="Arial"/>
      <family val="2"/>
    </font>
    <font>
      <sz val="11"/>
      <color rgb="FF800080"/>
      <name val="Calibri"/>
      <family val="2"/>
    </font>
    <font>
      <b/>
      <sz val="11"/>
      <color rgb="FF000000"/>
      <name val="Calibri"/>
      <family val="2"/>
    </font>
    <font>
      <sz val="9"/>
      <color rgb="FF0000FF"/>
      <name val="Arial"/>
      <family val="2"/>
    </font>
    <font>
      <b/>
      <sz val="8"/>
      <color rgb="FF0000FF"/>
      <name val="Arial"/>
      <family val="2"/>
    </font>
    <font>
      <b/>
      <sz val="12"/>
      <color rgb="FF000000"/>
      <name val="Arial"/>
      <family val="2"/>
    </font>
    <font>
      <i/>
      <sz val="10"/>
      <color rgb="FF000000"/>
      <name val="Arial"/>
      <family val="2"/>
    </font>
    <font>
      <i/>
      <sz val="11"/>
      <color rgb="FF808080"/>
      <name val="Calibri"/>
      <family val="2"/>
    </font>
    <font>
      <b/>
      <sz val="11"/>
      <color rgb="FF1F497D"/>
      <name val="Verdana"/>
      <family val="2"/>
    </font>
    <font>
      <u/>
      <sz val="10"/>
      <color rgb="FF0000FF"/>
      <name val="Calibri"/>
      <family val="2"/>
    </font>
    <font>
      <u/>
      <sz val="8"/>
      <color rgb="FF0000FF"/>
      <name val="Arial"/>
      <family val="2"/>
    </font>
    <font>
      <sz val="11"/>
      <color rgb="FF333399"/>
      <name val="Calibri"/>
      <family val="2"/>
    </font>
    <font>
      <u/>
      <sz val="11"/>
      <color rgb="FF3366FF"/>
      <name val="CG Omega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b/>
      <sz val="14"/>
      <color rgb="FF000000"/>
      <name val="Arial"/>
      <family val="2"/>
    </font>
    <font>
      <sz val="10"/>
      <color rgb="FF000000"/>
      <name val="Verdana"/>
      <family val="2"/>
    </font>
    <font>
      <sz val="10"/>
      <color rgb="FF000000"/>
      <name val="Times New Roman"/>
      <family val="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i/>
      <sz val="10"/>
      <color rgb="FFFF0000"/>
      <name val="Arial"/>
      <family val="2"/>
    </font>
    <font>
      <b/>
      <sz val="18"/>
      <color rgb="FF003366"/>
      <name val="Cambria"/>
      <family val="1"/>
    </font>
    <font>
      <b/>
      <i/>
      <sz val="12"/>
      <color rgb="FF000000"/>
      <name val="Arial"/>
      <family val="2"/>
    </font>
    <font>
      <sz val="12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i/>
      <sz val="12"/>
      <color rgb="FF000000"/>
      <name val="Arial"/>
      <family val="2"/>
    </font>
    <font>
      <sz val="19"/>
      <color rgb="FF3366FF"/>
      <name val="Arial"/>
      <family val="2"/>
    </font>
    <font>
      <sz val="12"/>
      <color rgb="FFFF00FF"/>
      <name val="Arial"/>
      <family val="2"/>
    </font>
    <font>
      <b/>
      <sz val="18"/>
      <color rgb="FF333399"/>
      <name val="Cambria"/>
      <family val="1"/>
    </font>
    <font>
      <sz val="10"/>
      <color rgb="FF000000"/>
      <name val="Geneva"/>
    </font>
    <font>
      <b/>
      <sz val="11"/>
      <color rgb="FF333333"/>
      <name val="Calibri"/>
      <family val="2"/>
    </font>
    <font>
      <sz val="16"/>
      <color rgb="FF000000"/>
      <name val="Calibri"/>
      <family val="2"/>
    </font>
    <font>
      <sz val="12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2F2F2"/>
      <name val="Calibri"/>
      <family val="2"/>
    </font>
    <font>
      <sz val="10"/>
      <color rgb="FF366092"/>
      <name val="Calibri"/>
      <family val="2"/>
    </font>
    <font>
      <sz val="10"/>
      <color rgb="FF7030A0"/>
      <name val="Calibri"/>
      <family val="2"/>
    </font>
    <font>
      <i/>
      <sz val="10"/>
      <color rgb="FF000000"/>
      <name val="Calibri"/>
      <family val="2"/>
    </font>
    <font>
      <sz val="10"/>
      <color rgb="FFE6B8B7"/>
      <name val="Calibri"/>
      <family val="2"/>
    </font>
    <font>
      <u/>
      <sz val="10"/>
      <color rgb="FF000000"/>
      <name val="Calibri"/>
      <family val="2"/>
    </font>
    <font>
      <sz val="10"/>
      <color rgb="FF00B050"/>
      <name val="Calibri"/>
      <family val="2"/>
    </font>
    <font>
      <sz val="10"/>
      <color rgb="FFFF0000"/>
      <name val="Calibri"/>
      <family val="2"/>
    </font>
    <font>
      <b/>
      <u/>
      <sz val="10"/>
      <color rgb="FF000000"/>
      <name val="Calibri"/>
      <family val="2"/>
    </font>
    <font>
      <b/>
      <sz val="10"/>
      <color rgb="FF4F81BD"/>
      <name val="Calibri"/>
      <family val="2"/>
    </font>
    <font>
      <b/>
      <i/>
      <sz val="10"/>
      <color rgb="FF000000"/>
      <name val="Calibri"/>
      <family val="2"/>
    </font>
    <font>
      <i/>
      <sz val="10"/>
      <color rgb="FFC00000"/>
      <name val="Calibri"/>
      <family val="2"/>
    </font>
    <font>
      <i/>
      <sz val="10"/>
      <color rgb="FF366092"/>
      <name val="Calibri"/>
      <family val="2"/>
    </font>
    <font>
      <sz val="10"/>
      <color rgb="FF4F81BD"/>
      <name val="Calibri"/>
      <family val="2"/>
    </font>
    <font>
      <i/>
      <sz val="10"/>
      <color rgb="FFDA9694"/>
      <name val="Calibri"/>
      <family val="2"/>
    </font>
  </fonts>
  <fills count="44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993366"/>
        <bgColor rgb="FF993366"/>
      </patternFill>
    </fill>
    <fill>
      <patternFill patternType="solid">
        <fgColor rgb="FFC0C0C0"/>
        <bgColor rgb="FFC0C0C0"/>
      </patternFill>
    </fill>
    <fill>
      <patternFill patternType="solid">
        <fgColor rgb="FF003300"/>
        <bgColor rgb="FF003300"/>
      </patternFill>
    </fill>
    <fill>
      <patternFill patternType="solid">
        <fgColor rgb="FF00CCFF"/>
        <bgColor rgb="FF00CCFF"/>
      </patternFill>
    </fill>
    <fill>
      <patternFill patternType="solid">
        <fgColor rgb="FF993300"/>
        <bgColor rgb="FF993300"/>
      </patternFill>
    </fill>
    <fill>
      <patternFill patternType="solid">
        <fgColor rgb="FF99CC00"/>
        <bgColor rgb="FF99CC00"/>
      </patternFill>
    </fill>
    <fill>
      <patternFill patternType="solid">
        <fgColor rgb="FF969696"/>
        <bgColor rgb="FF969696"/>
      </patternFill>
    </fill>
    <fill>
      <patternFill patternType="solid">
        <fgColor rgb="FF666699"/>
        <bgColor rgb="FF666699"/>
      </patternFill>
    </fill>
    <fill>
      <patternFill patternType="solid">
        <fgColor rgb="FFFFFFCC"/>
        <bgColor rgb="FFFFFFCC"/>
      </patternFill>
    </fill>
    <fill>
      <patternFill patternType="solid">
        <fgColor rgb="FFFFFF99"/>
        <bgColor rgb="FFFFFF99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008080"/>
        <bgColor rgb="FF008080"/>
      </patternFill>
    </fill>
    <fill>
      <patternFill patternType="solid">
        <fgColor rgb="FF808080"/>
        <bgColor rgb="FF808080"/>
      </patternFill>
    </fill>
    <fill>
      <patternFill patternType="solid">
        <fgColor rgb="FFFFFFFF"/>
        <bgColor rgb="FFFFFFFF"/>
      </patternFill>
    </fill>
    <fill>
      <patternFill patternType="solid">
        <fgColor rgb="FF595959"/>
        <bgColor rgb="FF595959"/>
      </patternFill>
    </fill>
    <fill>
      <patternFill patternType="solid">
        <fgColor rgb="FFF2DCDB"/>
        <bgColor rgb="FFF2DCDB"/>
      </patternFill>
    </fill>
    <fill>
      <patternFill patternType="solid">
        <fgColor rgb="FF95B3D7"/>
        <bgColor rgb="FF95B3D7"/>
      </patternFill>
    </fill>
    <fill>
      <patternFill patternType="solid">
        <fgColor rgb="FFCCECFF"/>
        <bgColor rgb="FFCCECFF"/>
      </patternFill>
    </fill>
    <fill>
      <patternFill patternType="solid">
        <fgColor rgb="FFC4D79B"/>
        <bgColor rgb="FFC4D79B"/>
      </patternFill>
    </fill>
    <fill>
      <patternFill patternType="solid">
        <fgColor rgb="FFE6B8B7"/>
        <bgColor rgb="FFE6B8B7"/>
      </patternFill>
    </fill>
    <fill>
      <patternFill patternType="solid">
        <fgColor rgb="FFCCC0DA"/>
        <bgColor rgb="FFCCC0DA"/>
      </patternFill>
    </fill>
    <fill>
      <patternFill patternType="solid">
        <fgColor rgb="FFD8E4BC"/>
        <bgColor rgb="FFD8E4BC"/>
      </patternFill>
    </fill>
    <fill>
      <patternFill patternType="solid">
        <fgColor rgb="FFBFBFBF"/>
        <bgColor rgb="FFBFBFBF"/>
      </patternFill>
    </fill>
    <fill>
      <patternFill patternType="solid">
        <fgColor rgb="FFF79646"/>
        <bgColor rgb="FFF79646"/>
      </patternFill>
    </fill>
    <fill>
      <patternFill patternType="solid">
        <fgColor rgb="FFD9D9D9"/>
        <bgColor rgb="FFD9D9D9"/>
      </patternFill>
    </fill>
  </fills>
  <borders count="26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3366FF"/>
      </left>
      <right style="thin">
        <color rgb="FF3366FF"/>
      </right>
      <top style="thin">
        <color rgb="FF3366FF"/>
      </top>
      <bottom style="thin">
        <color rgb="FF3366FF"/>
      </bottom>
      <diagonal/>
    </border>
    <border>
      <left style="thin">
        <color rgb="FFCCFFFF"/>
      </left>
      <right style="thin">
        <color rgb="FF3366FF"/>
      </right>
      <top style="medium">
        <color rgb="FFCCFFFF"/>
      </top>
      <bottom style="thin">
        <color rgb="FF3366FF"/>
      </bottom>
      <diagonal/>
    </border>
    <border>
      <left style="thin">
        <color rgb="FF000080"/>
      </left>
      <right style="thin">
        <color rgb="FF000080"/>
      </right>
      <top style="thin">
        <color rgb="FF000080"/>
      </top>
      <bottom style="thin">
        <color rgb="FF000080"/>
      </bottom>
      <diagonal/>
    </border>
    <border>
      <left style="thin">
        <color rgb="FF003300"/>
      </left>
      <right style="medium">
        <color rgb="FF003300"/>
      </right>
      <top style="medium">
        <color rgb="FF003300"/>
      </top>
      <bottom style="thin">
        <color rgb="FF003300"/>
      </bottom>
      <diagonal/>
    </border>
    <border>
      <left/>
      <right/>
      <top style="thin">
        <color rgb="FF3366FF"/>
      </top>
      <bottom style="thin">
        <color rgb="FF3366FF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 style="thin">
        <color rgb="FF000000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486">
    <xf numFmtId="0" fontId="0" fillId="0" borderId="0"/>
    <xf numFmtId="17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" fillId="0" borderId="0" applyNumberFormat="0" applyFont="0" applyFill="0" applyBorder="0" applyAlignment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5" fillId="0" borderId="0" applyNumberFormat="0" applyBorder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2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3" fillId="20" borderId="0" applyNumberFormat="0" applyBorder="0" applyAlignment="0" applyProtection="0"/>
    <xf numFmtId="0" fontId="3" fillId="10" borderId="0" applyNumberFormat="0" applyBorder="0" applyAlignment="0" applyProtection="0"/>
    <xf numFmtId="0" fontId="4" fillId="21" borderId="0" applyNumberFormat="0" applyBorder="0" applyAlignment="0" applyProtection="0"/>
    <xf numFmtId="0" fontId="3" fillId="2" borderId="0" applyNumberFormat="0" applyBorder="0" applyAlignment="0" applyProtection="0"/>
    <xf numFmtId="0" fontId="3" fillId="22" borderId="0" applyNumberFormat="0" applyBorder="0" applyAlignment="0" applyProtection="0"/>
    <xf numFmtId="0" fontId="4" fillId="19" borderId="0" applyNumberFormat="0" applyBorder="0" applyAlignment="0" applyProtection="0"/>
    <xf numFmtId="0" fontId="3" fillId="6" borderId="0" applyNumberFormat="0" applyBorder="0" applyAlignment="0" applyProtection="0"/>
    <xf numFmtId="0" fontId="3" fillId="23" borderId="0" applyNumberFormat="0" applyBorder="0" applyAlignment="0" applyProtection="0"/>
    <xf numFmtId="0" fontId="4" fillId="18" borderId="0" applyNumberFormat="0" applyBorder="0" applyAlignment="0" applyProtection="0"/>
    <xf numFmtId="0" fontId="3" fillId="24" borderId="0" applyNumberFormat="0" applyBorder="0" applyAlignment="0" applyProtection="0"/>
    <xf numFmtId="0" fontId="3" fillId="7" borderId="0" applyNumberFormat="0" applyBorder="0" applyAlignment="0" applyProtection="0"/>
    <xf numFmtId="0" fontId="4" fillId="11" borderId="0" applyNumberFormat="0" applyBorder="0" applyAlignment="0" applyProtection="0"/>
    <xf numFmtId="0" fontId="6" fillId="0" borderId="0" applyNumberFormat="0" applyFill="0" applyBorder="0" applyAlignment="0" applyProtection="0"/>
    <xf numFmtId="0" fontId="1" fillId="24" borderId="1" applyNumberFormat="0" applyFont="0" applyAlignment="0" applyProtection="0"/>
    <xf numFmtId="0" fontId="1" fillId="24" borderId="1" applyNumberFormat="0" applyFont="0" applyAlignment="0" applyProtection="0"/>
    <xf numFmtId="0" fontId="1" fillId="24" borderId="1" applyNumberFormat="0" applyFont="0" applyAlignment="0" applyProtection="0"/>
    <xf numFmtId="0" fontId="1" fillId="24" borderId="1" applyNumberFormat="0" applyFont="0" applyAlignment="0" applyProtection="0"/>
    <xf numFmtId="0" fontId="1" fillId="24" borderId="1" applyNumberFormat="0" applyFont="0" applyAlignment="0" applyProtection="0"/>
    <xf numFmtId="0" fontId="1" fillId="24" borderId="1" applyNumberFormat="0" applyFont="0" applyAlignment="0" applyProtection="0"/>
    <xf numFmtId="0" fontId="1" fillId="24" borderId="1" applyNumberFormat="0" applyFont="0" applyAlignment="0" applyProtection="0"/>
    <xf numFmtId="0" fontId="1" fillId="24" borderId="1" applyNumberFormat="0" applyFon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164" fontId="8" fillId="25" borderId="3" applyAlignment="0">
      <protection locked="0"/>
    </xf>
    <xf numFmtId="0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90" fontId="12" fillId="0" borderId="4" applyProtection="0">
      <alignment horizontal="center"/>
    </xf>
    <xf numFmtId="190" fontId="12" fillId="0" borderId="0" applyBorder="0" applyProtection="0">
      <alignment horizontal="center" vertical="center" wrapText="1"/>
    </xf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91" fontId="5" fillId="0" borderId="0" applyBorder="0" applyProtection="0"/>
    <xf numFmtId="191" fontId="5" fillId="0" borderId="0" applyBorder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13" fillId="3" borderId="0" applyNumberFormat="0" applyBorder="0" applyAlignment="0" applyProtection="0"/>
    <xf numFmtId="192" fontId="5" fillId="0" borderId="0" applyBorder="0" applyProtection="0"/>
    <xf numFmtId="192" fontId="5" fillId="0" borderId="0" applyBorder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0" fontId="1" fillId="22" borderId="0" applyNumberFormat="0" applyFont="0" applyBorder="0" applyAlignment="0" applyProtection="0"/>
    <xf numFmtId="0" fontId="15" fillId="0" borderId="0" applyNumberFormat="0" applyFill="0" applyBorder="0" applyAlignment="0" applyProtection="0"/>
    <xf numFmtId="194" fontId="16" fillId="0" borderId="0" applyFill="0" applyBorder="0" applyProtection="0"/>
    <xf numFmtId="15" fontId="5" fillId="0" borderId="0" applyFill="0" applyBorder="0" applyProtection="0">
      <alignment horizontal="center"/>
    </xf>
    <xf numFmtId="0" fontId="1" fillId="3" borderId="0" applyNumberFormat="0" applyFont="0" applyBorder="0" applyAlignment="0" applyProtection="0"/>
    <xf numFmtId="195" fontId="17" fillId="17" borderId="5" applyAlignment="0" applyProtection="0"/>
    <xf numFmtId="195" fontId="17" fillId="17" borderId="5" applyAlignment="0" applyProtection="0"/>
    <xf numFmtId="195" fontId="17" fillId="17" borderId="5" applyAlignment="0" applyProtection="0"/>
    <xf numFmtId="195" fontId="17" fillId="17" borderId="5" applyAlignment="0" applyProtection="0"/>
    <xf numFmtId="196" fontId="12" fillId="0" borderId="0" applyFill="0" applyBorder="0" applyAlignment="0" applyProtection="0"/>
    <xf numFmtId="196" fontId="18" fillId="0" borderId="0" applyFill="0" applyBorder="0" applyAlignment="0" applyProtection="0"/>
    <xf numFmtId="15" fontId="8" fillId="25" borderId="3">
      <alignment horizontal="center"/>
      <protection locked="0"/>
    </xf>
    <xf numFmtId="15" fontId="8" fillId="25" borderId="3">
      <alignment horizontal="center"/>
      <protection locked="0"/>
    </xf>
    <xf numFmtId="197" fontId="8" fillId="25" borderId="3" applyAlignment="0">
      <protection locked="0"/>
    </xf>
    <xf numFmtId="197" fontId="8" fillId="25" borderId="3" applyAlignment="0">
      <protection locked="0"/>
    </xf>
    <xf numFmtId="196" fontId="8" fillId="25" borderId="3" applyAlignment="0">
      <protection locked="0"/>
    </xf>
    <xf numFmtId="196" fontId="8" fillId="25" borderId="3" applyAlignment="0">
      <protection locked="0"/>
    </xf>
    <xf numFmtId="0" fontId="5" fillId="0" borderId="0" applyNumberFormat="0" applyFill="0" applyBorder="0" applyAlignment="0" applyProtection="0"/>
    <xf numFmtId="196" fontId="5" fillId="0" borderId="0" applyFill="0" applyBorder="0" applyAlignment="0" applyProtection="0"/>
    <xf numFmtId="197" fontId="5" fillId="0" borderId="0" applyFill="0" applyBorder="0" applyAlignment="0" applyProtection="0"/>
    <xf numFmtId="198" fontId="5" fillId="0" borderId="0" applyFill="0" applyBorder="0" applyAlignment="0" applyProtection="0"/>
    <xf numFmtId="0" fontId="1" fillId="0" borderId="5" applyNumberFormat="0" applyFont="0" applyAlignment="0" applyProtection="0"/>
    <xf numFmtId="0" fontId="1" fillId="0" borderId="5" applyNumberFormat="0" applyFont="0" applyAlignment="0" applyProtection="0"/>
    <xf numFmtId="0" fontId="1" fillId="0" borderId="5" applyNumberFormat="0" applyFont="0" applyAlignment="0" applyProtection="0"/>
    <xf numFmtId="0" fontId="1" fillId="0" borderId="5" applyNumberFormat="0" applyFont="0" applyAlignment="0" applyProtection="0"/>
    <xf numFmtId="0" fontId="1" fillId="0" borderId="6" applyNumberFormat="0" applyFont="0" applyAlignment="0" applyProtection="0"/>
    <xf numFmtId="0" fontId="1" fillId="0" borderId="6" applyNumberFormat="0" applyFont="0" applyAlignment="0" applyProtection="0"/>
    <xf numFmtId="0" fontId="1" fillId="0" borderId="6" applyNumberFormat="0" applyFont="0" applyAlignment="0" applyProtection="0"/>
    <xf numFmtId="0" fontId="1" fillId="0" borderId="6" applyNumberFormat="0" applyFont="0" applyAlignment="0" applyProtection="0"/>
    <xf numFmtId="0" fontId="1" fillId="10" borderId="0" applyNumberFormat="0" applyFon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9" borderId="0" applyNumberFormat="0" applyBorder="0" applyAlignment="0" applyProtection="0"/>
    <xf numFmtId="0" fontId="19" fillId="0" borderId="0" applyNumberFormat="0" applyFill="0" applyBorder="0" applyAlignment="0" applyProtection="0"/>
    <xf numFmtId="199" fontId="5" fillId="0" borderId="0" applyBorder="0" applyProtection="0"/>
    <xf numFmtId="199" fontId="5" fillId="0" borderId="0" applyBorder="0" applyProtection="0"/>
    <xf numFmtId="0" fontId="19" fillId="0" borderId="0" applyNumberFormat="0" applyFill="0" applyBorder="0" applyAlignment="0" applyProtection="0"/>
    <xf numFmtId="0" fontId="1" fillId="0" borderId="0" applyNumberFormat="0" applyFont="0" applyFill="0" applyBorder="0" applyAlignment="0" applyProtection="0"/>
    <xf numFmtId="0" fontId="9" fillId="4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7" borderId="2" applyNumberFormat="0" applyAlignment="0" applyProtection="0"/>
    <xf numFmtId="0" fontId="23" fillId="7" borderId="2" applyNumberFormat="0" applyAlignment="0" applyProtection="0"/>
    <xf numFmtId="0" fontId="23" fillId="7" borderId="2" applyNumberFormat="0" applyAlignment="0" applyProtection="0"/>
    <xf numFmtId="0" fontId="23" fillId="7" borderId="2" applyNumberFormat="0" applyAlignment="0" applyProtection="0"/>
    <xf numFmtId="0" fontId="24" fillId="24" borderId="0" applyNumberFormat="0" applyBorder="0" applyProtection="0"/>
    <xf numFmtId="0" fontId="25" fillId="22" borderId="7" applyNumberFormat="0" applyAlignment="0" applyProtection="0"/>
    <xf numFmtId="0" fontId="25" fillId="22" borderId="7" applyNumberFormat="0" applyAlignment="0" applyProtection="0"/>
    <xf numFmtId="0" fontId="26" fillId="0" borderId="8" applyNumberFormat="0" applyFill="0" applyAlignment="0" applyProtection="0"/>
    <xf numFmtId="190" fontId="27" fillId="0" borderId="0" applyBorder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9" borderId="0" applyNumberFormat="0" applyBorder="0" applyAlignment="0" applyProtection="0"/>
    <xf numFmtId="196" fontId="5" fillId="22" borderId="0" applyBorder="0" applyProtection="0"/>
    <xf numFmtId="196" fontId="15" fillId="0" borderId="0" applyBorder="0" applyProtection="0"/>
    <xf numFmtId="194" fontId="16" fillId="0" borderId="0" applyBorder="0" applyProtection="0"/>
    <xf numFmtId="15" fontId="5" fillId="0" borderId="0" applyBorder="0" applyProtection="0">
      <alignment horizontal="center"/>
    </xf>
    <xf numFmtId="196" fontId="5" fillId="3" borderId="0" applyBorder="0" applyProtection="0"/>
    <xf numFmtId="195" fontId="17" fillId="17" borderId="5" applyProtection="0"/>
    <xf numFmtId="195" fontId="17" fillId="17" borderId="5" applyProtection="0"/>
    <xf numFmtId="195" fontId="17" fillId="17" borderId="5" applyProtection="0"/>
    <xf numFmtId="195" fontId="17" fillId="17" borderId="5" applyProtection="0"/>
    <xf numFmtId="196" fontId="12" fillId="0" borderId="0" applyBorder="0" applyProtection="0"/>
    <xf numFmtId="196" fontId="18" fillId="0" borderId="0" applyBorder="0" applyProtection="0"/>
    <xf numFmtId="15" fontId="8" fillId="25" borderId="3">
      <alignment horizontal="center"/>
      <protection locked="0"/>
    </xf>
    <xf numFmtId="15" fontId="8" fillId="25" borderId="3">
      <alignment horizontal="center"/>
      <protection locked="0"/>
    </xf>
    <xf numFmtId="15" fontId="8" fillId="25" borderId="3">
      <alignment horizontal="center"/>
      <protection locked="0"/>
    </xf>
    <xf numFmtId="15" fontId="8" fillId="25" borderId="3">
      <alignment horizontal="center"/>
      <protection locked="0"/>
    </xf>
    <xf numFmtId="197" fontId="8" fillId="25" borderId="3">
      <protection locked="0"/>
    </xf>
    <xf numFmtId="197" fontId="8" fillId="25" borderId="3">
      <protection locked="0"/>
    </xf>
    <xf numFmtId="196" fontId="8" fillId="25" borderId="3">
      <protection locked="0"/>
    </xf>
    <xf numFmtId="196" fontId="8" fillId="25" borderId="3">
      <protection locked="0"/>
    </xf>
    <xf numFmtId="196" fontId="5" fillId="0" borderId="0" applyBorder="0" applyProtection="0"/>
    <xf numFmtId="197" fontId="5" fillId="0" borderId="0" applyBorder="0" applyProtection="0"/>
    <xf numFmtId="198" fontId="5" fillId="0" borderId="0" applyBorder="0" applyProtection="0"/>
    <xf numFmtId="196" fontId="5" fillId="0" borderId="5" applyProtection="0"/>
    <xf numFmtId="196" fontId="5" fillId="0" borderId="5" applyProtection="0"/>
    <xf numFmtId="196" fontId="5" fillId="0" borderId="5" applyProtection="0"/>
    <xf numFmtId="196" fontId="5" fillId="0" borderId="5" applyProtection="0"/>
    <xf numFmtId="196" fontId="5" fillId="0" borderId="6" applyProtection="0"/>
    <xf numFmtId="196" fontId="5" fillId="0" borderId="6" applyProtection="0"/>
    <xf numFmtId="196" fontId="5" fillId="0" borderId="6" applyProtection="0"/>
    <xf numFmtId="196" fontId="5" fillId="0" borderId="6" applyProtection="0"/>
    <xf numFmtId="196" fontId="5" fillId="10" borderId="0" applyBorder="0" applyProtection="0"/>
    <xf numFmtId="0" fontId="28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28" fillId="0" borderId="0" applyNumberFormat="0" applyBorder="0" applyProtection="0"/>
    <xf numFmtId="0" fontId="28" fillId="0" borderId="0" applyNumberFormat="0" applyBorder="0" applyProtection="0"/>
    <xf numFmtId="0" fontId="28" fillId="0" borderId="0" applyNumberFormat="0" applyBorder="0" applyProtection="0"/>
    <xf numFmtId="0" fontId="28" fillId="0" borderId="0" applyNumberFormat="0" applyBorder="0" applyProtection="0"/>
    <xf numFmtId="0" fontId="28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28" fillId="0" borderId="0" applyNumberFormat="0" applyBorder="0" applyProtection="0"/>
    <xf numFmtId="0" fontId="29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29" fillId="0" borderId="0" applyNumberFormat="0" applyBorder="0" applyProtection="0"/>
    <xf numFmtId="196" fontId="5" fillId="0" borderId="0" applyFill="0" applyBorder="0" applyAlignment="0" applyProtection="0"/>
    <xf numFmtId="0" fontId="3" fillId="0" borderId="0" applyNumberFormat="0" applyBorder="0" applyProtection="0"/>
    <xf numFmtId="0" fontId="28" fillId="0" borderId="0" applyNumberFormat="0" applyBorder="0" applyProtection="0"/>
    <xf numFmtId="0" fontId="5" fillId="0" borderId="0" applyNumberFormat="0" applyBorder="0" applyProtection="0"/>
    <xf numFmtId="0" fontId="28" fillId="0" borderId="0" applyNumberFormat="0" applyBorder="0" applyProtection="0"/>
    <xf numFmtId="0" fontId="28" fillId="0" borderId="0" applyNumberFormat="0" applyBorder="0" applyProtection="0"/>
    <xf numFmtId="196" fontId="5" fillId="0" borderId="0" applyFill="0" applyBorder="0" applyAlignment="0" applyProtection="0"/>
    <xf numFmtId="196" fontId="5" fillId="0" borderId="0" applyFill="0" applyBorder="0" applyAlignment="0" applyProtection="0"/>
    <xf numFmtId="196" fontId="5" fillId="0" borderId="0" applyFill="0" applyBorder="0" applyAlignment="0" applyProtection="0"/>
    <xf numFmtId="196" fontId="5" fillId="0" borderId="0" applyFill="0" applyBorder="0" applyAlignment="0" applyProtection="0"/>
    <xf numFmtId="196" fontId="5" fillId="0" borderId="0" applyFill="0" applyBorder="0" applyAlignment="0" applyProtection="0"/>
    <xf numFmtId="196" fontId="5" fillId="0" borderId="0" applyFill="0" applyBorder="0" applyAlignment="0" applyProtection="0"/>
    <xf numFmtId="0" fontId="28" fillId="0" borderId="0" applyNumberFormat="0" applyBorder="0" applyProtection="0"/>
    <xf numFmtId="0" fontId="28" fillId="0" borderId="0" applyNumberFormat="0" applyBorder="0" applyProtection="0"/>
    <xf numFmtId="0" fontId="5" fillId="0" borderId="0" applyNumberFormat="0" applyBorder="0" applyProtection="0"/>
    <xf numFmtId="0" fontId="28" fillId="0" borderId="0" applyNumberFormat="0" applyBorder="0" applyProtection="0"/>
    <xf numFmtId="196" fontId="5" fillId="0" borderId="0" applyFill="0" applyBorder="0" applyAlignment="0" applyProtection="0"/>
    <xf numFmtId="196" fontId="5" fillId="0" borderId="0" applyFill="0" applyBorder="0" applyAlignment="0" applyProtection="0"/>
    <xf numFmtId="196" fontId="5" fillId="0" borderId="0" applyFill="0" applyBorder="0" applyAlignment="0" applyProtection="0"/>
    <xf numFmtId="196" fontId="5" fillId="0" borderId="0" applyFill="0" applyBorder="0" applyAlignment="0" applyProtection="0"/>
    <xf numFmtId="196" fontId="5" fillId="0" borderId="0" applyFill="0" applyBorder="0" applyAlignment="0" applyProtection="0"/>
    <xf numFmtId="196" fontId="5" fillId="0" borderId="0" applyFill="0" applyBorder="0" applyAlignment="0" applyProtection="0"/>
    <xf numFmtId="196" fontId="5" fillId="0" borderId="0" applyFill="0" applyBorder="0" applyAlignment="0" applyProtection="0"/>
    <xf numFmtId="0" fontId="28" fillId="0" borderId="0" applyNumberFormat="0" applyBorder="0" applyProtection="0"/>
    <xf numFmtId="0" fontId="28" fillId="0" borderId="0" applyNumberFormat="0" applyBorder="0" applyProtection="0"/>
    <xf numFmtId="0" fontId="5" fillId="0" borderId="0" applyNumberFormat="0" applyBorder="0" applyProtection="0"/>
    <xf numFmtId="0" fontId="28" fillId="0" borderId="0" applyNumberFormat="0" applyBorder="0" applyProtection="0"/>
    <xf numFmtId="0" fontId="2" fillId="0" borderId="0" applyNumberFormat="0" applyBorder="0" applyProtection="0"/>
    <xf numFmtId="0" fontId="28" fillId="0" borderId="0" applyNumberFormat="0" applyBorder="0" applyProtection="0"/>
    <xf numFmtId="0" fontId="5" fillId="0" borderId="0" applyNumberFormat="0" applyBorder="0" applyProtection="0"/>
    <xf numFmtId="0" fontId="28" fillId="0" borderId="0" applyNumberFormat="0" applyBorder="0" applyProtection="0"/>
    <xf numFmtId="0" fontId="28" fillId="0" borderId="0" applyNumberFormat="0" applyBorder="0" applyProtection="0"/>
    <xf numFmtId="0" fontId="28" fillId="0" borderId="0" applyNumberFormat="0" applyBorder="0" applyProtection="0"/>
    <xf numFmtId="0" fontId="28" fillId="0" borderId="0" applyNumberFormat="0" applyBorder="0" applyProtection="0"/>
    <xf numFmtId="0" fontId="28" fillId="0" borderId="0" applyNumberFormat="0" applyBorder="0" applyProtection="0"/>
    <xf numFmtId="0" fontId="28" fillId="0" borderId="0" applyNumberFormat="0" applyBorder="0" applyProtection="0"/>
    <xf numFmtId="0" fontId="28" fillId="0" borderId="0" applyNumberFormat="0" applyBorder="0" applyProtection="0"/>
    <xf numFmtId="0" fontId="28" fillId="0" borderId="0" applyNumberFormat="0" applyBorder="0" applyProtection="0"/>
    <xf numFmtId="0" fontId="28" fillId="0" borderId="0" applyNumberFormat="0" applyBorder="0" applyProtection="0"/>
    <xf numFmtId="0" fontId="28" fillId="0" borderId="0" applyNumberFormat="0" applyBorder="0" applyProtection="0"/>
    <xf numFmtId="0" fontId="28" fillId="0" borderId="0" applyNumberFormat="0" applyBorder="0" applyProtection="0"/>
    <xf numFmtId="0" fontId="28" fillId="0" borderId="0" applyNumberFormat="0" applyBorder="0" applyProtection="0"/>
    <xf numFmtId="0" fontId="28" fillId="0" borderId="0" applyNumberFormat="0" applyBorder="0" applyProtection="0"/>
    <xf numFmtId="0" fontId="28" fillId="0" borderId="0" applyNumberFormat="0" applyBorder="0" applyProtection="0"/>
    <xf numFmtId="0" fontId="28" fillId="0" borderId="0" applyNumberFormat="0" applyBorder="0" applyProtection="0"/>
    <xf numFmtId="0" fontId="1" fillId="24" borderId="1" applyNumberFormat="0" applyFont="0" applyAlignment="0" applyProtection="0"/>
    <xf numFmtId="0" fontId="1" fillId="24" borderId="1" applyNumberFormat="0" applyFont="0" applyAlignment="0" applyProtection="0"/>
    <xf numFmtId="0" fontId="1" fillId="24" borderId="1" applyNumberFormat="0" applyFont="0" applyAlignment="0" applyProtection="0"/>
    <xf numFmtId="0" fontId="1" fillId="24" borderId="1" applyNumberFormat="0" applyFont="0" applyAlignment="0" applyProtection="0"/>
    <xf numFmtId="0" fontId="1" fillId="24" borderId="1" applyNumberFormat="0" applyFont="0" applyAlignment="0" applyProtection="0"/>
    <xf numFmtId="0" fontId="1" fillId="24" borderId="1" applyNumberFormat="0" applyFont="0" applyAlignment="0" applyProtection="0"/>
    <xf numFmtId="0" fontId="1" fillId="24" borderId="1" applyNumberFormat="0" applyFont="0" applyAlignment="0" applyProtection="0"/>
    <xf numFmtId="0" fontId="1" fillId="24" borderId="1" applyNumberFormat="0" applyFont="0" applyAlignment="0" applyProtection="0"/>
    <xf numFmtId="0" fontId="30" fillId="0" borderId="9" applyNumberFormat="0" applyFill="0" applyAlignment="0" applyProtection="0"/>
    <xf numFmtId="0" fontId="31" fillId="0" borderId="10" applyNumberFormat="0" applyFill="0" applyAlignment="0" applyProtection="0"/>
    <xf numFmtId="0" fontId="32" fillId="0" borderId="11" applyNumberFormat="0" applyFill="0" applyAlignment="0" applyProtection="0"/>
    <xf numFmtId="0" fontId="32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00" fontId="5" fillId="0" borderId="0" applyBorder="0" applyProtection="0"/>
    <xf numFmtId="200" fontId="5" fillId="0" borderId="0" applyBorder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3" fillId="0" borderId="0" applyNumberFormat="0" applyBorder="0" applyProtection="0"/>
    <xf numFmtId="0" fontId="34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10" applyNumberFormat="0" applyFill="0" applyAlignment="0" applyProtection="0"/>
    <xf numFmtId="0" fontId="32" fillId="0" borderId="11" applyNumberFormat="0" applyFill="0" applyAlignment="0" applyProtection="0"/>
    <xf numFmtId="0" fontId="32" fillId="0" borderId="0" applyNumberFormat="0" applyFill="0" applyBorder="0" applyAlignment="0" applyProtection="0"/>
    <xf numFmtId="0" fontId="26" fillId="0" borderId="8" applyNumberFormat="0" applyFill="0" applyAlignment="0" applyProtection="0"/>
    <xf numFmtId="4" fontId="17" fillId="25" borderId="12" applyProtection="0">
      <alignment vertical="center"/>
    </xf>
    <xf numFmtId="4" fontId="17" fillId="25" borderId="12" applyProtection="0">
      <alignment vertical="center"/>
    </xf>
    <xf numFmtId="4" fontId="17" fillId="25" borderId="12" applyProtection="0">
      <alignment vertical="center"/>
    </xf>
    <xf numFmtId="4" fontId="17" fillId="25" borderId="12" applyProtection="0">
      <alignment vertical="center"/>
    </xf>
    <xf numFmtId="4" fontId="35" fillId="25" borderId="12" applyProtection="0">
      <alignment vertical="center"/>
    </xf>
    <xf numFmtId="4" fontId="35" fillId="25" borderId="12" applyProtection="0">
      <alignment vertical="center"/>
    </xf>
    <xf numFmtId="4" fontId="35" fillId="25" borderId="12" applyProtection="0">
      <alignment vertical="center"/>
    </xf>
    <xf numFmtId="4" fontId="35" fillId="25" borderId="12" applyProtection="0">
      <alignment vertical="center"/>
    </xf>
    <xf numFmtId="4" fontId="36" fillId="25" borderId="12" applyProtection="0">
      <alignment horizontal="left" vertical="center" indent="1"/>
    </xf>
    <xf numFmtId="4" fontId="36" fillId="25" borderId="12" applyProtection="0">
      <alignment horizontal="left" vertical="center" indent="1"/>
    </xf>
    <xf numFmtId="4" fontId="36" fillId="25" borderId="12" applyProtection="0">
      <alignment horizontal="left" vertical="center" indent="1"/>
    </xf>
    <xf numFmtId="4" fontId="36" fillId="25" borderId="12" applyProtection="0">
      <alignment horizontal="left" vertical="center" indent="1"/>
    </xf>
    <xf numFmtId="0" fontId="37" fillId="25" borderId="12" applyNumberFormat="0" applyProtection="0">
      <alignment horizontal="left" vertical="top" indent="1"/>
    </xf>
    <xf numFmtId="0" fontId="37" fillId="25" borderId="12" applyNumberFormat="0" applyProtection="0">
      <alignment horizontal="left" vertical="top" indent="1"/>
    </xf>
    <xf numFmtId="0" fontId="37" fillId="25" borderId="12" applyNumberFormat="0" applyProtection="0">
      <alignment horizontal="left" vertical="top" indent="1"/>
    </xf>
    <xf numFmtId="0" fontId="37" fillId="25" borderId="12" applyNumberFormat="0" applyProtection="0">
      <alignment horizontal="left" vertical="top" indent="1"/>
    </xf>
    <xf numFmtId="4" fontId="36" fillId="23" borderId="0" applyBorder="0" applyProtection="0">
      <alignment horizontal="left" vertical="center" indent="1"/>
    </xf>
    <xf numFmtId="4" fontId="36" fillId="27" borderId="12" applyProtection="0">
      <alignment horizontal="right" vertical="center"/>
    </xf>
    <xf numFmtId="4" fontId="36" fillId="27" borderId="12" applyProtection="0">
      <alignment horizontal="right" vertical="center"/>
    </xf>
    <xf numFmtId="4" fontId="36" fillId="27" borderId="12" applyProtection="0">
      <alignment horizontal="right" vertical="center"/>
    </xf>
    <xf numFmtId="4" fontId="36" fillId="27" borderId="12" applyProtection="0">
      <alignment horizontal="right" vertical="center"/>
    </xf>
    <xf numFmtId="4" fontId="36" fillId="3" borderId="12" applyProtection="0">
      <alignment horizontal="right" vertical="center"/>
    </xf>
    <xf numFmtId="4" fontId="36" fillId="3" borderId="12" applyProtection="0">
      <alignment horizontal="right" vertical="center"/>
    </xf>
    <xf numFmtId="4" fontId="36" fillId="3" borderId="12" applyProtection="0">
      <alignment horizontal="right" vertical="center"/>
    </xf>
    <xf numFmtId="4" fontId="36" fillId="3" borderId="12" applyProtection="0">
      <alignment horizontal="right" vertical="center"/>
    </xf>
    <xf numFmtId="4" fontId="36" fillId="9" borderId="12" applyProtection="0">
      <alignment horizontal="right" vertical="center"/>
    </xf>
    <xf numFmtId="4" fontId="36" fillId="9" borderId="12" applyProtection="0">
      <alignment horizontal="right" vertical="center"/>
    </xf>
    <xf numFmtId="4" fontId="36" fillId="9" borderId="12" applyProtection="0">
      <alignment horizontal="right" vertical="center"/>
    </xf>
    <xf numFmtId="4" fontId="36" fillId="9" borderId="12" applyProtection="0">
      <alignment horizontal="right" vertical="center"/>
    </xf>
    <xf numFmtId="4" fontId="36" fillId="4" borderId="12" applyProtection="0">
      <alignment horizontal="right" vertical="center"/>
    </xf>
    <xf numFmtId="4" fontId="36" fillId="4" borderId="12" applyProtection="0">
      <alignment horizontal="right" vertical="center"/>
    </xf>
    <xf numFmtId="4" fontId="36" fillId="4" borderId="12" applyProtection="0">
      <alignment horizontal="right" vertical="center"/>
    </xf>
    <xf numFmtId="4" fontId="36" fillId="4" borderId="12" applyProtection="0">
      <alignment horizontal="right" vertical="center"/>
    </xf>
    <xf numFmtId="4" fontId="36" fillId="11" borderId="12" applyProtection="0">
      <alignment horizontal="right" vertical="center"/>
    </xf>
    <xf numFmtId="4" fontId="36" fillId="11" borderId="12" applyProtection="0">
      <alignment horizontal="right" vertical="center"/>
    </xf>
    <xf numFmtId="4" fontId="36" fillId="11" borderId="12" applyProtection="0">
      <alignment horizontal="right" vertical="center"/>
    </xf>
    <xf numFmtId="4" fontId="36" fillId="11" borderId="12" applyProtection="0">
      <alignment horizontal="right" vertical="center"/>
    </xf>
    <xf numFmtId="4" fontId="36" fillId="7" borderId="12" applyProtection="0">
      <alignment horizontal="right" vertical="center"/>
    </xf>
    <xf numFmtId="4" fontId="36" fillId="7" borderId="12" applyProtection="0">
      <alignment horizontal="right" vertical="center"/>
    </xf>
    <xf numFmtId="4" fontId="36" fillId="7" borderId="12" applyProtection="0">
      <alignment horizontal="right" vertical="center"/>
    </xf>
    <xf numFmtId="4" fontId="36" fillId="7" borderId="12" applyProtection="0">
      <alignment horizontal="right" vertical="center"/>
    </xf>
    <xf numFmtId="4" fontId="36" fillId="21" borderId="12" applyProtection="0">
      <alignment horizontal="right" vertical="center"/>
    </xf>
    <xf numFmtId="4" fontId="36" fillId="21" borderId="12" applyProtection="0">
      <alignment horizontal="right" vertical="center"/>
    </xf>
    <xf numFmtId="4" fontId="36" fillId="21" borderId="12" applyProtection="0">
      <alignment horizontal="right" vertical="center"/>
    </xf>
    <xf numFmtId="4" fontId="36" fillId="21" borderId="12" applyProtection="0">
      <alignment horizontal="right" vertical="center"/>
    </xf>
    <xf numFmtId="4" fontId="36" fillId="28" borderId="12" applyProtection="0">
      <alignment horizontal="right" vertical="center"/>
    </xf>
    <xf numFmtId="4" fontId="36" fillId="28" borderId="12" applyProtection="0">
      <alignment horizontal="right" vertical="center"/>
    </xf>
    <xf numFmtId="4" fontId="36" fillId="28" borderId="12" applyProtection="0">
      <alignment horizontal="right" vertical="center"/>
    </xf>
    <xf numFmtId="4" fontId="36" fillId="28" borderId="12" applyProtection="0">
      <alignment horizontal="right" vertical="center"/>
    </xf>
    <xf numFmtId="4" fontId="36" fillId="30" borderId="12" applyProtection="0">
      <alignment horizontal="right" vertical="center"/>
    </xf>
    <xf numFmtId="4" fontId="36" fillId="30" borderId="12" applyProtection="0">
      <alignment horizontal="right" vertical="center"/>
    </xf>
    <xf numFmtId="4" fontId="36" fillId="30" borderId="12" applyProtection="0">
      <alignment horizontal="right" vertical="center"/>
    </xf>
    <xf numFmtId="4" fontId="36" fillId="30" borderId="12" applyProtection="0">
      <alignment horizontal="right" vertical="center"/>
    </xf>
    <xf numFmtId="4" fontId="17" fillId="0" borderId="13" applyFill="0" applyProtection="0">
      <alignment horizontal="left" vertical="center" indent="1"/>
    </xf>
    <xf numFmtId="4" fontId="17" fillId="8" borderId="0" applyBorder="0" applyProtection="0">
      <alignment horizontal="left" vertical="center" indent="1"/>
    </xf>
    <xf numFmtId="4" fontId="17" fillId="23" borderId="0" applyBorder="0" applyProtection="0">
      <alignment horizontal="left" vertical="center" indent="1"/>
    </xf>
    <xf numFmtId="4" fontId="36" fillId="8" borderId="12" applyProtection="0">
      <alignment horizontal="right" vertical="center"/>
    </xf>
    <xf numFmtId="4" fontId="36" fillId="8" borderId="12" applyProtection="0">
      <alignment horizontal="right" vertical="center"/>
    </xf>
    <xf numFmtId="4" fontId="36" fillId="8" borderId="12" applyProtection="0">
      <alignment horizontal="right" vertical="center"/>
    </xf>
    <xf numFmtId="4" fontId="36" fillId="8" borderId="12" applyProtection="0">
      <alignment horizontal="right" vertical="center"/>
    </xf>
    <xf numFmtId="4" fontId="5" fillId="8" borderId="0" applyBorder="0" applyProtection="0">
      <alignment horizontal="left" vertical="center" indent="1"/>
    </xf>
    <xf numFmtId="4" fontId="5" fillId="23" borderId="0" applyBorder="0" applyProtection="0">
      <alignment horizontal="left" vertical="center" indent="1"/>
    </xf>
    <xf numFmtId="0" fontId="38" fillId="17" borderId="14" applyNumberFormat="0" applyProtection="0">
      <alignment horizontal="left" vertical="center" indent="1"/>
    </xf>
    <xf numFmtId="0" fontId="38" fillId="17" borderId="14" applyNumberFormat="0" applyProtection="0">
      <alignment horizontal="left" vertical="center" indent="1"/>
    </xf>
    <xf numFmtId="0" fontId="38" fillId="17" borderId="14" applyNumberFormat="0" applyProtection="0">
      <alignment horizontal="left" vertical="center" indent="1"/>
    </xf>
    <xf numFmtId="0" fontId="38" fillId="17" borderId="14" applyNumberFormat="0" applyProtection="0">
      <alignment horizontal="left" vertical="center" indent="1"/>
    </xf>
    <xf numFmtId="0" fontId="38" fillId="23" borderId="12" applyNumberFormat="0" applyProtection="0">
      <alignment horizontal="left" vertical="top" indent="1"/>
    </xf>
    <xf numFmtId="0" fontId="38" fillId="23" borderId="12" applyNumberFormat="0" applyProtection="0">
      <alignment horizontal="left" vertical="top" indent="1"/>
    </xf>
    <xf numFmtId="0" fontId="38" fillId="23" borderId="12" applyNumberFormat="0" applyProtection="0">
      <alignment horizontal="left" vertical="top" indent="1"/>
    </xf>
    <xf numFmtId="0" fontId="38" fillId="23" borderId="12" applyNumberFormat="0" applyProtection="0">
      <alignment horizontal="left" vertical="top" indent="1"/>
    </xf>
    <xf numFmtId="0" fontId="38" fillId="31" borderId="14" applyNumberFormat="0" applyProtection="0">
      <alignment horizontal="left" vertical="center" indent="1"/>
    </xf>
    <xf numFmtId="0" fontId="38" fillId="31" borderId="14" applyNumberFormat="0" applyProtection="0">
      <alignment horizontal="left" vertical="center" indent="1"/>
    </xf>
    <xf numFmtId="0" fontId="38" fillId="31" borderId="14" applyNumberFormat="0" applyProtection="0">
      <alignment horizontal="left" vertical="center" indent="1"/>
    </xf>
    <xf numFmtId="0" fontId="38" fillId="31" borderId="14" applyNumberFormat="0" applyProtection="0">
      <alignment horizontal="left" vertical="center" indent="1"/>
    </xf>
    <xf numFmtId="0" fontId="38" fillId="19" borderId="12" applyNumberFormat="0" applyProtection="0">
      <alignment horizontal="left" vertical="top" indent="1"/>
    </xf>
    <xf numFmtId="0" fontId="38" fillId="19" borderId="12" applyNumberFormat="0" applyProtection="0">
      <alignment horizontal="left" vertical="top" indent="1"/>
    </xf>
    <xf numFmtId="0" fontId="38" fillId="19" borderId="12" applyNumberFormat="0" applyProtection="0">
      <alignment horizontal="left" vertical="top" indent="1"/>
    </xf>
    <xf numFmtId="0" fontId="38" fillId="19" borderId="12" applyNumberFormat="0" applyProtection="0">
      <alignment horizontal="left" vertical="top" indent="1"/>
    </xf>
    <xf numFmtId="0" fontId="38" fillId="8" borderId="14" applyNumberFormat="0" applyProtection="0">
      <alignment horizontal="left" vertical="center" indent="1"/>
    </xf>
    <xf numFmtId="0" fontId="38" fillId="8" borderId="14" applyNumberFormat="0" applyProtection="0">
      <alignment horizontal="left" vertical="center" indent="1"/>
    </xf>
    <xf numFmtId="0" fontId="38" fillId="8" borderId="14" applyNumberFormat="0" applyProtection="0">
      <alignment horizontal="left" vertical="center" indent="1"/>
    </xf>
    <xf numFmtId="0" fontId="38" fillId="8" borderId="14" applyNumberFormat="0" applyProtection="0">
      <alignment horizontal="left" vertical="center" indent="1"/>
    </xf>
    <xf numFmtId="0" fontId="38" fillId="8" borderId="12" applyNumberFormat="0" applyProtection="0">
      <alignment horizontal="left" vertical="top" indent="1"/>
    </xf>
    <xf numFmtId="0" fontId="38" fillId="8" borderId="12" applyNumberFormat="0" applyProtection="0">
      <alignment horizontal="left" vertical="top" indent="1"/>
    </xf>
    <xf numFmtId="0" fontId="38" fillId="8" borderId="12" applyNumberFormat="0" applyProtection="0">
      <alignment horizontal="left" vertical="top" indent="1"/>
    </xf>
    <xf numFmtId="0" fontId="38" fillId="8" borderId="12" applyNumberFormat="0" applyProtection="0">
      <alignment horizontal="left" vertical="top" indent="1"/>
    </xf>
    <xf numFmtId="0" fontId="38" fillId="6" borderId="14" applyNumberFormat="0" applyProtection="0">
      <alignment horizontal="left" vertical="center" indent="1"/>
    </xf>
    <xf numFmtId="0" fontId="38" fillId="6" borderId="14" applyNumberFormat="0" applyProtection="0">
      <alignment horizontal="left" vertical="center" indent="1"/>
    </xf>
    <xf numFmtId="0" fontId="38" fillId="6" borderId="14" applyNumberFormat="0" applyProtection="0">
      <alignment horizontal="left" vertical="center" indent="1"/>
    </xf>
    <xf numFmtId="0" fontId="38" fillId="6" borderId="14" applyNumberFormat="0" applyProtection="0">
      <alignment horizontal="left" vertical="center" indent="1"/>
    </xf>
    <xf numFmtId="0" fontId="38" fillId="6" borderId="12" applyNumberFormat="0" applyProtection="0">
      <alignment horizontal="left" vertical="top" indent="1"/>
    </xf>
    <xf numFmtId="0" fontId="38" fillId="6" borderId="12" applyNumberFormat="0" applyProtection="0">
      <alignment horizontal="left" vertical="top" indent="1"/>
    </xf>
    <xf numFmtId="0" fontId="38" fillId="6" borderId="12" applyNumberFormat="0" applyProtection="0">
      <alignment horizontal="left" vertical="top" indent="1"/>
    </xf>
    <xf numFmtId="0" fontId="38" fillId="6" borderId="12" applyNumberFormat="0" applyProtection="0">
      <alignment horizontal="left" vertical="top" indent="1"/>
    </xf>
    <xf numFmtId="0" fontId="38" fillId="32" borderId="15" applyNumberFormat="0">
      <protection locked="0"/>
    </xf>
    <xf numFmtId="0" fontId="37" fillId="23" borderId="0" applyNumberFormat="0" applyBorder="0" applyProtection="0"/>
    <xf numFmtId="0" fontId="37" fillId="23" borderId="0" applyNumberFormat="0" applyBorder="0" applyProtection="0"/>
    <xf numFmtId="0" fontId="37" fillId="23" borderId="0" applyNumberFormat="0" applyBorder="0" applyProtection="0"/>
    <xf numFmtId="0" fontId="37" fillId="23" borderId="0" applyNumberFormat="0" applyBorder="0" applyProtection="0"/>
    <xf numFmtId="4" fontId="36" fillId="6" borderId="12" applyProtection="0">
      <alignment vertical="center"/>
    </xf>
    <xf numFmtId="4" fontId="36" fillId="6" borderId="12" applyProtection="0">
      <alignment vertical="center"/>
    </xf>
    <xf numFmtId="4" fontId="36" fillId="6" borderId="12" applyProtection="0">
      <alignment vertical="center"/>
    </xf>
    <xf numFmtId="4" fontId="36" fillId="6" borderId="12" applyProtection="0">
      <alignment vertical="center"/>
    </xf>
    <xf numFmtId="4" fontId="39" fillId="6" borderId="12" applyProtection="0">
      <alignment vertical="center"/>
    </xf>
    <xf numFmtId="4" fontId="39" fillId="6" borderId="12" applyProtection="0">
      <alignment vertical="center"/>
    </xf>
    <xf numFmtId="4" fontId="39" fillId="6" borderId="12" applyProtection="0">
      <alignment vertical="center"/>
    </xf>
    <xf numFmtId="4" fontId="39" fillId="6" borderId="12" applyProtection="0">
      <alignment vertical="center"/>
    </xf>
    <xf numFmtId="4" fontId="17" fillId="8" borderId="16" applyProtection="0">
      <alignment horizontal="left" vertical="center" indent="1"/>
    </xf>
    <xf numFmtId="4" fontId="17" fillId="8" borderId="16" applyProtection="0">
      <alignment horizontal="left" vertical="center" indent="1"/>
    </xf>
    <xf numFmtId="4" fontId="17" fillId="8" borderId="16" applyProtection="0">
      <alignment horizontal="left" vertical="center" indent="1"/>
    </xf>
    <xf numFmtId="4" fontId="17" fillId="8" borderId="16" applyProtection="0">
      <alignment horizontal="left" vertical="center" indent="1"/>
    </xf>
    <xf numFmtId="0" fontId="38" fillId="24" borderId="12" applyNumberFormat="0" applyProtection="0">
      <alignment horizontal="left" vertical="top" indent="1"/>
    </xf>
    <xf numFmtId="0" fontId="38" fillId="24" borderId="12" applyNumberFormat="0" applyProtection="0">
      <alignment horizontal="left" vertical="top" indent="1"/>
    </xf>
    <xf numFmtId="0" fontId="38" fillId="24" borderId="12" applyNumberFormat="0" applyProtection="0">
      <alignment horizontal="left" vertical="top" indent="1"/>
    </xf>
    <xf numFmtId="0" fontId="38" fillId="24" borderId="12" applyNumberFormat="0" applyProtection="0">
      <alignment horizontal="left" vertical="top" indent="1"/>
    </xf>
    <xf numFmtId="4" fontId="36" fillId="6" borderId="12" applyProtection="0">
      <alignment horizontal="right" vertical="center"/>
    </xf>
    <xf numFmtId="4" fontId="36" fillId="6" borderId="12" applyProtection="0">
      <alignment horizontal="right" vertical="center"/>
    </xf>
    <xf numFmtId="4" fontId="36" fillId="6" borderId="12" applyProtection="0">
      <alignment horizontal="right" vertical="center"/>
    </xf>
    <xf numFmtId="4" fontId="36" fillId="6" borderId="12" applyProtection="0">
      <alignment horizontal="right" vertical="center"/>
    </xf>
    <xf numFmtId="4" fontId="39" fillId="6" borderId="12" applyProtection="0">
      <alignment horizontal="right" vertical="center"/>
    </xf>
    <xf numFmtId="4" fontId="39" fillId="6" borderId="12" applyProtection="0">
      <alignment horizontal="right" vertical="center"/>
    </xf>
    <xf numFmtId="4" fontId="39" fillId="6" borderId="12" applyProtection="0">
      <alignment horizontal="right" vertical="center"/>
    </xf>
    <xf numFmtId="4" fontId="39" fillId="6" borderId="12" applyProtection="0">
      <alignment horizontal="right" vertical="center"/>
    </xf>
    <xf numFmtId="4" fontId="17" fillId="8" borderId="12" applyProtection="0">
      <alignment horizontal="left" vertical="center" indent="1"/>
    </xf>
    <xf numFmtId="4" fontId="17" fillId="8" borderId="12" applyProtection="0">
      <alignment horizontal="left" vertical="center" indent="1"/>
    </xf>
    <xf numFmtId="4" fontId="17" fillId="8" borderId="12" applyProtection="0">
      <alignment horizontal="left" vertical="center" indent="1"/>
    </xf>
    <xf numFmtId="4" fontId="17" fillId="8" borderId="12" applyProtection="0">
      <alignment horizontal="left" vertical="center" indent="1"/>
    </xf>
    <xf numFmtId="0" fontId="38" fillId="19" borderId="12" applyNumberFormat="0" applyProtection="0">
      <alignment horizontal="left" vertical="top" indent="1"/>
    </xf>
    <xf numFmtId="0" fontId="38" fillId="19" borderId="12" applyNumberFormat="0" applyProtection="0">
      <alignment horizontal="left" vertical="top" indent="1"/>
    </xf>
    <xf numFmtId="0" fontId="38" fillId="19" borderId="12" applyNumberFormat="0" applyProtection="0">
      <alignment horizontal="left" vertical="top" indent="1"/>
    </xf>
    <xf numFmtId="0" fontId="38" fillId="19" borderId="12" applyNumberFormat="0" applyProtection="0">
      <alignment horizontal="left" vertical="top" indent="1"/>
    </xf>
    <xf numFmtId="4" fontId="40" fillId="19" borderId="16" applyProtection="0">
      <alignment horizontal="left" vertical="center" indent="1"/>
    </xf>
    <xf numFmtId="4" fontId="40" fillId="19" borderId="16" applyProtection="0">
      <alignment horizontal="left" vertical="center" indent="1"/>
    </xf>
    <xf numFmtId="4" fontId="40" fillId="19" borderId="16" applyProtection="0">
      <alignment horizontal="left" vertical="center" indent="1"/>
    </xf>
    <xf numFmtId="4" fontId="40" fillId="19" borderId="16" applyProtection="0">
      <alignment horizontal="left" vertical="center" indent="1"/>
    </xf>
    <xf numFmtId="0" fontId="38" fillId="13" borderId="3" applyNumberFormat="0" applyProtection="0"/>
    <xf numFmtId="4" fontId="41" fillId="6" borderId="12" applyProtection="0">
      <alignment horizontal="right" vertical="center"/>
    </xf>
    <xf numFmtId="4" fontId="41" fillId="6" borderId="12" applyProtection="0">
      <alignment horizontal="right" vertical="center"/>
    </xf>
    <xf numFmtId="4" fontId="41" fillId="6" borderId="12" applyProtection="0">
      <alignment horizontal="right" vertical="center"/>
    </xf>
    <xf numFmtId="4" fontId="41" fillId="6" borderId="12" applyProtection="0">
      <alignment horizontal="right" vertical="center"/>
    </xf>
    <xf numFmtId="0" fontId="42" fillId="0" borderId="0" applyNumberFormat="0" applyFill="0" applyBorder="0" applyAlignment="0" applyProtection="0"/>
    <xf numFmtId="0" fontId="43" fillId="0" borderId="0" applyNumberFormat="0" applyBorder="0" applyProtection="0"/>
    <xf numFmtId="0" fontId="5" fillId="0" borderId="0" applyNumberFormat="0" applyBorder="0" applyProtection="0"/>
    <xf numFmtId="190" fontId="12" fillId="0" borderId="17" applyProtection="0"/>
    <xf numFmtId="190" fontId="12" fillId="0" borderId="17" applyProtection="0"/>
    <xf numFmtId="190" fontId="12" fillId="0" borderId="17" applyProtection="0"/>
    <xf numFmtId="190" fontId="12" fillId="0" borderId="17" applyProtection="0"/>
    <xf numFmtId="0" fontId="14" fillId="0" borderId="18" applyNumberFormat="0" applyFill="0" applyAlignment="0" applyProtection="0"/>
    <xf numFmtId="0" fontId="14" fillId="0" borderId="18" applyNumberFormat="0" applyFill="0" applyAlignment="0" applyProtection="0"/>
    <xf numFmtId="0" fontId="14" fillId="0" borderId="18" applyNumberFormat="0" applyFill="0" applyAlignment="0" applyProtection="0"/>
    <xf numFmtId="0" fontId="14" fillId="0" borderId="18" applyNumberFormat="0" applyFill="0" applyAlignment="0" applyProtection="0"/>
    <xf numFmtId="49" fontId="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190" fontId="12" fillId="0" borderId="6" applyFill="0" applyProtection="0"/>
    <xf numFmtId="0" fontId="13" fillId="3" borderId="0" applyNumberFormat="0" applyBorder="0" applyAlignment="0" applyProtection="0"/>
    <xf numFmtId="0" fontId="44" fillId="17" borderId="19" applyNumberFormat="0" applyAlignment="0" applyProtection="0"/>
    <xf numFmtId="0" fontId="44" fillId="17" borderId="19" applyNumberFormat="0" applyAlignment="0" applyProtection="0"/>
    <xf numFmtId="0" fontId="44" fillId="17" borderId="19" applyNumberFormat="0" applyAlignment="0" applyProtection="0"/>
    <xf numFmtId="0" fontId="44" fillId="17" borderId="19" applyNumberFormat="0" applyAlignment="0" applyProtection="0"/>
    <xf numFmtId="0" fontId="6" fillId="0" borderId="0" applyNumberFormat="0" applyFill="0" applyBorder="0" applyAlignment="0" applyProtection="0"/>
  </cellStyleXfs>
  <cellXfs count="262">
    <xf numFmtId="0" fontId="0" fillId="0" borderId="0" xfId="0"/>
    <xf numFmtId="165" fontId="0" fillId="0" borderId="0" xfId="0" applyNumberFormat="1" applyAlignment="1">
      <alignment vertical="center"/>
    </xf>
    <xf numFmtId="0" fontId="45" fillId="15" borderId="0" xfId="0" applyFont="1" applyFill="1" applyAlignment="1">
      <alignment horizontal="left" vertical="center"/>
    </xf>
    <xf numFmtId="0" fontId="0" fillId="15" borderId="0" xfId="0" applyFill="1" applyAlignment="1">
      <alignment horizontal="left" vertical="center"/>
    </xf>
    <xf numFmtId="0" fontId="0" fillId="15" borderId="0" xfId="0" applyFill="1" applyAlignment="1">
      <alignment vertical="center"/>
    </xf>
    <xf numFmtId="0" fontId="46" fillId="15" borderId="0" xfId="0" applyFont="1" applyFill="1" applyAlignment="1">
      <alignment horizontal="left" vertical="center"/>
    </xf>
    <xf numFmtId="0" fontId="47" fillId="15" borderId="0" xfId="0" applyFont="1" applyFill="1" applyAlignment="1">
      <alignment horizontal="left" vertical="center"/>
    </xf>
    <xf numFmtId="0" fontId="48" fillId="15" borderId="0" xfId="0" applyFont="1" applyFill="1" applyAlignment="1">
      <alignment horizontal="left" vertical="center"/>
    </xf>
    <xf numFmtId="0" fontId="48" fillId="15" borderId="0" xfId="0" applyFont="1" applyFill="1" applyAlignment="1">
      <alignment vertical="center"/>
    </xf>
    <xf numFmtId="0" fontId="47" fillId="15" borderId="0" xfId="0" applyFont="1" applyFill="1" applyAlignment="1">
      <alignment horizontal="left" vertical="top"/>
    </xf>
    <xf numFmtId="0" fontId="0" fillId="15" borderId="0" xfId="0" applyFont="1" applyFill="1" applyAlignment="1">
      <alignment horizontal="left" vertical="top"/>
    </xf>
    <xf numFmtId="0" fontId="47" fillId="15" borderId="0" xfId="0" applyFont="1" applyFill="1" applyAlignment="1">
      <alignment horizontal="left" vertical="top" wrapText="1"/>
    </xf>
    <xf numFmtId="165" fontId="47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65" fontId="49" fillId="33" borderId="0" xfId="0" applyNumberFormat="1" applyFont="1" applyFill="1" applyAlignment="1">
      <alignment vertical="center"/>
    </xf>
    <xf numFmtId="165" fontId="50" fillId="33" borderId="0" xfId="0" applyNumberFormat="1" applyFont="1" applyFill="1" applyAlignment="1">
      <alignment vertical="center"/>
    </xf>
    <xf numFmtId="0" fontId="0" fillId="0" borderId="0" xfId="0" applyFont="1" applyAlignment="1">
      <alignment vertical="center"/>
    </xf>
    <xf numFmtId="170" fontId="0" fillId="0" borderId="0" xfId="0" applyNumberFormat="1" applyAlignment="1">
      <alignment vertical="center"/>
    </xf>
    <xf numFmtId="0" fontId="0" fillId="0" borderId="20" xfId="0" applyBorder="1" applyAlignment="1">
      <alignment vertical="center"/>
    </xf>
    <xf numFmtId="165" fontId="5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52" fillId="0" borderId="0" xfId="0" applyNumberFormat="1" applyFont="1" applyAlignment="1">
      <alignment vertical="center"/>
    </xf>
    <xf numFmtId="166" fontId="0" fillId="24" borderId="0" xfId="0" applyNumberFormat="1" applyFont="1" applyFill="1" applyAlignment="1">
      <alignment vertical="center"/>
    </xf>
    <xf numFmtId="166" fontId="0" fillId="34" borderId="0" xfId="0" applyNumberFormat="1" applyFont="1" applyFill="1" applyAlignment="1">
      <alignment vertical="center"/>
    </xf>
    <xf numFmtId="166" fontId="0" fillId="35" borderId="0" xfId="0" applyNumberFormat="1" applyFont="1" applyFill="1" applyAlignment="1">
      <alignment vertical="center"/>
    </xf>
    <xf numFmtId="0" fontId="53" fillId="36" borderId="0" xfId="0" applyFont="1" applyFill="1" applyAlignment="1">
      <alignment vertical="center"/>
    </xf>
    <xf numFmtId="165" fontId="0" fillId="0" borderId="0" xfId="0" applyNumberFormat="1" applyFont="1" applyAlignment="1">
      <alignment vertical="center"/>
    </xf>
    <xf numFmtId="165" fontId="0" fillId="37" borderId="0" xfId="0" applyNumberFormat="1" applyFont="1" applyFill="1" applyAlignment="1">
      <alignment vertical="center"/>
    </xf>
    <xf numFmtId="170" fontId="21" fillId="0" borderId="0" xfId="2125" applyNumberFormat="1" applyFont="1" applyAlignment="1">
      <alignment vertical="center"/>
    </xf>
    <xf numFmtId="0" fontId="54" fillId="38" borderId="21" xfId="0" applyFont="1" applyFill="1" applyBorder="1" applyAlignment="1">
      <alignment vertical="center"/>
    </xf>
    <xf numFmtId="170" fontId="0" fillId="0" borderId="0" xfId="0" applyNumberFormat="1" applyAlignment="1">
      <alignment horizontal="left" vertical="center"/>
    </xf>
    <xf numFmtId="0" fontId="54" fillId="38" borderId="0" xfId="0" applyFont="1" applyFill="1" applyAlignment="1">
      <alignment vertical="center"/>
    </xf>
    <xf numFmtId="0" fontId="0" fillId="24" borderId="22" xfId="0" applyFill="1" applyBorder="1" applyAlignment="1">
      <alignment vertical="center"/>
    </xf>
    <xf numFmtId="0" fontId="0" fillId="39" borderId="21" xfId="0" applyFill="1" applyBorder="1" applyAlignment="1">
      <alignment vertical="center"/>
    </xf>
    <xf numFmtId="0" fontId="0" fillId="40" borderId="21" xfId="0" applyFill="1" applyBorder="1" applyAlignment="1">
      <alignment vertical="center"/>
    </xf>
    <xf numFmtId="170" fontId="21" fillId="0" borderId="0" xfId="2125" applyNumberFormat="1" applyFont="1" applyFill="1" applyAlignment="1">
      <alignment vertical="center"/>
    </xf>
    <xf numFmtId="165" fontId="53" fillId="0" borderId="0" xfId="0" applyNumberFormat="1" applyFont="1" applyAlignment="1">
      <alignment horizontal="left" vertical="center"/>
    </xf>
    <xf numFmtId="170" fontId="55" fillId="0" borderId="0" xfId="0" applyNumberFormat="1" applyFont="1" applyAlignment="1">
      <alignment vertical="center"/>
    </xf>
    <xf numFmtId="0" fontId="14" fillId="15" borderId="0" xfId="0" applyFont="1" applyFill="1" applyAlignment="1">
      <alignment horizontal="left" vertical="center"/>
    </xf>
    <xf numFmtId="0" fontId="0" fillId="15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2181" applyFont="1" applyFill="1" applyAlignment="1" applyProtection="1">
      <alignment horizontal="center" vertical="center" wrapText="1"/>
    </xf>
    <xf numFmtId="0" fontId="55" fillId="15" borderId="0" xfId="0" applyFont="1" applyFill="1" applyAlignment="1">
      <alignment horizontal="center" vertical="center" wrapText="1"/>
    </xf>
    <xf numFmtId="0" fontId="0" fillId="0" borderId="0" xfId="2181" applyFont="1" applyFill="1" applyAlignment="1" applyProtection="1">
      <alignment horizontal="center" vertical="center"/>
    </xf>
    <xf numFmtId="0" fontId="48" fillId="0" borderId="0" xfId="3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2181" applyFont="1" applyFill="1" applyBorder="1" applyAlignment="1" applyProtection="1">
      <alignment horizontal="center" vertical="center" wrapText="1"/>
    </xf>
    <xf numFmtId="0" fontId="21" fillId="0" borderId="3" xfId="2125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4" fontId="0" fillId="0" borderId="3" xfId="2181" applyNumberFormat="1" applyFont="1" applyFill="1" applyBorder="1" applyAlignment="1" applyProtection="1">
      <alignment horizontal="center" vertical="center" wrapText="1"/>
    </xf>
    <xf numFmtId="0" fontId="0" fillId="0" borderId="3" xfId="2181" applyFont="1" applyFill="1" applyBorder="1" applyAlignment="1" applyProtection="1">
      <alignment horizontal="left" vertical="center" wrapText="1"/>
    </xf>
    <xf numFmtId="0" fontId="0" fillId="0" borderId="3" xfId="2181" applyFont="1" applyFill="1" applyBorder="1" applyAlignment="1" applyProtection="1">
      <alignment horizontal="center" vertical="center"/>
    </xf>
    <xf numFmtId="165" fontId="14" fillId="15" borderId="0" xfId="0" applyNumberFormat="1" applyFont="1" applyFill="1" applyAlignment="1">
      <alignment vertical="center"/>
    </xf>
    <xf numFmtId="165" fontId="0" fillId="15" borderId="0" xfId="0" applyNumberFormat="1" applyFill="1" applyAlignment="1">
      <alignment vertical="center"/>
    </xf>
    <xf numFmtId="165" fontId="0" fillId="15" borderId="0" xfId="0" applyNumberFormat="1" applyFill="1" applyAlignment="1">
      <alignment horizontal="center" vertical="center"/>
    </xf>
    <xf numFmtId="165" fontId="55" fillId="15" borderId="0" xfId="0" applyNumberFormat="1" applyFont="1" applyFill="1" applyAlignment="1">
      <alignment vertical="center"/>
    </xf>
    <xf numFmtId="165" fontId="55" fillId="15" borderId="0" xfId="0" applyNumberFormat="1" applyFont="1" applyFill="1" applyAlignment="1">
      <alignment horizontal="right" vertical="center"/>
    </xf>
    <xf numFmtId="165" fontId="0" fillId="15" borderId="0" xfId="0" applyNumberFormat="1" applyFont="1" applyFill="1" applyAlignment="1">
      <alignment vertical="center"/>
    </xf>
    <xf numFmtId="165" fontId="0" fillId="33" borderId="0" xfId="0" applyNumberFormat="1" applyFont="1" applyFill="1" applyAlignment="1">
      <alignment vertical="center"/>
    </xf>
    <xf numFmtId="165" fontId="0" fillId="31" borderId="0" xfId="0" applyNumberFormat="1" applyFont="1" applyFill="1" applyAlignment="1">
      <alignment vertical="center"/>
    </xf>
    <xf numFmtId="9" fontId="0" fillId="24" borderId="0" xfId="2" applyFont="1" applyFill="1" applyAlignment="1">
      <alignment vertical="center"/>
    </xf>
    <xf numFmtId="0" fontId="56" fillId="0" borderId="0" xfId="0" applyFont="1" applyAlignment="1">
      <alignment vertical="center"/>
    </xf>
    <xf numFmtId="9" fontId="0" fillId="0" borderId="0" xfId="2" applyFont="1" applyFill="1" applyAlignment="1">
      <alignment vertical="center"/>
    </xf>
    <xf numFmtId="0" fontId="56" fillId="0" borderId="0" xfId="0" applyFont="1"/>
    <xf numFmtId="165" fontId="0" fillId="24" borderId="0" xfId="0" applyNumberFormat="1" applyFont="1" applyFill="1" applyAlignment="1">
      <alignment horizontal="right" vertical="center"/>
    </xf>
    <xf numFmtId="0" fontId="57" fillId="0" borderId="0" xfId="0" applyFont="1" applyAlignment="1">
      <alignment vertical="center"/>
    </xf>
    <xf numFmtId="165" fontId="0" fillId="0" borderId="0" xfId="0" applyNumberFormat="1" applyFont="1" applyAlignment="1">
      <alignment horizontal="right" vertical="center"/>
    </xf>
    <xf numFmtId="165" fontId="0" fillId="41" borderId="0" xfId="0" applyNumberFormat="1" applyFont="1" applyFill="1" applyAlignment="1">
      <alignment vertical="center"/>
    </xf>
    <xf numFmtId="165" fontId="47" fillId="15" borderId="0" xfId="0" applyNumberFormat="1" applyFont="1" applyFill="1" applyAlignment="1">
      <alignment vertical="center"/>
    </xf>
    <xf numFmtId="167" fontId="0" fillId="15" borderId="0" xfId="0" applyNumberFormat="1" applyFill="1" applyAlignment="1">
      <alignment vertical="center"/>
    </xf>
    <xf numFmtId="165" fontId="58" fillId="15" borderId="0" xfId="0" applyNumberFormat="1" applyFont="1" applyFill="1" applyAlignment="1">
      <alignment vertical="center"/>
    </xf>
    <xf numFmtId="14" fontId="0" fillId="15" borderId="20" xfId="0" applyNumberFormat="1" applyFont="1" applyFill="1" applyBorder="1" applyAlignment="1">
      <alignment vertical="center"/>
    </xf>
    <xf numFmtId="14" fontId="0" fillId="15" borderId="0" xfId="0" applyNumberFormat="1" applyFill="1" applyAlignment="1">
      <alignment vertical="center"/>
    </xf>
    <xf numFmtId="167" fontId="47" fillId="15" borderId="0" xfId="0" applyNumberFormat="1" applyFont="1" applyFill="1" applyAlignment="1">
      <alignment vertical="center"/>
    </xf>
    <xf numFmtId="167" fontId="59" fillId="15" borderId="0" xfId="0" applyNumberFormat="1" applyFont="1" applyFill="1" applyAlignment="1">
      <alignment vertical="center"/>
    </xf>
    <xf numFmtId="179" fontId="0" fillId="0" borderId="0" xfId="0" applyNumberFormat="1" applyFont="1" applyAlignment="1">
      <alignment vertical="center"/>
    </xf>
    <xf numFmtId="179" fontId="0" fillId="24" borderId="0" xfId="0" applyNumberFormat="1" applyFont="1" applyFill="1" applyAlignment="1">
      <alignment vertical="center"/>
    </xf>
    <xf numFmtId="179" fontId="0" fillId="0" borderId="0" xfId="0" applyNumberFormat="1"/>
    <xf numFmtId="4" fontId="0" fillId="0" borderId="0" xfId="0" applyNumberFormat="1" applyFont="1" applyAlignment="1">
      <alignment vertical="center"/>
    </xf>
    <xf numFmtId="0" fontId="0" fillId="24" borderId="0" xfId="0" applyFill="1" applyAlignment="1">
      <alignment vertical="center"/>
    </xf>
    <xf numFmtId="0" fontId="0" fillId="24" borderId="0" xfId="0" applyFill="1" applyAlignment="1">
      <alignment vertical="center" wrapText="1"/>
    </xf>
    <xf numFmtId="4" fontId="0" fillId="24" borderId="0" xfId="0" applyNumberFormat="1" applyFont="1" applyFill="1" applyAlignment="1">
      <alignment vertical="center"/>
    </xf>
    <xf numFmtId="173" fontId="0" fillId="0" borderId="0" xfId="0" applyNumberFormat="1" applyFont="1" applyAlignment="1">
      <alignment vertical="center"/>
    </xf>
    <xf numFmtId="2" fontId="0" fillId="0" borderId="0" xfId="0" applyNumberFormat="1" applyFont="1" applyAlignment="1">
      <alignment vertical="center"/>
    </xf>
    <xf numFmtId="0" fontId="0" fillId="34" borderId="0" xfId="0" applyFill="1" applyAlignment="1">
      <alignment vertical="center"/>
    </xf>
    <xf numFmtId="0" fontId="0" fillId="34" borderId="0" xfId="0" applyFill="1" applyAlignment="1">
      <alignment vertical="center" wrapText="1"/>
    </xf>
    <xf numFmtId="174" fontId="0" fillId="34" borderId="0" xfId="0" applyNumberFormat="1" applyFont="1" applyFill="1" applyAlignment="1">
      <alignment vertical="center"/>
    </xf>
    <xf numFmtId="166" fontId="0" fillId="0" borderId="0" xfId="2" applyNumberFormat="1" applyFont="1" applyFill="1" applyAlignment="1">
      <alignment vertical="center"/>
    </xf>
    <xf numFmtId="2" fontId="0" fillId="0" borderId="0" xfId="2" applyNumberFormat="1" applyFont="1" applyFill="1" applyAlignment="1">
      <alignment vertical="center"/>
    </xf>
    <xf numFmtId="169" fontId="0" fillId="0" borderId="0" xfId="2" applyNumberFormat="1" applyFont="1" applyFill="1" applyAlignment="1">
      <alignment vertical="center"/>
    </xf>
    <xf numFmtId="0" fontId="0" fillId="0" borderId="0" xfId="0" applyAlignment="1">
      <alignment vertical="center" wrapText="1"/>
    </xf>
    <xf numFmtId="174" fontId="0" fillId="24" borderId="0" xfId="0" applyNumberFormat="1" applyFont="1" applyFill="1" applyAlignment="1">
      <alignment vertical="center"/>
    </xf>
    <xf numFmtId="174" fontId="0" fillId="0" borderId="23" xfId="0" applyNumberFormat="1" applyFont="1" applyBorder="1" applyAlignment="1">
      <alignment vertical="center"/>
    </xf>
    <xf numFmtId="174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 wrapText="1"/>
    </xf>
    <xf numFmtId="181" fontId="0" fillId="0" borderId="0" xfId="0" applyNumberFormat="1" applyFont="1" applyAlignment="1">
      <alignment vertical="center"/>
    </xf>
    <xf numFmtId="173" fontId="0" fillId="0" borderId="0" xfId="0" applyNumberFormat="1" applyAlignment="1">
      <alignment vertical="center"/>
    </xf>
    <xf numFmtId="1" fontId="0" fillId="15" borderId="0" xfId="0" applyNumberFormat="1" applyFont="1" applyFill="1" applyAlignment="1">
      <alignment horizontal="center" vertical="center"/>
    </xf>
    <xf numFmtId="1" fontId="0" fillId="15" borderId="0" xfId="0" applyNumberFormat="1" applyFont="1" applyFill="1" applyAlignment="1">
      <alignment vertical="center"/>
    </xf>
    <xf numFmtId="165" fontId="0" fillId="24" borderId="0" xfId="0" applyNumberFormat="1" applyFont="1" applyFill="1" applyAlignment="1">
      <alignment vertical="center"/>
    </xf>
    <xf numFmtId="179" fontId="0" fillId="0" borderId="0" xfId="0" applyNumberFormat="1" applyAlignment="1">
      <alignment vertical="center"/>
    </xf>
    <xf numFmtId="187" fontId="57" fillId="0" borderId="0" xfId="0" applyNumberFormat="1" applyFont="1" applyAlignment="1">
      <alignment vertical="center"/>
    </xf>
    <xf numFmtId="10" fontId="0" fillId="0" borderId="0" xfId="0" applyNumberFormat="1" applyFont="1" applyAlignment="1">
      <alignment vertical="center"/>
    </xf>
    <xf numFmtId="166" fontId="0" fillId="0" borderId="0" xfId="2" applyNumberFormat="1" applyFont="1" applyAlignment="1">
      <alignment vertical="center"/>
    </xf>
    <xf numFmtId="174" fontId="0" fillId="24" borderId="0" xfId="0" applyNumberFormat="1" applyFont="1" applyFill="1" applyAlignment="1">
      <alignment horizontal="right" vertical="center"/>
    </xf>
    <xf numFmtId="179" fontId="10" fillId="0" borderId="0" xfId="0" applyNumberFormat="1" applyFont="1" applyAlignment="1">
      <alignment vertical="center"/>
    </xf>
    <xf numFmtId="165" fontId="50" fillId="31" borderId="0" xfId="0" applyNumberFormat="1" applyFont="1" applyFill="1" applyAlignment="1">
      <alignment vertical="center"/>
    </xf>
    <xf numFmtId="165" fontId="0" fillId="0" borderId="0" xfId="0" applyNumberFormat="1" applyFont="1" applyAlignment="1">
      <alignment horizontal="left" vertical="center"/>
    </xf>
    <xf numFmtId="165" fontId="0" fillId="0" borderId="0" xfId="0" applyNumberFormat="1" applyFont="1" applyAlignment="1">
      <alignment horizontal="center" vertical="center"/>
    </xf>
    <xf numFmtId="10" fontId="10" fillId="24" borderId="0" xfId="0" applyNumberFormat="1" applyFont="1" applyFill="1" applyAlignment="1">
      <alignment vertical="center"/>
    </xf>
    <xf numFmtId="10" fontId="10" fillId="0" borderId="0" xfId="0" applyNumberFormat="1" applyFont="1" applyAlignment="1">
      <alignment vertical="center"/>
    </xf>
    <xf numFmtId="10" fontId="57" fillId="0" borderId="0" xfId="0" applyNumberFormat="1" applyFont="1" applyAlignment="1">
      <alignment vertical="center"/>
    </xf>
    <xf numFmtId="0" fontId="60" fillId="0" borderId="0" xfId="0" applyFont="1" applyAlignment="1">
      <alignment horizontal="left" vertical="center" indent="1"/>
    </xf>
    <xf numFmtId="165" fontId="57" fillId="0" borderId="0" xfId="0" applyNumberFormat="1" applyFont="1" applyAlignment="1">
      <alignment vertical="center"/>
    </xf>
    <xf numFmtId="0" fontId="0" fillId="37" borderId="0" xfId="0" applyFill="1" applyAlignment="1">
      <alignment vertical="center"/>
    </xf>
    <xf numFmtId="0" fontId="10" fillId="24" borderId="0" xfId="0" applyFont="1" applyFill="1" applyAlignment="1">
      <alignment vertical="center"/>
    </xf>
    <xf numFmtId="1" fontId="10" fillId="24" borderId="0" xfId="0" applyNumberFormat="1" applyFont="1" applyFill="1" applyAlignment="1">
      <alignment vertical="center"/>
    </xf>
    <xf numFmtId="9" fontId="10" fillId="24" borderId="0" xfId="0" applyNumberFormat="1" applyFont="1" applyFill="1" applyAlignment="1">
      <alignment vertical="center"/>
    </xf>
    <xf numFmtId="2" fontId="10" fillId="24" borderId="0" xfId="0" applyNumberFormat="1" applyFont="1" applyFill="1" applyAlignment="1">
      <alignment vertical="center"/>
    </xf>
    <xf numFmtId="0" fontId="0" fillId="37" borderId="0" xfId="0" applyFont="1" applyFill="1" applyAlignment="1">
      <alignment vertical="center"/>
    </xf>
    <xf numFmtId="14" fontId="0" fillId="0" borderId="0" xfId="0" applyNumberFormat="1" applyFont="1" applyAlignment="1">
      <alignment vertical="center"/>
    </xf>
    <xf numFmtId="2" fontId="0" fillId="0" borderId="0" xfId="0" applyNumberFormat="1" applyFont="1"/>
    <xf numFmtId="0" fontId="53" fillId="0" borderId="0" xfId="0" applyFont="1" applyAlignment="1">
      <alignment vertical="center"/>
    </xf>
    <xf numFmtId="165" fontId="53" fillId="0" borderId="0" xfId="0" applyNumberFormat="1" applyFont="1" applyAlignment="1">
      <alignment vertical="center"/>
    </xf>
    <xf numFmtId="10" fontId="61" fillId="24" borderId="0" xfId="0" applyNumberFormat="1" applyFont="1" applyFill="1" applyAlignment="1">
      <alignment vertical="center"/>
    </xf>
    <xf numFmtId="0" fontId="0" fillId="37" borderId="0" xfId="0" applyFill="1"/>
    <xf numFmtId="0" fontId="0" fillId="0" borderId="0" xfId="0" applyFont="1" applyAlignment="1">
      <alignment horizontal="center" vertical="center"/>
    </xf>
    <xf numFmtId="178" fontId="10" fillId="24" borderId="0" xfId="0" applyNumberFormat="1" applyFont="1" applyFill="1" applyAlignment="1">
      <alignment vertical="center"/>
    </xf>
    <xf numFmtId="0" fontId="60" fillId="0" borderId="0" xfId="0" applyFont="1" applyAlignment="1">
      <alignment vertical="center"/>
    </xf>
    <xf numFmtId="10" fontId="10" fillId="24" borderId="0" xfId="2271" applyNumberFormat="1" applyFont="1" applyFill="1" applyAlignment="1">
      <alignment vertical="center"/>
    </xf>
    <xf numFmtId="10" fontId="10" fillId="24" borderId="0" xfId="2" applyNumberFormat="1" applyFont="1" applyFill="1" applyAlignment="1">
      <alignment vertical="center"/>
    </xf>
    <xf numFmtId="14" fontId="0" fillId="15" borderId="20" xfId="0" applyNumberFormat="1" applyFill="1" applyBorder="1" applyAlignment="1">
      <alignment vertical="center"/>
    </xf>
    <xf numFmtId="165" fontId="0" fillId="37" borderId="0" xfId="0" applyNumberFormat="1" applyFill="1" applyAlignment="1">
      <alignment vertical="center"/>
    </xf>
    <xf numFmtId="167" fontId="47" fillId="0" borderId="0" xfId="0" applyNumberFormat="1" applyFont="1" applyAlignment="1">
      <alignment vertical="center"/>
    </xf>
    <xf numFmtId="165" fontId="55" fillId="0" borderId="0" xfId="0" applyNumberFormat="1" applyFont="1" applyAlignment="1">
      <alignment vertical="center"/>
    </xf>
    <xf numFmtId="177" fontId="0" fillId="0" borderId="0" xfId="1" applyNumberFormat="1" applyFont="1" applyFill="1" applyAlignment="1">
      <alignment vertical="center"/>
    </xf>
    <xf numFmtId="175" fontId="0" fillId="0" borderId="0" xfId="1" applyFont="1" applyAlignment="1">
      <alignment vertical="center"/>
    </xf>
    <xf numFmtId="10" fontId="57" fillId="24" borderId="0" xfId="0" applyNumberFormat="1" applyFont="1" applyFill="1" applyAlignment="1">
      <alignment vertical="center"/>
    </xf>
    <xf numFmtId="176" fontId="0" fillId="0" borderId="0" xfId="0" applyNumberFormat="1" applyFont="1" applyAlignment="1">
      <alignment vertical="center"/>
    </xf>
    <xf numFmtId="14" fontId="10" fillId="24" borderId="0" xfId="0" applyNumberFormat="1" applyFont="1" applyFill="1" applyAlignment="1">
      <alignment vertical="center"/>
    </xf>
    <xf numFmtId="14" fontId="10" fillId="24" borderId="0" xfId="0" applyNumberFormat="1" applyFont="1" applyFill="1" applyAlignment="1">
      <alignment horizontal="right" vertical="center"/>
    </xf>
    <xf numFmtId="165" fontId="62" fillId="0" borderId="0" xfId="0" applyNumberFormat="1" applyFont="1" applyAlignment="1">
      <alignment horizontal="center" vertical="center"/>
    </xf>
    <xf numFmtId="178" fontId="0" fillId="0" borderId="0" xfId="0" applyNumberFormat="1" applyFont="1" applyAlignment="1">
      <alignment vertical="center"/>
    </xf>
    <xf numFmtId="178" fontId="10" fillId="0" borderId="0" xfId="1" applyNumberFormat="1" applyFont="1" applyAlignment="1">
      <alignment vertical="center"/>
    </xf>
    <xf numFmtId="178" fontId="10" fillId="0" borderId="0" xfId="1" applyNumberFormat="1" applyFont="1" applyFill="1" applyAlignment="1">
      <alignment vertical="center"/>
    </xf>
    <xf numFmtId="10" fontId="0" fillId="24" borderId="0" xfId="2" applyNumberFormat="1" applyFont="1" applyFill="1" applyAlignment="1">
      <alignment vertical="center"/>
    </xf>
    <xf numFmtId="178" fontId="0" fillId="0" borderId="0" xfId="0" applyNumberFormat="1" applyAlignment="1">
      <alignment vertical="center"/>
    </xf>
    <xf numFmtId="181" fontId="10" fillId="0" borderId="0" xfId="0" applyNumberFormat="1" applyFont="1" applyAlignment="1">
      <alignment vertical="center"/>
    </xf>
    <xf numFmtId="165" fontId="56" fillId="0" borderId="0" xfId="0" applyNumberFormat="1" applyFont="1" applyAlignment="1">
      <alignment vertical="center"/>
    </xf>
    <xf numFmtId="14" fontId="0" fillId="24" borderId="0" xfId="0" applyNumberFormat="1" applyFont="1" applyFill="1" applyAlignment="1">
      <alignment vertical="center"/>
    </xf>
    <xf numFmtId="182" fontId="10" fillId="0" borderId="0" xfId="1" applyNumberFormat="1" applyFont="1" applyFill="1" applyAlignment="1">
      <alignment vertical="center"/>
    </xf>
    <xf numFmtId="0" fontId="10" fillId="24" borderId="0" xfId="0" applyFont="1" applyFill="1" applyAlignment="1">
      <alignment horizontal="center" vertical="center"/>
    </xf>
    <xf numFmtId="165" fontId="0" fillId="15" borderId="0" xfId="0" applyNumberFormat="1" applyFill="1" applyAlignment="1">
      <alignment horizontal="left" vertical="center"/>
    </xf>
    <xf numFmtId="49" fontId="0" fillId="15" borderId="0" xfId="0" applyNumberFormat="1" applyFill="1" applyAlignment="1">
      <alignment horizontal="center" vertical="center"/>
    </xf>
    <xf numFmtId="165" fontId="55" fillId="15" borderId="0" xfId="0" applyNumberFormat="1" applyFont="1" applyFill="1" applyAlignment="1">
      <alignment horizontal="left" vertical="center"/>
    </xf>
    <xf numFmtId="49" fontId="55" fillId="15" borderId="0" xfId="0" applyNumberFormat="1" applyFont="1" applyFill="1" applyAlignment="1">
      <alignment vertical="center"/>
    </xf>
    <xf numFmtId="49" fontId="0" fillId="0" borderId="0" xfId="0" applyNumberFormat="1" applyAlignment="1">
      <alignment vertical="center"/>
    </xf>
    <xf numFmtId="1" fontId="0" fillId="31" borderId="0" xfId="0" applyNumberFormat="1" applyFont="1" applyFill="1" applyAlignment="1">
      <alignment vertical="center"/>
    </xf>
    <xf numFmtId="49" fontId="0" fillId="31" borderId="0" xfId="0" applyNumberFormat="1" applyFont="1" applyFill="1" applyAlignment="1">
      <alignment vertical="center"/>
    </xf>
    <xf numFmtId="1" fontId="0" fillId="0" borderId="0" xfId="0" applyNumberFormat="1" applyAlignment="1">
      <alignment vertical="center"/>
    </xf>
    <xf numFmtId="1" fontId="0" fillId="0" borderId="0" xfId="2" applyNumberFormat="1" applyFont="1" applyFill="1" applyAlignment="1">
      <alignment vertical="center"/>
    </xf>
    <xf numFmtId="49" fontId="0" fillId="24" borderId="0" xfId="0" applyNumberFormat="1" applyFont="1" applyFill="1" applyAlignment="1">
      <alignment vertical="center"/>
    </xf>
    <xf numFmtId="49" fontId="21" fillId="24" borderId="0" xfId="2125" applyNumberFormat="1" applyFont="1" applyFill="1" applyAlignment="1">
      <alignment vertical="center"/>
    </xf>
    <xf numFmtId="1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vertical="center"/>
    </xf>
    <xf numFmtId="1" fontId="0" fillId="0" borderId="0" xfId="0" applyNumberFormat="1" applyFont="1" applyAlignment="1">
      <alignment vertical="center"/>
    </xf>
    <xf numFmtId="1" fontId="0" fillId="41" borderId="0" xfId="0" applyNumberFormat="1" applyFont="1" applyFill="1" applyAlignment="1">
      <alignment vertical="center"/>
    </xf>
    <xf numFmtId="49" fontId="0" fillId="41" borderId="0" xfId="0" applyNumberFormat="1" applyFont="1" applyFill="1" applyAlignment="1">
      <alignment vertical="center"/>
    </xf>
    <xf numFmtId="0" fontId="21" fillId="24" borderId="0" xfId="2125" applyFont="1" applyFill="1"/>
    <xf numFmtId="49" fontId="0" fillId="34" borderId="0" xfId="0" applyNumberFormat="1" applyFont="1" applyFill="1" applyAlignment="1">
      <alignment vertical="center"/>
    </xf>
    <xf numFmtId="0" fontId="21" fillId="34" borderId="0" xfId="2125" applyFont="1" applyFill="1" applyAlignment="1">
      <alignment vertical="center"/>
    </xf>
    <xf numFmtId="0" fontId="21" fillId="24" borderId="0" xfId="2125" applyFont="1" applyFill="1" applyAlignment="1">
      <alignment vertical="center"/>
    </xf>
    <xf numFmtId="49" fontId="0" fillId="0" borderId="0" xfId="2" applyNumberFormat="1" applyFont="1" applyFill="1" applyAlignment="1">
      <alignment vertical="center"/>
    </xf>
    <xf numFmtId="1" fontId="50" fillId="31" borderId="0" xfId="0" applyNumberFormat="1" applyFont="1" applyFill="1" applyAlignment="1">
      <alignment vertical="center"/>
    </xf>
    <xf numFmtId="49" fontId="50" fillId="31" borderId="0" xfId="0" applyNumberFormat="1" applyFont="1" applyFill="1" applyAlignment="1">
      <alignment vertical="center"/>
    </xf>
    <xf numFmtId="1" fontId="0" fillId="0" borderId="0" xfId="0" applyNumberFormat="1" applyFont="1" applyAlignment="1">
      <alignment horizontal="left" vertical="center"/>
    </xf>
    <xf numFmtId="165" fontId="0" fillId="15" borderId="0" xfId="0" applyNumberFormat="1" applyFill="1" applyAlignment="1">
      <alignment horizontal="right" vertical="center"/>
    </xf>
    <xf numFmtId="167" fontId="63" fillId="15" borderId="0" xfId="0" applyNumberFormat="1" applyFont="1" applyFill="1" applyAlignment="1">
      <alignment horizontal="right" vertical="center"/>
    </xf>
    <xf numFmtId="165" fontId="0" fillId="31" borderId="0" xfId="0" applyNumberFormat="1" applyFont="1" applyFill="1" applyAlignment="1">
      <alignment horizontal="right" vertical="center"/>
    </xf>
    <xf numFmtId="165" fontId="0" fillId="0" borderId="24" xfId="0" applyNumberFormat="1" applyFont="1" applyBorder="1" applyAlignment="1">
      <alignment vertical="center"/>
    </xf>
    <xf numFmtId="165" fontId="10" fillId="0" borderId="4" xfId="0" applyNumberFormat="1" applyFont="1" applyBorder="1" applyAlignment="1">
      <alignment vertical="center"/>
    </xf>
    <xf numFmtId="165" fontId="0" fillId="0" borderId="17" xfId="0" applyNumberFormat="1" applyFont="1" applyBorder="1" applyAlignment="1">
      <alignment vertical="center"/>
    </xf>
    <xf numFmtId="165" fontId="0" fillId="0" borderId="0" xfId="0" applyNumberFormat="1" applyFont="1" applyAlignment="1">
      <alignment horizontal="left" vertical="center" wrapText="1"/>
    </xf>
    <xf numFmtId="0" fontId="0" fillId="37" borderId="0" xfId="0" applyFont="1" applyFill="1"/>
    <xf numFmtId="165" fontId="0" fillId="0" borderId="4" xfId="0" applyNumberFormat="1" applyFont="1" applyBorder="1" applyAlignment="1">
      <alignment vertical="center"/>
    </xf>
    <xf numFmtId="0" fontId="0" fillId="0" borderId="0" xfId="0" applyFont="1"/>
    <xf numFmtId="0" fontId="0" fillId="36" borderId="0" xfId="0" applyFont="1" applyFill="1" applyAlignment="1">
      <alignment vertical="center"/>
    </xf>
    <xf numFmtId="0" fontId="53" fillId="37" borderId="0" xfId="0" applyFont="1" applyFill="1"/>
    <xf numFmtId="165" fontId="53" fillId="0" borderId="0" xfId="0" applyNumberFormat="1" applyFont="1" applyAlignment="1">
      <alignment horizontal="right" vertical="center"/>
    </xf>
    <xf numFmtId="0" fontId="53" fillId="0" borderId="0" xfId="0" applyFont="1"/>
    <xf numFmtId="165" fontId="53" fillId="37" borderId="0" xfId="0" applyNumberFormat="1" applyFont="1" applyFill="1" applyAlignment="1">
      <alignment vertical="center"/>
    </xf>
    <xf numFmtId="165" fontId="53" fillId="0" borderId="0" xfId="0" applyNumberFormat="1" applyFont="1" applyAlignment="1">
      <alignment horizontal="center" vertical="center"/>
    </xf>
    <xf numFmtId="0" fontId="0" fillId="0" borderId="0" xfId="0" applyAlignment="1">
      <alignment horizontal="right" vertical="center"/>
    </xf>
    <xf numFmtId="183" fontId="0" fillId="0" borderId="0" xfId="0" applyNumberFormat="1" applyFont="1" applyAlignment="1">
      <alignment vertical="center"/>
    </xf>
    <xf numFmtId="10" fontId="51" fillId="0" borderId="0" xfId="0" applyNumberFormat="1" applyFont="1" applyAlignment="1">
      <alignment vertical="center"/>
    </xf>
    <xf numFmtId="165" fontId="10" fillId="0" borderId="17" xfId="0" applyNumberFormat="1" applyFont="1" applyBorder="1" applyAlignment="1">
      <alignment vertical="center"/>
    </xf>
    <xf numFmtId="165" fontId="0" fillId="0" borderId="5" xfId="0" applyNumberFormat="1" applyFont="1" applyBorder="1" applyAlignment="1">
      <alignment vertical="center"/>
    </xf>
    <xf numFmtId="165" fontId="10" fillId="0" borderId="5" xfId="0" applyNumberFormat="1" applyFont="1" applyBorder="1" applyAlignment="1">
      <alignment vertical="center"/>
    </xf>
    <xf numFmtId="0" fontId="60" fillId="37" borderId="0" xfId="0" applyFont="1" applyFill="1" applyAlignment="1">
      <alignment vertical="center"/>
    </xf>
    <xf numFmtId="172" fontId="51" fillId="0" borderId="0" xfId="2" applyNumberFormat="1" applyFont="1" applyAlignment="1">
      <alignment vertical="center"/>
    </xf>
    <xf numFmtId="183" fontId="51" fillId="0" borderId="0" xfId="0" applyNumberFormat="1" applyFont="1" applyAlignment="1">
      <alignment vertical="center"/>
    </xf>
    <xf numFmtId="10" fontId="62" fillId="0" borderId="0" xfId="0" applyNumberFormat="1" applyFont="1" applyAlignment="1">
      <alignment vertical="center"/>
    </xf>
    <xf numFmtId="172" fontId="0" fillId="0" borderId="0" xfId="2" applyNumberFormat="1" applyFont="1" applyAlignment="1">
      <alignment vertical="center"/>
    </xf>
    <xf numFmtId="0" fontId="0" fillId="0" borderId="0" xfId="0" applyFont="1" applyAlignment="1">
      <alignment horizontal="left" vertical="center"/>
    </xf>
    <xf numFmtId="2" fontId="51" fillId="0" borderId="0" xfId="0" applyNumberFormat="1" applyFont="1" applyAlignment="1">
      <alignment vertical="center"/>
    </xf>
    <xf numFmtId="165" fontId="64" fillId="0" borderId="0" xfId="0" applyNumberFormat="1" applyFont="1" applyAlignment="1">
      <alignment vertical="center"/>
    </xf>
    <xf numFmtId="173" fontId="0" fillId="0" borderId="0" xfId="0" applyNumberFormat="1" applyFont="1" applyAlignment="1">
      <alignment horizontal="right" vertical="center"/>
    </xf>
    <xf numFmtId="165" fontId="50" fillId="31" borderId="0" xfId="0" applyNumberFormat="1" applyFont="1" applyFill="1" applyAlignment="1">
      <alignment horizontal="right" vertical="center"/>
    </xf>
    <xf numFmtId="165" fontId="51" fillId="0" borderId="0" xfId="0" applyNumberFormat="1" applyFont="1" applyAlignment="1">
      <alignment horizontal="right" vertical="center"/>
    </xf>
    <xf numFmtId="165" fontId="0" fillId="0" borderId="23" xfId="0" applyNumberFormat="1" applyFont="1" applyBorder="1" applyAlignment="1">
      <alignment vertical="center"/>
    </xf>
    <xf numFmtId="165" fontId="0" fillId="0" borderId="25" xfId="0" applyNumberFormat="1" applyFont="1" applyBorder="1" applyAlignment="1">
      <alignment vertical="center"/>
    </xf>
    <xf numFmtId="171" fontId="51" fillId="0" borderId="0" xfId="0" applyNumberFormat="1" applyFont="1" applyAlignment="1">
      <alignment horizontal="right" vertical="center"/>
    </xf>
    <xf numFmtId="171" fontId="0" fillId="0" borderId="0" xfId="0" applyNumberFormat="1" applyFont="1" applyAlignment="1">
      <alignment vertical="center"/>
    </xf>
    <xf numFmtId="171" fontId="0" fillId="0" borderId="0" xfId="0" applyNumberFormat="1" applyFont="1" applyAlignment="1">
      <alignment horizontal="right" vertical="center"/>
    </xf>
    <xf numFmtId="2" fontId="10" fillId="0" borderId="5" xfId="0" applyNumberFormat="1" applyFont="1" applyBorder="1" applyAlignment="1">
      <alignment vertical="center"/>
    </xf>
    <xf numFmtId="171" fontId="0" fillId="0" borderId="0" xfId="0" applyNumberFormat="1" applyFont="1" applyAlignment="1">
      <alignment horizontal="center" vertical="center"/>
    </xf>
    <xf numFmtId="185" fontId="0" fillId="0" borderId="0" xfId="0" applyNumberFormat="1" applyFont="1" applyAlignment="1">
      <alignment vertical="center"/>
    </xf>
    <xf numFmtId="0" fontId="0" fillId="15" borderId="0" xfId="1" applyNumberFormat="1" applyFont="1" applyFill="1" applyAlignment="1">
      <alignment horizontal="center" vertical="center"/>
    </xf>
    <xf numFmtId="186" fontId="0" fillId="0" borderId="0" xfId="0" applyNumberFormat="1" applyFont="1" applyAlignment="1">
      <alignment vertical="center"/>
    </xf>
    <xf numFmtId="3" fontId="51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183" fontId="0" fillId="0" borderId="5" xfId="0" applyNumberFormat="1" applyFont="1" applyBorder="1" applyAlignment="1">
      <alignment vertical="center"/>
    </xf>
    <xf numFmtId="179" fontId="10" fillId="0" borderId="5" xfId="0" applyNumberFormat="1" applyFont="1" applyBorder="1" applyAlignment="1">
      <alignment vertical="center"/>
    </xf>
    <xf numFmtId="3" fontId="0" fillId="0" borderId="0" xfId="0" applyNumberFormat="1" applyFont="1" applyAlignment="1">
      <alignment vertical="center"/>
    </xf>
    <xf numFmtId="165" fontId="0" fillId="42" borderId="0" xfId="0" applyNumberFormat="1" applyFill="1" applyAlignment="1">
      <alignment vertical="center"/>
    </xf>
    <xf numFmtId="181" fontId="51" fillId="0" borderId="0" xfId="0" applyNumberFormat="1" applyFont="1" applyAlignment="1">
      <alignment vertical="center"/>
    </xf>
    <xf numFmtId="184" fontId="10" fillId="0" borderId="0" xfId="1" applyNumberFormat="1" applyFont="1" applyFill="1" applyAlignment="1">
      <alignment vertical="center"/>
    </xf>
    <xf numFmtId="182" fontId="10" fillId="0" borderId="23" xfId="1" applyNumberFormat="1" applyFont="1" applyFill="1" applyBorder="1" applyAlignment="1">
      <alignment vertical="center"/>
    </xf>
    <xf numFmtId="165" fontId="51" fillId="0" borderId="4" xfId="0" applyNumberFormat="1" applyFont="1" applyBorder="1" applyAlignment="1">
      <alignment vertical="center"/>
    </xf>
    <xf numFmtId="165" fontId="0" fillId="0" borderId="0" xfId="0" applyNumberFormat="1" applyFont="1" applyAlignment="1" applyProtection="1">
      <alignment vertical="center"/>
      <protection locked="0"/>
    </xf>
    <xf numFmtId="166" fontId="0" fillId="0" borderId="0" xfId="0" applyNumberFormat="1" applyAlignment="1">
      <alignment vertical="center"/>
    </xf>
    <xf numFmtId="165" fontId="63" fillId="0" borderId="0" xfId="0" applyNumberFormat="1" applyFont="1" applyAlignment="1">
      <alignment vertical="center"/>
    </xf>
    <xf numFmtId="166" fontId="63" fillId="0" borderId="0" xfId="0" applyNumberFormat="1" applyFont="1" applyAlignment="1">
      <alignment vertical="center"/>
    </xf>
    <xf numFmtId="0" fontId="51" fillId="0" borderId="0" xfId="0" applyFont="1" applyAlignment="1">
      <alignment vertical="center"/>
    </xf>
    <xf numFmtId="188" fontId="0" fillId="0" borderId="0" xfId="0" applyNumberFormat="1" applyFont="1" applyAlignment="1">
      <alignment horizontal="center" vertical="center"/>
    </xf>
    <xf numFmtId="189" fontId="0" fillId="0" borderId="0" xfId="0" applyNumberFormat="1" applyFont="1" applyAlignment="1">
      <alignment vertical="center"/>
    </xf>
    <xf numFmtId="165" fontId="51" fillId="0" borderId="20" xfId="0" applyNumberFormat="1" applyFont="1" applyBorder="1" applyAlignment="1">
      <alignment vertical="center"/>
    </xf>
    <xf numFmtId="165" fontId="0" fillId="43" borderId="0" xfId="0" applyNumberFormat="1" applyFont="1" applyFill="1" applyAlignment="1">
      <alignment vertical="center"/>
    </xf>
    <xf numFmtId="165" fontId="0" fillId="0" borderId="17" xfId="0" applyNumberFormat="1" applyBorder="1" applyAlignment="1">
      <alignment vertical="center"/>
    </xf>
    <xf numFmtId="166" fontId="0" fillId="0" borderId="0" xfId="0" applyNumberFormat="1" applyFont="1" applyAlignment="1">
      <alignment vertical="center"/>
    </xf>
    <xf numFmtId="166" fontId="51" fillId="0" borderId="0" xfId="0" applyNumberFormat="1" applyFont="1" applyAlignment="1">
      <alignment vertical="center"/>
    </xf>
    <xf numFmtId="188" fontId="0" fillId="0" borderId="0" xfId="0" applyNumberFormat="1" applyFont="1" applyAlignment="1">
      <alignment vertical="center"/>
    </xf>
    <xf numFmtId="173" fontId="51" fillId="0" borderId="0" xfId="0" applyNumberFormat="1" applyFont="1" applyAlignment="1">
      <alignment vertical="center"/>
    </xf>
    <xf numFmtId="179" fontId="51" fillId="0" borderId="0" xfId="0" applyNumberFormat="1" applyFont="1" applyAlignment="1">
      <alignment vertical="center"/>
    </xf>
    <xf numFmtId="4" fontId="57" fillId="0" borderId="0" xfId="0" applyNumberFormat="1" applyFont="1" applyAlignment="1">
      <alignment vertical="center"/>
    </xf>
    <xf numFmtId="166" fontId="51" fillId="0" borderId="4" xfId="0" applyNumberFormat="1" applyFont="1" applyBorder="1" applyAlignment="1">
      <alignment vertical="center"/>
    </xf>
    <xf numFmtId="168" fontId="51" fillId="0" borderId="0" xfId="1" applyNumberFormat="1" applyFont="1" applyAlignment="1">
      <alignment vertical="center"/>
    </xf>
    <xf numFmtId="165" fontId="0" fillId="0" borderId="0" xfId="0" applyNumberFormat="1" applyFont="1" applyAlignment="1">
      <alignment vertical="center" wrapText="1"/>
    </xf>
    <xf numFmtId="168" fontId="0" fillId="0" borderId="0" xfId="1" applyNumberFormat="1" applyFont="1" applyAlignment="1">
      <alignment vertical="center"/>
    </xf>
    <xf numFmtId="10" fontId="0" fillId="0" borderId="0" xfId="2" applyNumberFormat="1" applyFont="1" applyAlignment="1">
      <alignment vertical="center"/>
    </xf>
    <xf numFmtId="10" fontId="0" fillId="0" borderId="0" xfId="2" applyNumberFormat="1" applyFont="1" applyFill="1" applyAlignment="1">
      <alignment vertical="center"/>
    </xf>
    <xf numFmtId="168" fontId="0" fillId="0" borderId="0" xfId="1" applyNumberFormat="1" applyFont="1" applyFill="1" applyAlignment="1">
      <alignment vertical="center"/>
    </xf>
    <xf numFmtId="168" fontId="0" fillId="24" borderId="0" xfId="0" applyNumberFormat="1" applyFont="1" applyFill="1" applyAlignment="1">
      <alignment horizontal="right" vertical="center"/>
    </xf>
    <xf numFmtId="168" fontId="0" fillId="0" borderId="17" xfId="1" applyNumberFormat="1" applyFont="1" applyBorder="1" applyAlignment="1">
      <alignment vertical="center"/>
    </xf>
    <xf numFmtId="175" fontId="0" fillId="0" borderId="0" xfId="0" applyNumberFormat="1" applyFont="1" applyAlignment="1">
      <alignment vertical="center"/>
    </xf>
    <xf numFmtId="168" fontId="0" fillId="0" borderId="4" xfId="1" applyNumberFormat="1" applyFont="1" applyBorder="1" applyAlignment="1">
      <alignment vertical="center"/>
    </xf>
    <xf numFmtId="168" fontId="0" fillId="24" borderId="0" xfId="1" applyNumberFormat="1" applyFont="1" applyFill="1" applyAlignment="1">
      <alignment vertical="center"/>
    </xf>
    <xf numFmtId="168" fontId="51" fillId="24" borderId="0" xfId="1" applyNumberFormat="1" applyFont="1" applyFill="1" applyAlignment="1">
      <alignment vertical="center"/>
    </xf>
    <xf numFmtId="165" fontId="0" fillId="37" borderId="0" xfId="0" applyNumberFormat="1" applyFont="1" applyFill="1" applyAlignment="1">
      <alignment vertical="center" wrapText="1"/>
    </xf>
    <xf numFmtId="180" fontId="0" fillId="0" borderId="5" xfId="1" applyNumberFormat="1" applyFont="1" applyBorder="1" applyAlignment="1">
      <alignment vertical="center"/>
    </xf>
    <xf numFmtId="9" fontId="0" fillId="0" borderId="0" xfId="2" applyFont="1" applyAlignment="1">
      <alignment vertical="center"/>
    </xf>
    <xf numFmtId="180" fontId="0" fillId="0" borderId="0" xfId="1" applyNumberFormat="1" applyFont="1" applyAlignment="1">
      <alignment vertical="center"/>
    </xf>
  </cellXfs>
  <cellStyles count="2486">
    <cellStyle name="%" xfId="5"/>
    <cellStyle name="% 2" xfId="6"/>
    <cellStyle name="% 3" xfId="7"/>
    <cellStyle name="%_NRA_model_for_NEMO" xfId="8"/>
    <cellStyle name="%_NRA_model_for_NEMO_NRA_model_for_NEMO2 (EMC Update) v0 30 1" xfId="19"/>
    <cellStyle name="%_NRA_model_for_NEMO_NRA_model_for_NEMO2 (EMC Update) v0.29.3" xfId="9"/>
    <cellStyle name="%_NRA_model_for_NEMO_NRA_model_for_NEMO2 (EMC Update) v0.29.3_NRA_model_for_NEMO2 (EMC Update) v0 30 1" xfId="12"/>
    <cellStyle name="%_NRA_model_for_NEMO_NRA_model_for_NEMO2 (EMC Update) v0.29.3_NRA_model_for_NEMO2 (EMC Update) v0.29.5" xfId="10"/>
    <cellStyle name="%_NRA_model_for_NEMO_NRA_model_for_NEMO2 (EMC Update) v0.29.3_NRA_model_for_NEMO2 (EMC Update) v0.29.5_NRA_model_for_NEMO2 (EMC Update) v0 30 1" xfId="11"/>
    <cellStyle name="%_NRA_model_for_NEMO_NRA_model_for_NEMO2 (EMC Update) v0.29.4" xfId="13"/>
    <cellStyle name="%_NRA_model_for_NEMO_NRA_model_for_NEMO2 (EMC Update) v0.29.4_NRA_model_for_NEMO2 (EMC Update) v0 30 1" xfId="16"/>
    <cellStyle name="%_NRA_model_for_NEMO_NRA_model_for_NEMO2 (EMC Update) v0.29.4_NRA_model_for_NEMO2 (EMC Update) v0.29.5" xfId="14"/>
    <cellStyle name="%_NRA_model_for_NEMO_NRA_model_for_NEMO2 (EMC Update) v0.29.4_NRA_model_for_NEMO2 (EMC Update) v0.29.5_NRA_model_for_NEMO2 (EMC Update) v0 30 1" xfId="15"/>
    <cellStyle name="%_NRA_model_for_NEMO_NRA_model_for_NEMO2 (EMC Update) v0.29.5" xfId="17"/>
    <cellStyle name="%_NRA_model_for_NEMO_NRA_model_for_NEMO2 (EMC Update) v0.29.5_NRA_model_for_NEMO2 (EMC Update) v0 30 1" xfId="18"/>
    <cellStyle name="%_NRA_model_for_NEMO2 " xfId="20"/>
    <cellStyle name="%_NRA_model_for_NEMO2 (E" xfId="21"/>
    <cellStyle name="%_NRA_model_for_NEMO2 (E_NRA_model_for_NEMO2 (EMC Update) v0 30 1" xfId="22"/>
    <cellStyle name="%_NRA_model_for_NEMO2 (EMC" xfId="23"/>
    <cellStyle name="%_NRA_model_for_NEMO2 (EMC Update) v0 30 1" xfId="1797"/>
    <cellStyle name="%_NRA_model_for_NEMO2 (EMC Update) v0.19" xfId="24"/>
    <cellStyle name="%_NRA_model_for_NEMO2 (EMC Update) v0.19_NRA_model_for_NEMO2 (EMC Update) v0 30 1" xfId="568"/>
    <cellStyle name="%_NRA_model_for_NEMO2 (EMC Update) v0.19_NRA_model_for_NEMO2 (EMC Update) v0.21" xfId="25"/>
    <cellStyle name="%_NRA_model_for_NEMO2 (EMC Update) v0.19_NRA_model_for_NEMO2 (EMC Update) v0.21_NRA_model_for_NEMO2 (EMC Update) v0 30 1" xfId="251"/>
    <cellStyle name="%_NRA_model_for_NEMO2 (EMC Update) v0.19_NRA_model_for_NEMO2 (EMC Update) v0.21_NRA_model_for_NEMO2 (EMC Update) v0.22" xfId="26"/>
    <cellStyle name="%_NRA_model_for_NEMO2 (EMC Update) v0.19_NRA_model_for_NEMO2 (EMC Update) v0.21_NRA_model_for_NEMO2 (EMC Update) v0.22_NRA_model_for_NEMO2 (EMC Update) v0 30 1" xfId="111"/>
    <cellStyle name="%_NRA_model_for_NEMO2 (EMC Update) v0.19_NRA_model_for_NEMO2 (EMC Update) v0.21_NRA_model_for_NEMO2 (EMC Update) v0.22_NRA_model_for_NEMO2 (EMC Update) v0.25" xfId="27"/>
    <cellStyle name="%_NRA_model_for_NEMO2 (EMC Update) v0.19_NRA_model_for_NEMO2 (EMC Update) v0.21_NRA_model_for_NEMO2 (EMC Update) v0.22_NRA_model_for_NEMO2 (EMC Update) v0.25_NRA_model_for_NEMO2 (EMC Update) v0 30 1" xfId="54"/>
    <cellStyle name="%_NRA_model_for_NEMO2 (EMC Update) v0.19_NRA_model_for_NEMO2 (EMC Update) v0.21_NRA_model_for_NEMO2 (EMC Update) v0.22_NRA_model_for_NEMO2 (EMC Update) v0.25_NRA_model_for_NEMO2 (EMC Update) v0.26" xfId="28"/>
    <cellStyle name="%_NRA_model_for_NEMO2 (EMC Update) v0.19_NRA_model_for_NEMO2 (EMC Update) v0.21_NRA_model_for_NEMO2 (EMC Update) v0.22_NRA_model_for_NEMO2 (EMC Update) v0.25_NRA_model_for_NEMO2 (EMC Update) v0.26_NRA_model_for_NEMO2 (EMC Update) v0 30 1" xfId="34"/>
    <cellStyle name="%_NRA_model_for_NEMO2 (EMC Update) v0.19_NRA_model_for_NEMO2 (EMC Update) v0.21_NRA_model_for_NEMO2 (EMC Update) v0.22_NRA_model_for_NEMO2 (EMC Update) v0.25_NRA_model_for_NEMO2 (EMC Update) v0.26_NRA_model_for_NEMO2 (EMC Update) v0.29" xfId="29"/>
    <cellStyle name="%_NRA_model_for_NEMO2 (EMC Update) v0.19_NRA_model_for_NEMO2 (EMC Update) v0.21_NRA_model_for_NEMO2 (EMC Update) v0.22_NRA_model_for_NEMO2 (EMC Update) v0.25_NRA_model_for_NEMO2 (EMC Update) v0.26_NRA_model_for_NEMO2 (EMC Update) v0.29.2" xfId="30"/>
    <cellStyle name="%_NRA_model_for_NEMO2 (EMC Update) v0.19_NRA_model_for_NEMO2 (EMC Update) v0.21_NRA_model_for_NEMO2 (EMC Update) v0.22_NRA_model_for_NEMO2 (EMC Update) v0.25_NRA_model_for_NEMO2 (EMC Update) v0.26_NRA_model_for_NEMO2 (EMC Update) v0.29.3" xfId="31"/>
    <cellStyle name="%_NRA_model_for_NEMO2 (EMC Update) v0.19_NRA_model_for_NEMO2 (EMC Update) v0.21_NRA_model_for_NEMO2 (EMC Update) v0.22_NRA_model_for_NEMO2 (EMC Update) v0.25_NRA_model_for_NEMO2 (EMC Update) v0.26_NRA_model_for_NEMO2 (EMC Update) v0.29.4" xfId="32"/>
    <cellStyle name="%_NRA_model_for_NEMO2 (EMC Update) v0.19_NRA_model_for_NEMO2 (EMC Update) v0.21_NRA_model_for_NEMO2 (EMC Update) v0.22_NRA_model_for_NEMO2 (EMC Update) v0.25_NRA_model_for_NEMO2 (EMC Update) v0.26_NRA_model_for_NEMO2 (EMC Update) v0.29.5" xfId="33"/>
    <cellStyle name="%_NRA_model_for_NEMO2 (EMC Update) v0.19_NRA_model_for_NEMO2 (EMC Update) v0.21_NRA_model_for_NEMO2 (EMC Update) v0.22_NRA_model_for_NEMO2 (EMC Update) v0.25_NRA_model_for_NEMO2 (EMC Update) v0.29" xfId="35"/>
    <cellStyle name="%_NRA_model_for_NEMO2 (EMC Update) v0.19_NRA_model_for_NEMO2 (EMC Update) v0.21_NRA_model_for_NEMO2 (EMC Update) v0.22_NRA_model_for_NEMO2 (EMC Update) v0.25_NRA_model_for_NEMO2 (EMC Update) v0.29.2" xfId="36"/>
    <cellStyle name="%_NRA_model_for_NEMO2 (EMC Update) v0.19_NRA_model_for_NEMO2 (EMC Update) v0.21_NRA_model_for_NEMO2 (EMC Update) v0.22_NRA_model_for_NEMO2 (EMC Update) v0.25_NRA_model_for_NEMO2 (EMC Update) v0.29.2_NRA_model_for_NEMO2 (EMC Update) v0 30 1" xfId="40"/>
    <cellStyle name="%_NRA_model_for_NEMO2 (EMC Update) v0.19_NRA_model_for_NEMO2 (EMC Update) v0.21_NRA_model_for_NEMO2 (EMC Update) v0.22_NRA_model_for_NEMO2 (EMC Update) v0.25_NRA_model_for_NEMO2 (EMC Update) v0.29.2_NRA_model_for_NEMO2 (EMC Update) v0.29.3" xfId="37"/>
    <cellStyle name="%_NRA_model_for_NEMO2 (EMC Update) v0.19_NRA_model_for_NEMO2 (EMC Update) v0.21_NRA_model_for_NEMO2 (EMC Update) v0.22_NRA_model_for_NEMO2 (EMC Update) v0.25_NRA_model_for_NEMO2 (EMC Update) v0.29.2_NRA_model_for_NEMO2 (EMC Update) v0.29.4" xfId="38"/>
    <cellStyle name="%_NRA_model_for_NEMO2 (EMC Update) v0.19_NRA_model_for_NEMO2 (EMC Update) v0.21_NRA_model_for_NEMO2 (EMC Update) v0.22_NRA_model_for_NEMO2 (EMC Update) v0.25_NRA_model_for_NEMO2 (EMC Update) v0.29.2_NRA_model_for_NEMO2 (EMC Update) v0.29.5" xfId="39"/>
    <cellStyle name="%_NRA_model_for_NEMO2 (EMC Update) v0.19_NRA_model_for_NEMO2 (EMC Update) v0.21_NRA_model_for_NEMO2 (EMC Update) v0.22_NRA_model_for_NEMO2 (EMC Update) v0.25_NRA_model_for_NEMO2 (EMC Update) v0.29.3" xfId="41"/>
    <cellStyle name="%_NRA_model_for_NEMO2 (EMC Update) v0.19_NRA_model_for_NEMO2 (EMC Update) v0.21_NRA_model_for_NEMO2 (EMC Update) v0.22_NRA_model_for_NEMO2 (EMC Update) v0.25_NRA_model_for_NEMO2 (EMC Update) v0.29.3_NRA_model_for_NEMO2 (EMC Update) v0 30 1" xfId="43"/>
    <cellStyle name="%_NRA_model_for_NEMO2 (EMC Update) v0.19_NRA_model_for_NEMO2 (EMC Update) v0.21_NRA_model_for_NEMO2 (EMC Update) v0.22_NRA_model_for_NEMO2 (EMC Update) v0.25_NRA_model_for_NEMO2 (EMC Update) v0.29.3_NRA_model_for_NEMO2 (EMC Update) v0.29.5" xfId="42"/>
    <cellStyle name="%_NRA_model_for_NEMO2 (EMC Update) v0.19_NRA_model_for_NEMO2 (EMC Update) v0.21_NRA_model_for_NEMO2 (EMC Update) v0.22_NRA_model_for_NEMO2 (EMC Update) v0.25_NRA_model_for_NEMO2 (EMC Update) v0.29.4" xfId="44"/>
    <cellStyle name="%_NRA_model_for_NEMO2 (EMC Update) v0.19_NRA_model_for_NEMO2 (EMC Update) v0.21_NRA_model_for_NEMO2 (EMC Update) v0.22_NRA_model_for_NEMO2 (EMC Update) v0.25_NRA_model_for_NEMO2 (EMC Update) v0.29.4_NRA_model_for_NEMO2 (EMC Update) v0 30 1" xfId="46"/>
    <cellStyle name="%_NRA_model_for_NEMO2 (EMC Update) v0.19_NRA_model_for_NEMO2 (EMC Update) v0.21_NRA_model_for_NEMO2 (EMC Update) v0.22_NRA_model_for_NEMO2 (EMC Update) v0.25_NRA_model_for_NEMO2 (EMC Update) v0.29.4_NRA_model_for_NEMO2 (EMC Update) v0.29.5" xfId="45"/>
    <cellStyle name="%_NRA_model_for_NEMO2 (EMC Update) v0.19_NRA_model_for_NEMO2 (EMC Update) v0.21_NRA_model_for_NEMO2 (EMC Update) v0.22_NRA_model_for_NEMO2 (EMC Update) v0.25_NRA_model_for_NEMO2 (EMC Update) v0.29.5" xfId="47"/>
    <cellStyle name="%_NRA_model_for_NEMO2 (EMC Update) v0.19_NRA_model_for_NEMO2 (EMC Update) v0.21_NRA_model_for_NEMO2 (EMC Update) v0.22_NRA_model_for_NEMO2 (EMC Update) v0.25_NRA_model_for_NEMO2 (EMC Update) v0.29.5_NRA_model_for_NEMO2 (EMC Update) v0 30 1" xfId="48"/>
    <cellStyle name="%_NRA_model_for_NEMO2 (EMC Update) v0.19_NRA_model_for_NEMO2 (EMC Update) v0.21_NRA_model_for_NEMO2 (EMC Update) v0.22_NRA_model_for_NEMO2 (EMC Update) v0.25_NRA_model_for_NEMO2 (EMC Update) v0.29_NRA_model_for_NEMO2 (EMC Update) v0 30 1" xfId="53"/>
    <cellStyle name="%_NRA_model_for_NEMO2 (EMC Update) v0.19_NRA_model_for_NEMO2 (EMC Update) v0.21_NRA_model_for_NEMO2 (EMC Update) v0.22_NRA_model_for_NEMO2 (EMC Update) v0.25_NRA_model_for_NEMO2 (EMC Update) v0.29_NRA_model_for_NEMO2 (EMC Update) v0.29.2" xfId="49"/>
    <cellStyle name="%_NRA_model_for_NEMO2 (EMC Update) v0.19_NRA_model_for_NEMO2 (EMC Update) v0.21_NRA_model_for_NEMO2 (EMC Update) v0.22_NRA_model_for_NEMO2 (EMC Update) v0.25_NRA_model_for_NEMO2 (EMC Update) v0.29_NRA_model_for_NEMO2 (EMC Update) v0.29.3" xfId="50"/>
    <cellStyle name="%_NRA_model_for_NEMO2 (EMC Update) v0.19_NRA_model_for_NEMO2 (EMC Update) v0.21_NRA_model_for_NEMO2 (EMC Update) v0.22_NRA_model_for_NEMO2 (EMC Update) v0.25_NRA_model_for_NEMO2 (EMC Update) v0.29_NRA_model_for_NEMO2 (EMC Update) v0.29.4" xfId="51"/>
    <cellStyle name="%_NRA_model_for_NEMO2 (EMC Update) v0.19_NRA_model_for_NEMO2 (EMC Update) v0.21_NRA_model_for_NEMO2 (EMC Update) v0.22_NRA_model_for_NEMO2 (EMC Update) v0.25_NRA_model_for_NEMO2 (EMC Update) v0.29_NRA_model_for_NEMO2 (EMC Update) v0.29.5" xfId="52"/>
    <cellStyle name="%_NRA_model_for_NEMO2 (EMC Update) v0.19_NRA_model_for_NEMO2 (EMC Update) v0.21_NRA_model_for_NEMO2 (EMC Update) v0.22_NRA_model_for_NEMO2 (EMC Update) v0.26" xfId="55"/>
    <cellStyle name="%_NRA_model_for_NEMO2 (EMC Update) v0.19_NRA_model_for_NEMO2 (EMC Update) v0.21_NRA_model_for_NEMO2 (EMC Update) v0.22_NRA_model_for_NEMO2 (EMC Update) v0.26_NRA_model_for_NEMO2 (EMC Update) v0 30 1" xfId="75"/>
    <cellStyle name="%_NRA_model_for_NEMO2 (EMC Update) v0.19_NRA_model_for_NEMO2 (EMC Update) v0.21_NRA_model_for_NEMO2 (EMC Update) v0.22_NRA_model_for_NEMO2 (EMC Update) v0.26_NRA_model_for_NEMO2 (EMC Update) v0.29" xfId="56"/>
    <cellStyle name="%_NRA_model_for_NEMO2 (EMC Update) v0.19_NRA_model_for_NEMO2 (EMC Update) v0.21_NRA_model_for_NEMO2 (EMC Update) v0.22_NRA_model_for_NEMO2 (EMC Update) v0.26_NRA_model_for_NEMO2 (EMC Update) v0.29.2" xfId="57"/>
    <cellStyle name="%_NRA_model_for_NEMO2 (EMC Update) v0.19_NRA_model_for_NEMO2 (EMC Update) v0.21_NRA_model_for_NEMO2 (EMC Update) v0.22_NRA_model_for_NEMO2 (EMC Update) v0.26_NRA_model_for_NEMO2 (EMC Update) v0.29.2_NRA_model_for_NEMO2 (EMC Update) v0 30 1" xfId="61"/>
    <cellStyle name="%_NRA_model_for_NEMO2 (EMC Update) v0.19_NRA_model_for_NEMO2 (EMC Update) v0.21_NRA_model_for_NEMO2 (EMC Update) v0.22_NRA_model_for_NEMO2 (EMC Update) v0.26_NRA_model_for_NEMO2 (EMC Update) v0.29.2_NRA_model_for_NEMO2 (EMC Update) v0.29.3" xfId="58"/>
    <cellStyle name="%_NRA_model_for_NEMO2 (EMC Update) v0.19_NRA_model_for_NEMO2 (EMC Update) v0.21_NRA_model_for_NEMO2 (EMC Update) v0.22_NRA_model_for_NEMO2 (EMC Update) v0.26_NRA_model_for_NEMO2 (EMC Update) v0.29.2_NRA_model_for_NEMO2 (EMC Update) v0.29.4" xfId="59"/>
    <cellStyle name="%_NRA_model_for_NEMO2 (EMC Update) v0.19_NRA_model_for_NEMO2 (EMC Update) v0.21_NRA_model_for_NEMO2 (EMC Update) v0.22_NRA_model_for_NEMO2 (EMC Update) v0.26_NRA_model_for_NEMO2 (EMC Update) v0.29.2_NRA_model_for_NEMO2 (EMC Update) v0.29.5" xfId="60"/>
    <cellStyle name="%_NRA_model_for_NEMO2 (EMC Update) v0.19_NRA_model_for_NEMO2 (EMC Update) v0.21_NRA_model_for_NEMO2 (EMC Update) v0.22_NRA_model_for_NEMO2 (EMC Update) v0.26_NRA_model_for_NEMO2 (EMC Update) v0.29.3" xfId="62"/>
    <cellStyle name="%_NRA_model_for_NEMO2 (EMC Update) v0.19_NRA_model_for_NEMO2 (EMC Update) v0.21_NRA_model_for_NEMO2 (EMC Update) v0.22_NRA_model_for_NEMO2 (EMC Update) v0.26_NRA_model_for_NEMO2 (EMC Update) v0.29.3_NRA_model_for_NEMO2 (EMC Update) v0 30 1" xfId="64"/>
    <cellStyle name="%_NRA_model_for_NEMO2 (EMC Update) v0.19_NRA_model_for_NEMO2 (EMC Update) v0.21_NRA_model_for_NEMO2 (EMC Update) v0.22_NRA_model_for_NEMO2 (EMC Update) v0.26_NRA_model_for_NEMO2 (EMC Update) v0.29.3_NRA_model_for_NEMO2 (EMC Update) v0.29.5" xfId="63"/>
    <cellStyle name="%_NRA_model_for_NEMO2 (EMC Update) v0.19_NRA_model_for_NEMO2 (EMC Update) v0.21_NRA_model_for_NEMO2 (EMC Update) v0.22_NRA_model_for_NEMO2 (EMC Update) v0.26_NRA_model_for_NEMO2 (EMC Update) v0.29.4" xfId="65"/>
    <cellStyle name="%_NRA_model_for_NEMO2 (EMC Update) v0.19_NRA_model_for_NEMO2 (EMC Update) v0.21_NRA_model_for_NEMO2 (EMC Update) v0.22_NRA_model_for_NEMO2 (EMC Update) v0.26_NRA_model_for_NEMO2 (EMC Update) v0.29.4_NRA_model_for_NEMO2 (EMC Update) v0 30 1" xfId="67"/>
    <cellStyle name="%_NRA_model_for_NEMO2 (EMC Update) v0.19_NRA_model_for_NEMO2 (EMC Update) v0.21_NRA_model_for_NEMO2 (EMC Update) v0.22_NRA_model_for_NEMO2 (EMC Update) v0.26_NRA_model_for_NEMO2 (EMC Update) v0.29.4_NRA_model_for_NEMO2 (EMC Update) v0.29.5" xfId="66"/>
    <cellStyle name="%_NRA_model_for_NEMO2 (EMC Update) v0.19_NRA_model_for_NEMO2 (EMC Update) v0.21_NRA_model_for_NEMO2 (EMC Update) v0.22_NRA_model_for_NEMO2 (EMC Update) v0.26_NRA_model_for_NEMO2 (EMC Update) v0.29.5" xfId="68"/>
    <cellStyle name="%_NRA_model_for_NEMO2 (EMC Update) v0.19_NRA_model_for_NEMO2 (EMC Update) v0.21_NRA_model_for_NEMO2 (EMC Update) v0.22_NRA_model_for_NEMO2 (EMC Update) v0.26_NRA_model_for_NEMO2 (EMC Update) v0.29.5_NRA_model_for_NEMO2 (EMC Update) v0 30 1" xfId="69"/>
    <cellStyle name="%_NRA_model_for_NEMO2 (EMC Update) v0.19_NRA_model_for_NEMO2 (EMC Update) v0.21_NRA_model_for_NEMO2 (EMC Update) v0.22_NRA_model_for_NEMO2 (EMC Update) v0.26_NRA_model_for_NEMO2 (EMC Update) v0.29_NRA_model_for_NEMO2 (EMC Update) v0 30 1" xfId="74"/>
    <cellStyle name="%_NRA_model_for_NEMO2 (EMC Update) v0.19_NRA_model_for_NEMO2 (EMC Update) v0.21_NRA_model_for_NEMO2 (EMC Update) v0.22_NRA_model_for_NEMO2 (EMC Update) v0.26_NRA_model_for_NEMO2 (EMC Update) v0.29_NRA_model_for_NEMO2 (EMC Update) v0.29.2" xfId="70"/>
    <cellStyle name="%_NRA_model_for_NEMO2 (EMC Update) v0.19_NRA_model_for_NEMO2 (EMC Update) v0.21_NRA_model_for_NEMO2 (EMC Update) v0.22_NRA_model_for_NEMO2 (EMC Update) v0.26_NRA_model_for_NEMO2 (EMC Update) v0.29_NRA_model_for_NEMO2 (EMC Update) v0.29.3" xfId="71"/>
    <cellStyle name="%_NRA_model_for_NEMO2 (EMC Update) v0.19_NRA_model_for_NEMO2 (EMC Update) v0.21_NRA_model_for_NEMO2 (EMC Update) v0.22_NRA_model_for_NEMO2 (EMC Update) v0.26_NRA_model_for_NEMO2 (EMC Update) v0.29_NRA_model_for_NEMO2 (EMC Update) v0.29.4" xfId="72"/>
    <cellStyle name="%_NRA_model_for_NEMO2 (EMC Update) v0.19_NRA_model_for_NEMO2 (EMC Update) v0.21_NRA_model_for_NEMO2 (EMC Update) v0.22_NRA_model_for_NEMO2 (EMC Update) v0.26_NRA_model_for_NEMO2 (EMC Update) v0.29_NRA_model_for_NEMO2 (EMC Update) v0.29.5" xfId="73"/>
    <cellStyle name="%_NRA_model_for_NEMO2 (EMC Update) v0.19_NRA_model_for_NEMO2 (EMC Update) v0.21_NRA_model_for_NEMO2 (EMC Update) v0.22_NRA_model_for_NEMO2 (EMC Update) v0.29" xfId="76"/>
    <cellStyle name="%_NRA_model_for_NEMO2 (EMC Update) v0.19_NRA_model_for_NEMO2 (EMC Update) v0.21_NRA_model_for_NEMO2 (EMC Update) v0.22_NRA_model_for_NEMO2 (EMC Update) v0.29.2" xfId="77"/>
    <cellStyle name="%_NRA_model_for_NEMO2 (EMC Update) v0.19_NRA_model_for_NEMO2 (EMC Update) v0.21_NRA_model_for_NEMO2 (EMC Update) v0.22_NRA_model_for_NEMO2 (EMC Update) v0.29.2_NRA_model_for_NEMO2 (EMC Update) v0 30 1" xfId="86"/>
    <cellStyle name="%_NRA_model_for_NEMO2 (EMC Update) v0.19_NRA_model_for_NEMO2 (EMC Update) v0.21_NRA_model_for_NEMO2 (EMC Update) v0.22_NRA_model_for_NEMO2 (EMC Update) v0.29.2_NRA_model_for_NEMO2 (EMC Update) v0.29.3" xfId="78"/>
    <cellStyle name="%_NRA_model_for_NEMO2 (EMC Update) v0.19_NRA_model_for_NEMO2 (EMC Update) v0.21_NRA_model_for_NEMO2 (EMC Update) v0.22_NRA_model_for_NEMO2 (EMC Update) v0.29.2_NRA_model_for_NEMO2 (EMC Update) v0.29.3_NRA_model_for_NEMO2 (EMC Update) v0 30 1" xfId="80"/>
    <cellStyle name="%_NRA_model_for_NEMO2 (EMC Update) v0.19_NRA_model_for_NEMO2 (EMC Update) v0.21_NRA_model_for_NEMO2 (EMC Update) v0.22_NRA_model_for_NEMO2 (EMC Update) v0.29.2_NRA_model_for_NEMO2 (EMC Update) v0.29.3_NRA_model_for_NEMO2 (EMC Update) v0.29.5" xfId="79"/>
    <cellStyle name="%_NRA_model_for_NEMO2 (EMC Update) v0.19_NRA_model_for_NEMO2 (EMC Update) v0.21_NRA_model_for_NEMO2 (EMC Update) v0.22_NRA_model_for_NEMO2 (EMC Update) v0.29.2_NRA_model_for_NEMO2 (EMC Update) v0.29.4" xfId="81"/>
    <cellStyle name="%_NRA_model_for_NEMO2 (EMC Update) v0.19_NRA_model_for_NEMO2 (EMC Update) v0.21_NRA_model_for_NEMO2 (EMC Update) v0.22_NRA_model_for_NEMO2 (EMC Update) v0.29.2_NRA_model_for_NEMO2 (EMC Update) v0.29.4_NRA_model_for_NEMO2 (EMC Update) v0 30 1" xfId="83"/>
    <cellStyle name="%_NRA_model_for_NEMO2 (EMC Update) v0.19_NRA_model_for_NEMO2 (EMC Update) v0.21_NRA_model_for_NEMO2 (EMC Update) v0.22_NRA_model_for_NEMO2 (EMC Update) v0.29.2_NRA_model_for_NEMO2 (EMC Update) v0.29.4_NRA_model_for_NEMO2 (EMC Update) v0.29.5" xfId="82"/>
    <cellStyle name="%_NRA_model_for_NEMO2 (EMC Update) v0.19_NRA_model_for_NEMO2 (EMC Update) v0.21_NRA_model_for_NEMO2 (EMC Update) v0.22_NRA_model_for_NEMO2 (EMC Update) v0.29.2_NRA_model_for_NEMO2 (EMC Update) v0.29.5" xfId="84"/>
    <cellStyle name="%_NRA_model_for_NEMO2 (EMC Update) v0.19_NRA_model_for_NEMO2 (EMC Update) v0.21_NRA_model_for_NEMO2 (EMC Update) v0.22_NRA_model_for_NEMO2 (EMC Update) v0.29.2_NRA_model_for_NEMO2 (EMC Update) v0.29.5_NRA_model_for_NEMO2 (EMC Update) v0 30 1" xfId="85"/>
    <cellStyle name="%_NRA_model_for_NEMO2 (EMC Update) v0.19_NRA_model_for_NEMO2 (EMC Update) v0.21_NRA_model_for_NEMO2 (EMC Update) v0.22_NRA_model_for_NEMO2 (EMC Update) v0.29.3" xfId="87"/>
    <cellStyle name="%_NRA_model_for_NEMO2 (EMC Update) v0.19_NRA_model_for_NEMO2 (EMC Update) v0.21_NRA_model_for_NEMO2 (EMC Update) v0.22_NRA_model_for_NEMO2 (EMC Update) v0.29.3_NRA_model_for_NEMO2 (EMC Update) v0 30 1" xfId="90"/>
    <cellStyle name="%_NRA_model_for_NEMO2 (EMC Update) v0.19_NRA_model_for_NEMO2 (EMC Update) v0.21_NRA_model_for_NEMO2 (EMC Update) v0.22_NRA_model_for_NEMO2 (EMC Update) v0.29.3_NRA_model_for_NEMO2 (EMC Update) v0.29.5" xfId="88"/>
    <cellStyle name="%_NRA_model_for_NEMO2 (EMC Update) v0.19_NRA_model_for_NEMO2 (EMC Update) v0.21_NRA_model_for_NEMO2 (EMC Update) v0.22_NRA_model_for_NEMO2 (EMC Update) v0.29.3_NRA_model_for_NEMO2 (EMC Update) v0.29.5_NRA_model_for_NEMO2 (EMC Update) v0 30 1" xfId="89"/>
    <cellStyle name="%_NRA_model_for_NEMO2 (EMC Update) v0.19_NRA_model_for_NEMO2 (EMC Update) v0.21_NRA_model_for_NEMO2 (EMC Update) v0.22_NRA_model_for_NEMO2 (EMC Update) v0.29.4" xfId="91"/>
    <cellStyle name="%_NRA_model_for_NEMO2 (EMC Update) v0.19_NRA_model_for_NEMO2 (EMC Update) v0.21_NRA_model_for_NEMO2 (EMC Update) v0.22_NRA_model_for_NEMO2 (EMC Update) v0.29.4_NRA_model_for_NEMO2 (EMC Update) v0 30 1" xfId="94"/>
    <cellStyle name="%_NRA_model_for_NEMO2 (EMC Update) v0.19_NRA_model_for_NEMO2 (EMC Update) v0.21_NRA_model_for_NEMO2 (EMC Update) v0.22_NRA_model_for_NEMO2 (EMC Update) v0.29.4_NRA_model_for_NEMO2 (EMC Update) v0.29.5" xfId="92"/>
    <cellStyle name="%_NRA_model_for_NEMO2 (EMC Update) v0.19_NRA_model_for_NEMO2 (EMC Update) v0.21_NRA_model_for_NEMO2 (EMC Update) v0.22_NRA_model_for_NEMO2 (EMC Update) v0.29.4_NRA_model_for_NEMO2 (EMC Update) v0.29.5_NRA_model_for_NEMO2 (EMC Update) v0 30 1" xfId="93"/>
    <cellStyle name="%_NRA_model_for_NEMO2 (EMC Update) v0.19_NRA_model_for_NEMO2 (EMC Update) v0.21_NRA_model_for_NEMO2 (EMC Update) v0.22_NRA_model_for_NEMO2 (EMC Update) v0.29.5" xfId="95"/>
    <cellStyle name="%_NRA_model_for_NEMO2 (EMC Update) v0.19_NRA_model_for_NEMO2 (EMC Update) v0.21_NRA_model_for_NEMO2 (EMC Update) v0.22_NRA_model_for_NEMO2 (EMC Update) v0.29.5_NRA_model_for_NEMO2 (EMC Update) v0 30 1" xfId="96"/>
    <cellStyle name="%_NRA_model_for_NEMO2 (EMC Update) v0.19_NRA_model_for_NEMO2 (EMC Update) v0.21_NRA_model_for_NEMO2 (EMC Update) v0.22_NRA_model_for_NEMO2 (EMC Update) v0.29_NRA_model_for_NEMO2 (EMC Update) v0 30 1" xfId="110"/>
    <cellStyle name="%_NRA_model_for_NEMO2 (EMC Update) v0.19_NRA_model_for_NEMO2 (EMC Update) v0.21_NRA_model_for_NEMO2 (EMC Update) v0.22_NRA_model_for_NEMO2 (EMC Update) v0.29_NRA_model_for_NEMO2 (EMC Update) v0.29.2" xfId="97"/>
    <cellStyle name="%_NRA_model_for_NEMO2 (EMC Update) v0.19_NRA_model_for_NEMO2 (EMC Update) v0.21_NRA_model_for_NEMO2 (EMC Update) v0.22_NRA_model_for_NEMO2 (EMC Update) v0.29_NRA_model_for_NEMO2 (EMC Update) v0.29.2_NRA_model_for_NEMO2 (EMC Update) v0 30 1" xfId="101"/>
    <cellStyle name="%_NRA_model_for_NEMO2 (EMC Update) v0.19_NRA_model_for_NEMO2 (EMC Update) v0.21_NRA_model_for_NEMO2 (EMC Update) v0.22_NRA_model_for_NEMO2 (EMC Update) v0.29_NRA_model_for_NEMO2 (EMC Update) v0.29.2_NRA_model_for_NEMO2 (EMC Update) v0.29.3" xfId="98"/>
    <cellStyle name="%_NRA_model_for_NEMO2 (EMC Update) v0.19_NRA_model_for_NEMO2 (EMC Update) v0.21_NRA_model_for_NEMO2 (EMC Update) v0.22_NRA_model_for_NEMO2 (EMC Update) v0.29_NRA_model_for_NEMO2 (EMC Update) v0.29.2_NRA_model_for_NEMO2 (EMC Update) v0.29.4" xfId="99"/>
    <cellStyle name="%_NRA_model_for_NEMO2 (EMC Update) v0.19_NRA_model_for_NEMO2 (EMC Update) v0.21_NRA_model_for_NEMO2 (EMC Update) v0.22_NRA_model_for_NEMO2 (EMC Update) v0.29_NRA_model_for_NEMO2 (EMC Update) v0.29.2_NRA_model_for_NEMO2 (EMC Update) v0.29.5" xfId="100"/>
    <cellStyle name="%_NRA_model_for_NEMO2 (EMC Update) v0.19_NRA_model_for_NEMO2 (EMC Update) v0.21_NRA_model_for_NEMO2 (EMC Update) v0.22_NRA_model_for_NEMO2 (EMC Update) v0.29_NRA_model_for_NEMO2 (EMC Update) v0.29.3" xfId="102"/>
    <cellStyle name="%_NRA_model_for_NEMO2 (EMC Update) v0.19_NRA_model_for_NEMO2 (EMC Update) v0.21_NRA_model_for_NEMO2 (EMC Update) v0.22_NRA_model_for_NEMO2 (EMC Update) v0.29_NRA_model_for_NEMO2 (EMC Update) v0.29.3_NRA_model_for_NEMO2 (EMC Update) v0 30 1" xfId="104"/>
    <cellStyle name="%_NRA_model_for_NEMO2 (EMC Update) v0.19_NRA_model_for_NEMO2 (EMC Update) v0.21_NRA_model_for_NEMO2 (EMC Update) v0.22_NRA_model_for_NEMO2 (EMC Update) v0.29_NRA_model_for_NEMO2 (EMC Update) v0.29.3_NRA_model_for_NEMO2 (EMC Update) v0.29.5" xfId="103"/>
    <cellStyle name="%_NRA_model_for_NEMO2 (EMC Update) v0.19_NRA_model_for_NEMO2 (EMC Update) v0.21_NRA_model_for_NEMO2 (EMC Update) v0.22_NRA_model_for_NEMO2 (EMC Update) v0.29_NRA_model_for_NEMO2 (EMC Update) v0.29.4" xfId="105"/>
    <cellStyle name="%_NRA_model_for_NEMO2 (EMC Update) v0.19_NRA_model_for_NEMO2 (EMC Update) v0.21_NRA_model_for_NEMO2 (EMC Update) v0.22_NRA_model_for_NEMO2 (EMC Update) v0.29_NRA_model_for_NEMO2 (EMC Update) v0.29.4_NRA_model_for_NEMO2 (EMC Update) v0 30 1" xfId="107"/>
    <cellStyle name="%_NRA_model_for_NEMO2 (EMC Update) v0.19_NRA_model_for_NEMO2 (EMC Update) v0.21_NRA_model_for_NEMO2 (EMC Update) v0.22_NRA_model_for_NEMO2 (EMC Update) v0.29_NRA_model_for_NEMO2 (EMC Update) v0.29.4_NRA_model_for_NEMO2 (EMC Update) v0.29.5" xfId="106"/>
    <cellStyle name="%_NRA_model_for_NEMO2 (EMC Update) v0.19_NRA_model_for_NEMO2 (EMC Update) v0.21_NRA_model_for_NEMO2 (EMC Update) v0.22_NRA_model_for_NEMO2 (EMC Update) v0.29_NRA_model_for_NEMO2 (EMC Update) v0.29.5" xfId="108"/>
    <cellStyle name="%_NRA_model_for_NEMO2 (EMC Update) v0.19_NRA_model_for_NEMO2 (EMC Update) v0.21_NRA_model_for_NEMO2 (EMC Update) v0.22_NRA_model_for_NEMO2 (EMC Update) v0.29_NRA_model_for_NEMO2 (EMC Update) v0.29.5_NRA_model_for_NEMO2 (EMC Update) v0 30 1" xfId="109"/>
    <cellStyle name="%_NRA_model_for_NEMO2 (EMC Update) v0.19_NRA_model_for_NEMO2 (EMC Update) v0.21_NRA_model_for_NEMO2 (EMC Update) v0.25" xfId="112"/>
    <cellStyle name="%_NRA_model_for_NEMO2 (EMC Update) v0.19_NRA_model_for_NEMO2 (EMC Update) v0.21_NRA_model_for_NEMO2 (EMC Update) v0.25_NRA_model_for_NEMO2 (EMC Update) v0 30 1" xfId="169"/>
    <cellStyle name="%_NRA_model_for_NEMO2 (EMC Update) v0.19_NRA_model_for_NEMO2 (EMC Update) v0.21_NRA_model_for_NEMO2 (EMC Update) v0.25_NRA_model_for_NEMO2 (EMC Update) v0.26" xfId="113"/>
    <cellStyle name="%_NRA_model_for_NEMO2 (EMC Update) v0.19_NRA_model_for_NEMO2 (EMC Update) v0.21_NRA_model_for_NEMO2 (EMC Update) v0.25_NRA_model_for_NEMO2 (EMC Update) v0.26_NRA_model_for_NEMO2 (EMC Update) v0 30 1" xfId="133"/>
    <cellStyle name="%_NRA_model_for_NEMO2 (EMC Update) v0.19_NRA_model_for_NEMO2 (EMC Update) v0.21_NRA_model_for_NEMO2 (EMC Update) v0.25_NRA_model_for_NEMO2 (EMC Update) v0.26_NRA_model_for_NEMO2 (EMC Update) v0.29" xfId="114"/>
    <cellStyle name="%_NRA_model_for_NEMO2 (EMC Update) v0.19_NRA_model_for_NEMO2 (EMC Update) v0.21_NRA_model_for_NEMO2 (EMC Update) v0.25_NRA_model_for_NEMO2 (EMC Update) v0.26_NRA_model_for_NEMO2 (EMC Update) v0.29.2" xfId="115"/>
    <cellStyle name="%_NRA_model_for_NEMO2 (EMC Update) v0.19_NRA_model_for_NEMO2 (EMC Update) v0.21_NRA_model_for_NEMO2 (EMC Update) v0.25_NRA_model_for_NEMO2 (EMC Update) v0.26_NRA_model_for_NEMO2 (EMC Update) v0.29.2_NRA_model_for_NEMO2 (EMC Update) v0 30 1" xfId="119"/>
    <cellStyle name="%_NRA_model_for_NEMO2 (EMC Update) v0.19_NRA_model_for_NEMO2 (EMC Update) v0.21_NRA_model_for_NEMO2 (EMC Update) v0.25_NRA_model_for_NEMO2 (EMC Update) v0.26_NRA_model_for_NEMO2 (EMC Update) v0.29.2_NRA_model_for_NEMO2 (EMC Update) v0.29.3" xfId="116"/>
    <cellStyle name="%_NRA_model_for_NEMO2 (EMC Update) v0.19_NRA_model_for_NEMO2 (EMC Update) v0.21_NRA_model_for_NEMO2 (EMC Update) v0.25_NRA_model_for_NEMO2 (EMC Update) v0.26_NRA_model_for_NEMO2 (EMC Update) v0.29.2_NRA_model_for_NEMO2 (EMC Update) v0.29.4" xfId="117"/>
    <cellStyle name="%_NRA_model_for_NEMO2 (EMC Update) v0.19_NRA_model_for_NEMO2 (EMC Update) v0.21_NRA_model_for_NEMO2 (EMC Update) v0.25_NRA_model_for_NEMO2 (EMC Update) v0.26_NRA_model_for_NEMO2 (EMC Update) v0.29.2_NRA_model_for_NEMO2 (EMC Update) v0.29.5" xfId="118"/>
    <cellStyle name="%_NRA_model_for_NEMO2 (EMC Update) v0.19_NRA_model_for_NEMO2 (EMC Update) v0.21_NRA_model_for_NEMO2 (EMC Update) v0.25_NRA_model_for_NEMO2 (EMC Update) v0.26_NRA_model_for_NEMO2 (EMC Update) v0.29.3" xfId="120"/>
    <cellStyle name="%_NRA_model_for_NEMO2 (EMC Update) v0.19_NRA_model_for_NEMO2 (EMC Update) v0.21_NRA_model_for_NEMO2 (EMC Update) v0.25_NRA_model_for_NEMO2 (EMC Update) v0.26_NRA_model_for_NEMO2 (EMC Update) v0.29.3_NRA_model_for_NEMO2 (EMC Update) v0 30 1" xfId="122"/>
    <cellStyle name="%_NRA_model_for_NEMO2 (EMC Update) v0.19_NRA_model_for_NEMO2 (EMC Update) v0.21_NRA_model_for_NEMO2 (EMC Update) v0.25_NRA_model_for_NEMO2 (EMC Update) v0.26_NRA_model_for_NEMO2 (EMC Update) v0.29.3_NRA_model_for_NEMO2 (EMC Update) v0.29.5" xfId="121"/>
    <cellStyle name="%_NRA_model_for_NEMO2 (EMC Update) v0.19_NRA_model_for_NEMO2 (EMC Update) v0.21_NRA_model_for_NEMO2 (EMC Update) v0.25_NRA_model_for_NEMO2 (EMC Update) v0.26_NRA_model_for_NEMO2 (EMC Update) v0.29.4" xfId="123"/>
    <cellStyle name="%_NRA_model_for_NEMO2 (EMC Update) v0.19_NRA_model_for_NEMO2 (EMC Update) v0.21_NRA_model_for_NEMO2 (EMC Update) v0.25_NRA_model_for_NEMO2 (EMC Update) v0.26_NRA_model_for_NEMO2 (EMC Update) v0.29.4_NRA_model_for_NEMO2 (EMC Update) v0 30 1" xfId="125"/>
    <cellStyle name="%_NRA_model_for_NEMO2 (EMC Update) v0.19_NRA_model_for_NEMO2 (EMC Update) v0.21_NRA_model_for_NEMO2 (EMC Update) v0.25_NRA_model_for_NEMO2 (EMC Update) v0.26_NRA_model_for_NEMO2 (EMC Update) v0.29.4_NRA_model_for_NEMO2 (EMC Update) v0.29.5" xfId="124"/>
    <cellStyle name="%_NRA_model_for_NEMO2 (EMC Update) v0.19_NRA_model_for_NEMO2 (EMC Update) v0.21_NRA_model_for_NEMO2 (EMC Update) v0.25_NRA_model_for_NEMO2 (EMC Update) v0.26_NRA_model_for_NEMO2 (EMC Update) v0.29.5" xfId="126"/>
    <cellStyle name="%_NRA_model_for_NEMO2 (EMC Update) v0.19_NRA_model_for_NEMO2 (EMC Update) v0.21_NRA_model_for_NEMO2 (EMC Update) v0.25_NRA_model_for_NEMO2 (EMC Update) v0.26_NRA_model_for_NEMO2 (EMC Update) v0.29.5_NRA_model_for_NEMO2 (EMC Update) v0 30 1" xfId="127"/>
    <cellStyle name="%_NRA_model_for_NEMO2 (EMC Update) v0.19_NRA_model_for_NEMO2 (EMC Update) v0.21_NRA_model_for_NEMO2 (EMC Update) v0.25_NRA_model_for_NEMO2 (EMC Update) v0.26_NRA_model_for_NEMO2 (EMC Update) v0.29_NRA_model_for_NEMO2 (EMC Update) v0 30 1" xfId="132"/>
    <cellStyle name="%_NRA_model_for_NEMO2 (EMC Update) v0.19_NRA_model_for_NEMO2 (EMC Update) v0.21_NRA_model_for_NEMO2 (EMC Update) v0.25_NRA_model_for_NEMO2 (EMC Update) v0.26_NRA_model_for_NEMO2 (EMC Update) v0.29_NRA_model_for_NEMO2 (EMC Update) v0.29.2" xfId="128"/>
    <cellStyle name="%_NRA_model_for_NEMO2 (EMC Update) v0.19_NRA_model_for_NEMO2 (EMC Update) v0.21_NRA_model_for_NEMO2 (EMC Update) v0.25_NRA_model_for_NEMO2 (EMC Update) v0.26_NRA_model_for_NEMO2 (EMC Update) v0.29_NRA_model_for_NEMO2 (EMC Update) v0.29.3" xfId="129"/>
    <cellStyle name="%_NRA_model_for_NEMO2 (EMC Update) v0.19_NRA_model_for_NEMO2 (EMC Update) v0.21_NRA_model_for_NEMO2 (EMC Update) v0.25_NRA_model_for_NEMO2 (EMC Update) v0.26_NRA_model_for_NEMO2 (EMC Update) v0.29_NRA_model_for_NEMO2 (EMC Update) v0.29.4" xfId="130"/>
    <cellStyle name="%_NRA_model_for_NEMO2 (EMC Update) v0.19_NRA_model_for_NEMO2 (EMC Update) v0.21_NRA_model_for_NEMO2 (EMC Update) v0.25_NRA_model_for_NEMO2 (EMC Update) v0.26_NRA_model_for_NEMO2 (EMC Update) v0.29_NRA_model_for_NEMO2 (EMC Update) v0.29.5" xfId="131"/>
    <cellStyle name="%_NRA_model_for_NEMO2 (EMC Update) v0.19_NRA_model_for_NEMO2 (EMC Update) v0.21_NRA_model_for_NEMO2 (EMC Update) v0.25_NRA_model_for_NEMO2 (EMC Update) v0.29" xfId="134"/>
    <cellStyle name="%_NRA_model_for_NEMO2 (EMC Update) v0.19_NRA_model_for_NEMO2 (EMC Update) v0.21_NRA_model_for_NEMO2 (EMC Update) v0.25_NRA_model_for_NEMO2 (EMC Update) v0.29.2" xfId="135"/>
    <cellStyle name="%_NRA_model_for_NEMO2 (EMC Update) v0.19_NRA_model_for_NEMO2 (EMC Update) v0.21_NRA_model_for_NEMO2 (EMC Update) v0.25_NRA_model_for_NEMO2 (EMC Update) v0.29.2_NRA_model_for_NEMO2 (EMC Update) v0 30 1" xfId="144"/>
    <cellStyle name="%_NRA_model_for_NEMO2 (EMC Update) v0.19_NRA_model_for_NEMO2 (EMC Update) v0.21_NRA_model_for_NEMO2 (EMC Update) v0.25_NRA_model_for_NEMO2 (EMC Update) v0.29.2_NRA_model_for_NEMO2 (EMC Update) v0.29.3" xfId="136"/>
    <cellStyle name="%_NRA_model_for_NEMO2 (EMC Update) v0.19_NRA_model_for_NEMO2 (EMC Update) v0.21_NRA_model_for_NEMO2 (EMC Update) v0.25_NRA_model_for_NEMO2 (EMC Update) v0.29.2_NRA_model_for_NEMO2 (EMC Update) v0.29.3_NRA_model_for_NEMO2 (EMC Update) v0 30 1" xfId="138"/>
    <cellStyle name="%_NRA_model_for_NEMO2 (EMC Update) v0.19_NRA_model_for_NEMO2 (EMC Update) v0.21_NRA_model_for_NEMO2 (EMC Update) v0.25_NRA_model_for_NEMO2 (EMC Update) v0.29.2_NRA_model_for_NEMO2 (EMC Update) v0.29.3_NRA_model_for_NEMO2 (EMC Update) v0.29.5" xfId="137"/>
    <cellStyle name="%_NRA_model_for_NEMO2 (EMC Update) v0.19_NRA_model_for_NEMO2 (EMC Update) v0.21_NRA_model_for_NEMO2 (EMC Update) v0.25_NRA_model_for_NEMO2 (EMC Update) v0.29.2_NRA_model_for_NEMO2 (EMC Update) v0.29.4" xfId="139"/>
    <cellStyle name="%_NRA_model_for_NEMO2 (EMC Update) v0.19_NRA_model_for_NEMO2 (EMC Update) v0.21_NRA_model_for_NEMO2 (EMC Update) v0.25_NRA_model_for_NEMO2 (EMC Update) v0.29.2_NRA_model_for_NEMO2 (EMC Update) v0.29.4_NRA_model_for_NEMO2 (EMC Update) v0 30 1" xfId="141"/>
    <cellStyle name="%_NRA_model_for_NEMO2 (EMC Update) v0.19_NRA_model_for_NEMO2 (EMC Update) v0.21_NRA_model_for_NEMO2 (EMC Update) v0.25_NRA_model_for_NEMO2 (EMC Update) v0.29.2_NRA_model_for_NEMO2 (EMC Update) v0.29.4_NRA_model_for_NEMO2 (EMC Update) v0.29.5" xfId="140"/>
    <cellStyle name="%_NRA_model_for_NEMO2 (EMC Update) v0.19_NRA_model_for_NEMO2 (EMC Update) v0.21_NRA_model_for_NEMO2 (EMC Update) v0.25_NRA_model_for_NEMO2 (EMC Update) v0.29.2_NRA_model_for_NEMO2 (EMC Update) v0.29.5" xfId="142"/>
    <cellStyle name="%_NRA_model_for_NEMO2 (EMC Update) v0.19_NRA_model_for_NEMO2 (EMC Update) v0.21_NRA_model_for_NEMO2 (EMC Update) v0.25_NRA_model_for_NEMO2 (EMC Update) v0.29.2_NRA_model_for_NEMO2 (EMC Update) v0.29.5_NRA_model_for_NEMO2 (EMC Update) v0 30 1" xfId="143"/>
    <cellStyle name="%_NRA_model_for_NEMO2 (EMC Update) v0.19_NRA_model_for_NEMO2 (EMC Update) v0.21_NRA_model_for_NEMO2 (EMC Update) v0.25_NRA_model_for_NEMO2 (EMC Update) v0.29.3" xfId="145"/>
    <cellStyle name="%_NRA_model_for_NEMO2 (EMC Update) v0.19_NRA_model_for_NEMO2 (EMC Update) v0.21_NRA_model_for_NEMO2 (EMC Update) v0.25_NRA_model_for_NEMO2 (EMC Update) v0.29.3_NRA_model_for_NEMO2 (EMC Update) v0 30 1" xfId="148"/>
    <cellStyle name="%_NRA_model_for_NEMO2 (EMC Update) v0.19_NRA_model_for_NEMO2 (EMC Update) v0.21_NRA_model_for_NEMO2 (EMC Update) v0.25_NRA_model_for_NEMO2 (EMC Update) v0.29.3_NRA_model_for_NEMO2 (EMC Update) v0.29.5" xfId="146"/>
    <cellStyle name="%_NRA_model_for_NEMO2 (EMC Update) v0.19_NRA_model_for_NEMO2 (EMC Update) v0.21_NRA_model_for_NEMO2 (EMC Update) v0.25_NRA_model_for_NEMO2 (EMC Update) v0.29.3_NRA_model_for_NEMO2 (EMC Update) v0.29.5_NRA_model_for_NEMO2 (EMC Update) v0 30 1" xfId="147"/>
    <cellStyle name="%_NRA_model_for_NEMO2 (EMC Update) v0.19_NRA_model_for_NEMO2 (EMC Update) v0.21_NRA_model_for_NEMO2 (EMC Update) v0.25_NRA_model_for_NEMO2 (EMC Update) v0.29.4" xfId="149"/>
    <cellStyle name="%_NRA_model_for_NEMO2 (EMC Update) v0.19_NRA_model_for_NEMO2 (EMC Update) v0.21_NRA_model_for_NEMO2 (EMC Update) v0.25_NRA_model_for_NEMO2 (EMC Update) v0.29.4_NRA_model_for_NEMO2 (EMC Update) v0 30 1" xfId="152"/>
    <cellStyle name="%_NRA_model_for_NEMO2 (EMC Update) v0.19_NRA_model_for_NEMO2 (EMC Update) v0.21_NRA_model_for_NEMO2 (EMC Update) v0.25_NRA_model_for_NEMO2 (EMC Update) v0.29.4_NRA_model_for_NEMO2 (EMC Update) v0.29.5" xfId="150"/>
    <cellStyle name="%_NRA_model_for_NEMO2 (EMC Update) v0.19_NRA_model_for_NEMO2 (EMC Update) v0.21_NRA_model_for_NEMO2 (EMC Update) v0.25_NRA_model_for_NEMO2 (EMC Update) v0.29.4_NRA_model_for_NEMO2 (EMC Update) v0.29.5_NRA_model_for_NEMO2 (EMC Update) v0 30 1" xfId="151"/>
    <cellStyle name="%_NRA_model_for_NEMO2 (EMC Update) v0.19_NRA_model_for_NEMO2 (EMC Update) v0.21_NRA_model_for_NEMO2 (EMC Update) v0.25_NRA_model_for_NEMO2 (EMC Update) v0.29.5" xfId="153"/>
    <cellStyle name="%_NRA_model_for_NEMO2 (EMC Update) v0.19_NRA_model_for_NEMO2 (EMC Update) v0.21_NRA_model_for_NEMO2 (EMC Update) v0.25_NRA_model_for_NEMO2 (EMC Update) v0.29.5_NRA_model_for_NEMO2 (EMC Update) v0 30 1" xfId="154"/>
    <cellStyle name="%_NRA_model_for_NEMO2 (EMC Update) v0.19_NRA_model_for_NEMO2 (EMC Update) v0.21_NRA_model_for_NEMO2 (EMC Update) v0.25_NRA_model_for_NEMO2 (EMC Update) v0.29_NRA_model_for_NEMO2 (EMC Update) v0 30 1" xfId="168"/>
    <cellStyle name="%_NRA_model_for_NEMO2 (EMC Update) v0.19_NRA_model_for_NEMO2 (EMC Update) v0.21_NRA_model_for_NEMO2 (EMC Update) v0.25_NRA_model_for_NEMO2 (EMC Update) v0.29_NRA_model_for_NEMO2 (EMC Update) v0.29.2" xfId="155"/>
    <cellStyle name="%_NRA_model_for_NEMO2 (EMC Update) v0.19_NRA_model_for_NEMO2 (EMC Update) v0.21_NRA_model_for_NEMO2 (EMC Update) v0.25_NRA_model_for_NEMO2 (EMC Update) v0.29_NRA_model_for_NEMO2 (EMC Update) v0.29.2_NRA_model_for_NEMO2 (EMC Update) v0 30 1" xfId="159"/>
    <cellStyle name="%_NRA_model_for_NEMO2 (EMC Update) v0.19_NRA_model_for_NEMO2 (EMC Update) v0.21_NRA_model_for_NEMO2 (EMC Update) v0.25_NRA_model_for_NEMO2 (EMC Update) v0.29_NRA_model_for_NEMO2 (EMC Update) v0.29.2_NRA_model_for_NEMO2 (EMC Update) v0.29.3" xfId="156"/>
    <cellStyle name="%_NRA_model_for_NEMO2 (EMC Update) v0.19_NRA_model_for_NEMO2 (EMC Update) v0.21_NRA_model_for_NEMO2 (EMC Update) v0.25_NRA_model_for_NEMO2 (EMC Update) v0.29_NRA_model_for_NEMO2 (EMC Update) v0.29.2_NRA_model_for_NEMO2 (EMC Update) v0.29.4" xfId="157"/>
    <cellStyle name="%_NRA_model_for_NEMO2 (EMC Update) v0.19_NRA_model_for_NEMO2 (EMC Update) v0.21_NRA_model_for_NEMO2 (EMC Update) v0.25_NRA_model_for_NEMO2 (EMC Update) v0.29_NRA_model_for_NEMO2 (EMC Update) v0.29.2_NRA_model_for_NEMO2 (EMC Update) v0.29.5" xfId="158"/>
    <cellStyle name="%_NRA_model_for_NEMO2 (EMC Update) v0.19_NRA_model_for_NEMO2 (EMC Update) v0.21_NRA_model_for_NEMO2 (EMC Update) v0.25_NRA_model_for_NEMO2 (EMC Update) v0.29_NRA_model_for_NEMO2 (EMC Update) v0.29.3" xfId="160"/>
    <cellStyle name="%_NRA_model_for_NEMO2 (EMC Update) v0.19_NRA_model_for_NEMO2 (EMC Update) v0.21_NRA_model_for_NEMO2 (EMC Update) v0.25_NRA_model_for_NEMO2 (EMC Update) v0.29_NRA_model_for_NEMO2 (EMC Update) v0.29.3_NRA_model_for_NEMO2 (EMC Update) v0 30 1" xfId="162"/>
    <cellStyle name="%_NRA_model_for_NEMO2 (EMC Update) v0.19_NRA_model_for_NEMO2 (EMC Update) v0.21_NRA_model_for_NEMO2 (EMC Update) v0.25_NRA_model_for_NEMO2 (EMC Update) v0.29_NRA_model_for_NEMO2 (EMC Update) v0.29.3_NRA_model_for_NEMO2 (EMC Update) v0.29.5" xfId="161"/>
    <cellStyle name="%_NRA_model_for_NEMO2 (EMC Update) v0.19_NRA_model_for_NEMO2 (EMC Update) v0.21_NRA_model_for_NEMO2 (EMC Update) v0.25_NRA_model_for_NEMO2 (EMC Update) v0.29_NRA_model_for_NEMO2 (EMC Update) v0.29.4" xfId="163"/>
    <cellStyle name="%_NRA_model_for_NEMO2 (EMC Update) v0.19_NRA_model_for_NEMO2 (EMC Update) v0.21_NRA_model_for_NEMO2 (EMC Update) v0.25_NRA_model_for_NEMO2 (EMC Update) v0.29_NRA_model_for_NEMO2 (EMC Update) v0.29.4_NRA_model_for_NEMO2 (EMC Update) v0 30 1" xfId="165"/>
    <cellStyle name="%_NRA_model_for_NEMO2 (EMC Update) v0.19_NRA_model_for_NEMO2 (EMC Update) v0.21_NRA_model_for_NEMO2 (EMC Update) v0.25_NRA_model_for_NEMO2 (EMC Update) v0.29_NRA_model_for_NEMO2 (EMC Update) v0.29.4_NRA_model_for_NEMO2 (EMC Update) v0.29.5" xfId="164"/>
    <cellStyle name="%_NRA_model_for_NEMO2 (EMC Update) v0.19_NRA_model_for_NEMO2 (EMC Update) v0.21_NRA_model_for_NEMO2 (EMC Update) v0.25_NRA_model_for_NEMO2 (EMC Update) v0.29_NRA_model_for_NEMO2 (EMC Update) v0.29.5" xfId="166"/>
    <cellStyle name="%_NRA_model_for_NEMO2 (EMC Update) v0.19_NRA_model_for_NEMO2 (EMC Update) v0.21_NRA_model_for_NEMO2 (EMC Update) v0.25_NRA_model_for_NEMO2 (EMC Update) v0.29_NRA_model_for_NEMO2 (EMC Update) v0.29.5_NRA_model_for_NEMO2 (EMC Update) v0 30 1" xfId="167"/>
    <cellStyle name="%_NRA_model_for_NEMO2 (EMC Update) v0.19_NRA_model_for_NEMO2 (EMC Update) v0.21_NRA_model_for_NEMO2 (EMC Update) v0.26" xfId="170"/>
    <cellStyle name="%_NRA_model_for_NEMO2 (EMC Update) v0.19_NRA_model_for_NEMO2 (EMC Update) v0.21_NRA_model_for_NEMO2 (EMC Update) v0.26_NRA_model_for_NEMO2 (EMC Update) v0 30 1" xfId="206"/>
    <cellStyle name="%_NRA_model_for_NEMO2 (EMC Update) v0.19_NRA_model_for_NEMO2 (EMC Update) v0.21_NRA_model_for_NEMO2 (EMC Update) v0.26_NRA_model_for_NEMO2 (EMC Update) v0.29" xfId="171"/>
    <cellStyle name="%_NRA_model_for_NEMO2 (EMC Update) v0.19_NRA_model_for_NEMO2 (EMC Update) v0.21_NRA_model_for_NEMO2 (EMC Update) v0.26_NRA_model_for_NEMO2 (EMC Update) v0.29.2" xfId="172"/>
    <cellStyle name="%_NRA_model_for_NEMO2 (EMC Update) v0.19_NRA_model_for_NEMO2 (EMC Update) v0.21_NRA_model_for_NEMO2 (EMC Update) v0.26_NRA_model_for_NEMO2 (EMC Update) v0.29.2_NRA_model_for_NEMO2 (EMC Update) v0 30 1" xfId="181"/>
    <cellStyle name="%_NRA_model_for_NEMO2 (EMC Update) v0.19_NRA_model_for_NEMO2 (EMC Update) v0.21_NRA_model_for_NEMO2 (EMC Update) v0.26_NRA_model_for_NEMO2 (EMC Update) v0.29.2_NRA_model_for_NEMO2 (EMC Update) v0.29.3" xfId="173"/>
    <cellStyle name="%_NRA_model_for_NEMO2 (EMC Update) v0.19_NRA_model_for_NEMO2 (EMC Update) v0.21_NRA_model_for_NEMO2 (EMC Update) v0.26_NRA_model_for_NEMO2 (EMC Update) v0.29.2_NRA_model_for_NEMO2 (EMC Update) v0.29.3_NRA_model_for_NEMO2 (EMC Update) v0 30 1" xfId="175"/>
    <cellStyle name="%_NRA_model_for_NEMO2 (EMC Update) v0.19_NRA_model_for_NEMO2 (EMC Update) v0.21_NRA_model_for_NEMO2 (EMC Update) v0.26_NRA_model_for_NEMO2 (EMC Update) v0.29.2_NRA_model_for_NEMO2 (EMC Update) v0.29.3_NRA_model_for_NEMO2 (EMC Update) v0.29.5" xfId="174"/>
    <cellStyle name="%_NRA_model_for_NEMO2 (EMC Update) v0.19_NRA_model_for_NEMO2 (EMC Update) v0.21_NRA_model_for_NEMO2 (EMC Update) v0.26_NRA_model_for_NEMO2 (EMC Update) v0.29.2_NRA_model_for_NEMO2 (EMC Update) v0.29.4" xfId="176"/>
    <cellStyle name="%_NRA_model_for_NEMO2 (EMC Update) v0.19_NRA_model_for_NEMO2 (EMC Update) v0.21_NRA_model_for_NEMO2 (EMC Update) v0.26_NRA_model_for_NEMO2 (EMC Update) v0.29.2_NRA_model_for_NEMO2 (EMC Update) v0.29.4_NRA_model_for_NEMO2 (EMC Update) v0 30 1" xfId="178"/>
    <cellStyle name="%_NRA_model_for_NEMO2 (EMC Update) v0.19_NRA_model_for_NEMO2 (EMC Update) v0.21_NRA_model_for_NEMO2 (EMC Update) v0.26_NRA_model_for_NEMO2 (EMC Update) v0.29.2_NRA_model_for_NEMO2 (EMC Update) v0.29.4_NRA_model_for_NEMO2 (EMC Update) v0.29.5" xfId="177"/>
    <cellStyle name="%_NRA_model_for_NEMO2 (EMC Update) v0.19_NRA_model_for_NEMO2 (EMC Update) v0.21_NRA_model_for_NEMO2 (EMC Update) v0.26_NRA_model_for_NEMO2 (EMC Update) v0.29.2_NRA_model_for_NEMO2 (EMC Update) v0.29.5" xfId="179"/>
    <cellStyle name="%_NRA_model_for_NEMO2 (EMC Update) v0.19_NRA_model_for_NEMO2 (EMC Update) v0.21_NRA_model_for_NEMO2 (EMC Update) v0.26_NRA_model_for_NEMO2 (EMC Update) v0.29.2_NRA_model_for_NEMO2 (EMC Update) v0.29.5_NRA_model_for_NEMO2 (EMC Update) v0 30 1" xfId="180"/>
    <cellStyle name="%_NRA_model_for_NEMO2 (EMC Update) v0.19_NRA_model_for_NEMO2 (EMC Update) v0.21_NRA_model_for_NEMO2 (EMC Update) v0.26_NRA_model_for_NEMO2 (EMC Update) v0.29.3" xfId="182"/>
    <cellStyle name="%_NRA_model_for_NEMO2 (EMC Update) v0.19_NRA_model_for_NEMO2 (EMC Update) v0.21_NRA_model_for_NEMO2 (EMC Update) v0.26_NRA_model_for_NEMO2 (EMC Update) v0.29.3_NRA_model_for_NEMO2 (EMC Update) v0 30 1" xfId="185"/>
    <cellStyle name="%_NRA_model_for_NEMO2 (EMC Update) v0.19_NRA_model_for_NEMO2 (EMC Update) v0.21_NRA_model_for_NEMO2 (EMC Update) v0.26_NRA_model_for_NEMO2 (EMC Update) v0.29.3_NRA_model_for_NEMO2 (EMC Update) v0.29.5" xfId="183"/>
    <cellStyle name="%_NRA_model_for_NEMO2 (EMC Update) v0.19_NRA_model_for_NEMO2 (EMC Update) v0.21_NRA_model_for_NEMO2 (EMC Update) v0.26_NRA_model_for_NEMO2 (EMC Update) v0.29.3_NRA_model_for_NEMO2 (EMC Update) v0.29.5_NRA_model_for_NEMO2 (EMC Update) v0 30 1" xfId="184"/>
    <cellStyle name="%_NRA_model_for_NEMO2 (EMC Update) v0.19_NRA_model_for_NEMO2 (EMC Update) v0.21_NRA_model_for_NEMO2 (EMC Update) v0.26_NRA_model_for_NEMO2 (EMC Update) v0.29.4" xfId="186"/>
    <cellStyle name="%_NRA_model_for_NEMO2 (EMC Update) v0.19_NRA_model_for_NEMO2 (EMC Update) v0.21_NRA_model_for_NEMO2 (EMC Update) v0.26_NRA_model_for_NEMO2 (EMC Update) v0.29.4_NRA_model_for_NEMO2 (EMC Update) v0 30 1" xfId="189"/>
    <cellStyle name="%_NRA_model_for_NEMO2 (EMC Update) v0.19_NRA_model_for_NEMO2 (EMC Update) v0.21_NRA_model_for_NEMO2 (EMC Update) v0.26_NRA_model_for_NEMO2 (EMC Update) v0.29.4_NRA_model_for_NEMO2 (EMC Update) v0.29.5" xfId="187"/>
    <cellStyle name="%_NRA_model_for_NEMO2 (EMC Update) v0.19_NRA_model_for_NEMO2 (EMC Update) v0.21_NRA_model_for_NEMO2 (EMC Update) v0.26_NRA_model_for_NEMO2 (EMC Update) v0.29.4_NRA_model_for_NEMO2 (EMC Update) v0.29.5_NRA_model_for_NEMO2 (EMC Update) v0 30 1" xfId="188"/>
    <cellStyle name="%_NRA_model_for_NEMO2 (EMC Update) v0.19_NRA_model_for_NEMO2 (EMC Update) v0.21_NRA_model_for_NEMO2 (EMC Update) v0.26_NRA_model_for_NEMO2 (EMC Update) v0.29.5" xfId="190"/>
    <cellStyle name="%_NRA_model_for_NEMO2 (EMC Update) v0.19_NRA_model_for_NEMO2 (EMC Update) v0.21_NRA_model_for_NEMO2 (EMC Update) v0.26_NRA_model_for_NEMO2 (EMC Update) v0.29.5_NRA_model_for_NEMO2 (EMC Update) v0 30 1" xfId="191"/>
    <cellStyle name="%_NRA_model_for_NEMO2 (EMC Update) v0.19_NRA_model_for_NEMO2 (EMC Update) v0.21_NRA_model_for_NEMO2 (EMC Update) v0.26_NRA_model_for_NEMO2 (EMC Update) v0.29_NRA_model_for_NEMO2 (EMC Update) v0 30 1" xfId="205"/>
    <cellStyle name="%_NRA_model_for_NEMO2 (EMC Update) v0.19_NRA_model_for_NEMO2 (EMC Update) v0.21_NRA_model_for_NEMO2 (EMC Update) v0.26_NRA_model_for_NEMO2 (EMC Update) v0.29_NRA_model_for_NEMO2 (EMC Update) v0.29.2" xfId="192"/>
    <cellStyle name="%_NRA_model_for_NEMO2 (EMC Update) v0.19_NRA_model_for_NEMO2 (EMC Update) v0.21_NRA_model_for_NEMO2 (EMC Update) v0.26_NRA_model_for_NEMO2 (EMC Update) v0.29_NRA_model_for_NEMO2 (EMC Update) v0.29.2_NRA_model_for_NEMO2 (EMC Update) v0 30 1" xfId="196"/>
    <cellStyle name="%_NRA_model_for_NEMO2 (EMC Update) v0.19_NRA_model_for_NEMO2 (EMC Update) v0.21_NRA_model_for_NEMO2 (EMC Update) v0.26_NRA_model_for_NEMO2 (EMC Update) v0.29_NRA_model_for_NEMO2 (EMC Update) v0.29.2_NRA_model_for_NEMO2 (EMC Update) v0.29.3" xfId="193"/>
    <cellStyle name="%_NRA_model_for_NEMO2 (EMC Update) v0.19_NRA_model_for_NEMO2 (EMC Update) v0.21_NRA_model_for_NEMO2 (EMC Update) v0.26_NRA_model_for_NEMO2 (EMC Update) v0.29_NRA_model_for_NEMO2 (EMC Update) v0.29.2_NRA_model_for_NEMO2 (EMC Update) v0.29.4" xfId="194"/>
    <cellStyle name="%_NRA_model_for_NEMO2 (EMC Update) v0.19_NRA_model_for_NEMO2 (EMC Update) v0.21_NRA_model_for_NEMO2 (EMC Update) v0.26_NRA_model_for_NEMO2 (EMC Update) v0.29_NRA_model_for_NEMO2 (EMC Update) v0.29.2_NRA_model_for_NEMO2 (EMC Update) v0.29.5" xfId="195"/>
    <cellStyle name="%_NRA_model_for_NEMO2 (EMC Update) v0.19_NRA_model_for_NEMO2 (EMC Update) v0.21_NRA_model_for_NEMO2 (EMC Update) v0.26_NRA_model_for_NEMO2 (EMC Update) v0.29_NRA_model_for_NEMO2 (EMC Update) v0.29.3" xfId="197"/>
    <cellStyle name="%_NRA_model_for_NEMO2 (EMC Update) v0.19_NRA_model_for_NEMO2 (EMC Update) v0.21_NRA_model_for_NEMO2 (EMC Update) v0.26_NRA_model_for_NEMO2 (EMC Update) v0.29_NRA_model_for_NEMO2 (EMC Update) v0.29.3_NRA_model_for_NEMO2 (EMC Update) v0 30 1" xfId="199"/>
    <cellStyle name="%_NRA_model_for_NEMO2 (EMC Update) v0.19_NRA_model_for_NEMO2 (EMC Update) v0.21_NRA_model_for_NEMO2 (EMC Update) v0.26_NRA_model_for_NEMO2 (EMC Update) v0.29_NRA_model_for_NEMO2 (EMC Update) v0.29.3_NRA_model_for_NEMO2 (EMC Update) v0.29.5" xfId="198"/>
    <cellStyle name="%_NRA_model_for_NEMO2 (EMC Update) v0.19_NRA_model_for_NEMO2 (EMC Update) v0.21_NRA_model_for_NEMO2 (EMC Update) v0.26_NRA_model_for_NEMO2 (EMC Update) v0.29_NRA_model_for_NEMO2 (EMC Update) v0.29.4" xfId="200"/>
    <cellStyle name="%_NRA_model_for_NEMO2 (EMC Update) v0.19_NRA_model_for_NEMO2 (EMC Update) v0.21_NRA_model_for_NEMO2 (EMC Update) v0.26_NRA_model_for_NEMO2 (EMC Update) v0.29_NRA_model_for_NEMO2 (EMC Update) v0.29.4_NRA_model_for_NEMO2 (EMC Update) v0 30 1" xfId="202"/>
    <cellStyle name="%_NRA_model_for_NEMO2 (EMC Update) v0.19_NRA_model_for_NEMO2 (EMC Update) v0.21_NRA_model_for_NEMO2 (EMC Update) v0.26_NRA_model_for_NEMO2 (EMC Update) v0.29_NRA_model_for_NEMO2 (EMC Update) v0.29.4_NRA_model_for_NEMO2 (EMC Update) v0.29.5" xfId="201"/>
    <cellStyle name="%_NRA_model_for_NEMO2 (EMC Update) v0.19_NRA_model_for_NEMO2 (EMC Update) v0.21_NRA_model_for_NEMO2 (EMC Update) v0.26_NRA_model_for_NEMO2 (EMC Update) v0.29_NRA_model_for_NEMO2 (EMC Update) v0.29.5" xfId="203"/>
    <cellStyle name="%_NRA_model_for_NEMO2 (EMC Update) v0.19_NRA_model_for_NEMO2 (EMC Update) v0.21_NRA_model_for_NEMO2 (EMC Update) v0.26_NRA_model_for_NEMO2 (EMC Update) v0.29_NRA_model_for_NEMO2 (EMC Update) v0.29.5_NRA_model_for_NEMO2 (EMC Update) v0 30 1" xfId="204"/>
    <cellStyle name="%_NRA_model_for_NEMO2 (EMC Update) v0.19_NRA_model_for_NEMO2 (EMC Update) v0.21_NRA_model_for_NEMO2 (EMC Update) v0.29" xfId="207"/>
    <cellStyle name="%_NRA_model_for_NEMO2 (EMC Update) v0.19_NRA_model_for_NEMO2 (EMC Update) v0.21_NRA_model_for_NEMO2 (EMC Update) v0.29.2" xfId="208"/>
    <cellStyle name="%_NRA_model_for_NEMO2 (EMC Update) v0.19_NRA_model_for_NEMO2 (EMC Update) v0.21_NRA_model_for_NEMO2 (EMC Update) v0.29.2_NRA_model_for_NEMO2 (EMC Update) v0 30 1" xfId="219"/>
    <cellStyle name="%_NRA_model_for_NEMO2 (EMC Update) v0.19_NRA_model_for_NEMO2 (EMC Update) v0.21_NRA_model_for_NEMO2 (EMC Update) v0.29.2_NRA_model_for_NEMO2 (EMC Update) v0.29.3" xfId="209"/>
    <cellStyle name="%_NRA_model_for_NEMO2 (EMC Update) v0.19_NRA_model_for_NEMO2 (EMC Update) v0.21_NRA_model_for_NEMO2 (EMC Update) v0.29.2_NRA_model_for_NEMO2 (EMC Update) v0.29.3_NRA_model_for_NEMO2 (EMC Update) v0 30 1" xfId="212"/>
    <cellStyle name="%_NRA_model_for_NEMO2 (EMC Update) v0.19_NRA_model_for_NEMO2 (EMC Update) v0.21_NRA_model_for_NEMO2 (EMC Update) v0.29.2_NRA_model_for_NEMO2 (EMC Update) v0.29.3_NRA_model_for_NEMO2 (EMC Update) v0.29.5" xfId="210"/>
    <cellStyle name="%_NRA_model_for_NEMO2 (EMC Update) v0.19_NRA_model_for_NEMO2 (EMC Update) v0.21_NRA_model_for_NEMO2 (EMC Update) v0.29.2_NRA_model_for_NEMO2 (EMC Update) v0.29.3_NRA_model_for_NEMO2 (EMC Update) v0.29.5_NRA_model_for_NEMO2 (EMC Update) v0 30 1" xfId="211"/>
    <cellStyle name="%_NRA_model_for_NEMO2 (EMC Update) v0.19_NRA_model_for_NEMO2 (EMC Update) v0.21_NRA_model_for_NEMO2 (EMC Update) v0.29.2_NRA_model_for_NEMO2 (EMC Update) v0.29.4" xfId="213"/>
    <cellStyle name="%_NRA_model_for_NEMO2 (EMC Update) v0.19_NRA_model_for_NEMO2 (EMC Update) v0.21_NRA_model_for_NEMO2 (EMC Update) v0.29.2_NRA_model_for_NEMO2 (EMC Update) v0.29.4_NRA_model_for_NEMO2 (EMC Update) v0 30 1" xfId="216"/>
    <cellStyle name="%_NRA_model_for_NEMO2 (EMC Update) v0.19_NRA_model_for_NEMO2 (EMC Update) v0.21_NRA_model_for_NEMO2 (EMC Update) v0.29.2_NRA_model_for_NEMO2 (EMC Update) v0.29.4_NRA_model_for_NEMO2 (EMC Update) v0.29.5" xfId="214"/>
    <cellStyle name="%_NRA_model_for_NEMO2 (EMC Update) v0.19_NRA_model_for_NEMO2 (EMC Update) v0.21_NRA_model_for_NEMO2 (EMC Update) v0.29.2_NRA_model_for_NEMO2 (EMC Update) v0.29.4_NRA_model_for_NEMO2 (EMC Update) v0.29.5_NRA_model_for_NEMO2 (EMC Update) v0 30 1" xfId="215"/>
    <cellStyle name="%_NRA_model_for_NEMO2 (EMC Update) v0.19_NRA_model_for_NEMO2 (EMC Update) v0.21_NRA_model_for_NEMO2 (EMC Update) v0.29.2_NRA_model_for_NEMO2 (EMC Update) v0.29.5" xfId="217"/>
    <cellStyle name="%_NRA_model_for_NEMO2 (EMC Update) v0.19_NRA_model_for_NEMO2 (EMC Update) v0.21_NRA_model_for_NEMO2 (EMC Update) v0.29.2_NRA_model_for_NEMO2 (EMC Update) v0.29.5_NRA_model_for_NEMO2 (EMC Update) v0 30 1" xfId="218"/>
    <cellStyle name="%_NRA_model_for_NEMO2 (EMC Update) v0.19_NRA_model_for_NEMO2 (EMC Update) v0.21_NRA_model_for_NEMO2 (EMC Update) v0.29.3" xfId="220"/>
    <cellStyle name="%_NRA_model_for_NEMO2 (EMC Update) v0.19_NRA_model_for_NEMO2 (EMC Update) v0.21_NRA_model_for_NEMO2 (EMC Update) v0.29.3_NRA_model_for_NEMO2 (EMC Update) v0 30 1" xfId="223"/>
    <cellStyle name="%_NRA_model_for_NEMO2 (EMC Update) v0.19_NRA_model_for_NEMO2 (EMC Update) v0.21_NRA_model_for_NEMO2 (EMC Update) v0.29.3_NRA_model_for_NEMO2 (EMC Update) v0.29.5" xfId="221"/>
    <cellStyle name="%_NRA_model_for_NEMO2 (EMC Update) v0.19_NRA_model_for_NEMO2 (EMC Update) v0.21_NRA_model_for_NEMO2 (EMC Update) v0.29.3_NRA_model_for_NEMO2 (EMC Update) v0.29.5_NRA_model_for_NEMO2 (EMC Update) v0 30 1" xfId="222"/>
    <cellStyle name="%_NRA_model_for_NEMO2 (EMC Update) v0.19_NRA_model_for_NEMO2 (EMC Update) v0.21_NRA_model_for_NEMO2 (EMC Update) v0.29.4" xfId="224"/>
    <cellStyle name="%_NRA_model_for_NEMO2 (EMC Update) v0.19_NRA_model_for_NEMO2 (EMC Update) v0.21_NRA_model_for_NEMO2 (EMC Update) v0.29.4_NRA_model_for_NEMO2 (EMC Update) v0 30 1" xfId="227"/>
    <cellStyle name="%_NRA_model_for_NEMO2 (EMC Update) v0.19_NRA_model_for_NEMO2 (EMC Update) v0.21_NRA_model_for_NEMO2 (EMC Update) v0.29.4_NRA_model_for_NEMO2 (EMC Update) v0.29.5" xfId="225"/>
    <cellStyle name="%_NRA_model_for_NEMO2 (EMC Update) v0.19_NRA_model_for_NEMO2 (EMC Update) v0.21_NRA_model_for_NEMO2 (EMC Update) v0.29.4_NRA_model_for_NEMO2 (EMC Update) v0.29.5_NRA_model_for_NEMO2 (EMC Update) v0 30 1" xfId="226"/>
    <cellStyle name="%_NRA_model_for_NEMO2 (EMC Update) v0.19_NRA_model_for_NEMO2 (EMC Update) v0.21_NRA_model_for_NEMO2 (EMC Update) v0.29.5" xfId="228"/>
    <cellStyle name="%_NRA_model_for_NEMO2 (EMC Update) v0.19_NRA_model_for_NEMO2 (EMC Update) v0.21_NRA_model_for_NEMO2 (EMC Update) v0.29.5_NRA_model_for_NEMO2 (EMC Update) v0 30 1" xfId="229"/>
    <cellStyle name="%_NRA_model_for_NEMO2 (EMC Update) v0.19_NRA_model_for_NEMO2 (EMC Update) v0.21_NRA_model_for_NEMO2 (EMC Update) v0.29_NRA_model_for_NEMO2 (EMC Update) v0 30 1" xfId="250"/>
    <cellStyle name="%_NRA_model_for_NEMO2 (EMC Update) v0.19_NRA_model_for_NEMO2 (EMC Update) v0.21_NRA_model_for_NEMO2 (EMC Update) v0.29_NRA_model_for_NEMO2 (EMC Update) v0.29.2" xfId="230"/>
    <cellStyle name="%_NRA_model_for_NEMO2 (EMC Update) v0.19_NRA_model_for_NEMO2 (EMC Update) v0.21_NRA_model_for_NEMO2 (EMC Update) v0.29_NRA_model_for_NEMO2 (EMC Update) v0.29.2_NRA_model_for_NEMO2 (EMC Update) v0 30 1" xfId="239"/>
    <cellStyle name="%_NRA_model_for_NEMO2 (EMC Update) v0.19_NRA_model_for_NEMO2 (EMC Update) v0.21_NRA_model_for_NEMO2 (EMC Update) v0.29_NRA_model_for_NEMO2 (EMC Update) v0.29.2_NRA_model_for_NEMO2 (EMC Update) v0.29.3" xfId="231"/>
    <cellStyle name="%_NRA_model_for_NEMO2 (EMC Update) v0.19_NRA_model_for_NEMO2 (EMC Update) v0.21_NRA_model_for_NEMO2 (EMC Update) v0.29_NRA_model_for_NEMO2 (EMC Update) v0.29.2_NRA_model_for_NEMO2 (EMC Update) v0.29.3_NRA_model_for_NEMO2 (EMC Update) v0 30 1" xfId="233"/>
    <cellStyle name="%_NRA_model_for_NEMO2 (EMC Update) v0.19_NRA_model_for_NEMO2 (EMC Update) v0.21_NRA_model_for_NEMO2 (EMC Update) v0.29_NRA_model_for_NEMO2 (EMC Update) v0.29.2_NRA_model_for_NEMO2 (EMC Update) v0.29.3_NRA_model_for_NEMO2 (EMC Update) v0.29.5" xfId="232"/>
    <cellStyle name="%_NRA_model_for_NEMO2 (EMC Update) v0.19_NRA_model_for_NEMO2 (EMC Update) v0.21_NRA_model_for_NEMO2 (EMC Update) v0.29_NRA_model_for_NEMO2 (EMC Update) v0.29.2_NRA_model_for_NEMO2 (EMC Update) v0.29.4" xfId="234"/>
    <cellStyle name="%_NRA_model_for_NEMO2 (EMC Update) v0.19_NRA_model_for_NEMO2 (EMC Update) v0.21_NRA_model_for_NEMO2 (EMC Update) v0.29_NRA_model_for_NEMO2 (EMC Update) v0.29.2_NRA_model_for_NEMO2 (EMC Update) v0.29.4_NRA_model_for_NEMO2 (EMC Update) v0 30 1" xfId="236"/>
    <cellStyle name="%_NRA_model_for_NEMO2 (EMC Update) v0.19_NRA_model_for_NEMO2 (EMC Update) v0.21_NRA_model_for_NEMO2 (EMC Update) v0.29_NRA_model_for_NEMO2 (EMC Update) v0.29.2_NRA_model_for_NEMO2 (EMC Update) v0.29.4_NRA_model_for_NEMO2 (EMC Update) v0.29.5" xfId="235"/>
    <cellStyle name="%_NRA_model_for_NEMO2 (EMC Update) v0.19_NRA_model_for_NEMO2 (EMC Update) v0.21_NRA_model_for_NEMO2 (EMC Update) v0.29_NRA_model_for_NEMO2 (EMC Update) v0.29.2_NRA_model_for_NEMO2 (EMC Update) v0.29.5" xfId="237"/>
    <cellStyle name="%_NRA_model_for_NEMO2 (EMC Update) v0.19_NRA_model_for_NEMO2 (EMC Update) v0.21_NRA_model_for_NEMO2 (EMC Update) v0.29_NRA_model_for_NEMO2 (EMC Update) v0.29.2_NRA_model_for_NEMO2 (EMC Update) v0.29.5_NRA_model_for_NEMO2 (EMC Update) v0 30 1" xfId="238"/>
    <cellStyle name="%_NRA_model_for_NEMO2 (EMC Update) v0.19_NRA_model_for_NEMO2 (EMC Update) v0.21_NRA_model_for_NEMO2 (EMC Update) v0.29_NRA_model_for_NEMO2 (EMC Update) v0.29.3" xfId="240"/>
    <cellStyle name="%_NRA_model_for_NEMO2 (EMC Update) v0.19_NRA_model_for_NEMO2 (EMC Update) v0.21_NRA_model_for_NEMO2 (EMC Update) v0.29_NRA_model_for_NEMO2 (EMC Update) v0.29.3_NRA_model_for_NEMO2 (EMC Update) v0 30 1" xfId="243"/>
    <cellStyle name="%_NRA_model_for_NEMO2 (EMC Update) v0.19_NRA_model_for_NEMO2 (EMC Update) v0.21_NRA_model_for_NEMO2 (EMC Update) v0.29_NRA_model_for_NEMO2 (EMC Update) v0.29.3_NRA_model_for_NEMO2 (EMC Update) v0.29.5" xfId="241"/>
    <cellStyle name="%_NRA_model_for_NEMO2 (EMC Update) v0.19_NRA_model_for_NEMO2 (EMC Update) v0.21_NRA_model_for_NEMO2 (EMC Update) v0.29_NRA_model_for_NEMO2 (EMC Update) v0.29.3_NRA_model_for_NEMO2 (EMC Update) v0.29.5_NRA_model_for_NEMO2 (EMC Update) v0 30 1" xfId="242"/>
    <cellStyle name="%_NRA_model_for_NEMO2 (EMC Update) v0.19_NRA_model_for_NEMO2 (EMC Update) v0.21_NRA_model_for_NEMO2 (EMC Update) v0.29_NRA_model_for_NEMO2 (EMC Update) v0.29.4" xfId="244"/>
    <cellStyle name="%_NRA_model_for_NEMO2 (EMC Update) v0.19_NRA_model_for_NEMO2 (EMC Update) v0.21_NRA_model_for_NEMO2 (EMC Update) v0.29_NRA_model_for_NEMO2 (EMC Update) v0.29.4_NRA_model_for_NEMO2 (EMC Update) v0 30 1" xfId="247"/>
    <cellStyle name="%_NRA_model_for_NEMO2 (EMC Update) v0.19_NRA_model_for_NEMO2 (EMC Update) v0.21_NRA_model_for_NEMO2 (EMC Update) v0.29_NRA_model_for_NEMO2 (EMC Update) v0.29.4_NRA_model_for_NEMO2 (EMC Update) v0.29.5" xfId="245"/>
    <cellStyle name="%_NRA_model_for_NEMO2 (EMC Update) v0.19_NRA_model_for_NEMO2 (EMC Update) v0.21_NRA_model_for_NEMO2 (EMC Update) v0.29_NRA_model_for_NEMO2 (EMC Update) v0.29.4_NRA_model_for_NEMO2 (EMC Update) v0.29.5_NRA_model_for_NEMO2 (EMC Update) v0 30 1" xfId="246"/>
    <cellStyle name="%_NRA_model_for_NEMO2 (EMC Update) v0.19_NRA_model_for_NEMO2 (EMC Update) v0.21_NRA_model_for_NEMO2 (EMC Update) v0.29_NRA_model_for_NEMO2 (EMC Update) v0.29.5" xfId="248"/>
    <cellStyle name="%_NRA_model_for_NEMO2 (EMC Update) v0.19_NRA_model_for_NEMO2 (EMC Update) v0.21_NRA_model_for_NEMO2 (EMC Update) v0.29_NRA_model_for_NEMO2 (EMC Update) v0.29.5_NRA_model_for_NEMO2 (EMC Update) v0 30 1" xfId="249"/>
    <cellStyle name="%_NRA_model_for_NEMO2 (EMC Update) v0.19_NRA_model_for_NEMO2 (EMC Update) v0.22" xfId="252"/>
    <cellStyle name="%_NRA_model_for_NEMO2 (EMC Update) v0.19_NRA_model_for_NEMO2 (EMC Update) v0.22_NRA_model_for_NEMO2 (EMC Update) v0 30 1" xfId="392"/>
    <cellStyle name="%_NRA_model_for_NEMO2 (EMC Update) v0.19_NRA_model_for_NEMO2 (EMC Update) v0.22_NRA_model_for_NEMO2 (EMC Update) v0.25" xfId="253"/>
    <cellStyle name="%_NRA_model_for_NEMO2 (EMC Update) v0.19_NRA_model_for_NEMO2 (EMC Update) v0.22_NRA_model_for_NEMO2 (EMC Update) v0.25_NRA_model_for_NEMO2 (EMC Update) v0 30 1" xfId="310"/>
    <cellStyle name="%_NRA_model_for_NEMO2 (EMC Update) v0.19_NRA_model_for_NEMO2 (EMC Update) v0.22_NRA_model_for_NEMO2 (EMC Update) v0.25_NRA_model_for_NEMO2 (EMC Update) v0.26" xfId="254"/>
    <cellStyle name="%_NRA_model_for_NEMO2 (EMC Update) v0.19_NRA_model_for_NEMO2 (EMC Update) v0.22_NRA_model_for_NEMO2 (EMC Update) v0.25_NRA_model_for_NEMO2 (EMC Update) v0.26_NRA_model_for_NEMO2 (EMC Update) v0 30 1" xfId="274"/>
    <cellStyle name="%_NRA_model_for_NEMO2 (EMC Update) v0.19_NRA_model_for_NEMO2 (EMC Update) v0.22_NRA_model_for_NEMO2 (EMC Update) v0.25_NRA_model_for_NEMO2 (EMC Update) v0.26_NRA_model_for_NEMO2 (EMC Update) v0.29" xfId="255"/>
    <cellStyle name="%_NRA_model_for_NEMO2 (EMC Update) v0.19_NRA_model_for_NEMO2 (EMC Update) v0.22_NRA_model_for_NEMO2 (EMC Update) v0.25_NRA_model_for_NEMO2 (EMC Update) v0.26_NRA_model_for_NEMO2 (EMC Update) v0.29.2" xfId="256"/>
    <cellStyle name="%_NRA_model_for_NEMO2 (EMC Update) v0.19_NRA_model_for_NEMO2 (EMC Update) v0.22_NRA_model_for_NEMO2 (EMC Update) v0.25_NRA_model_for_NEMO2 (EMC Update) v0.26_NRA_model_for_NEMO2 (EMC Update) v0.29.2_NRA_model_for_NEMO2 (EMC Update) v0 30 1" xfId="260"/>
    <cellStyle name="%_NRA_model_for_NEMO2 (EMC Update) v0.19_NRA_model_for_NEMO2 (EMC Update) v0.22_NRA_model_for_NEMO2 (EMC Update) v0.25_NRA_model_for_NEMO2 (EMC Update) v0.26_NRA_model_for_NEMO2 (EMC Update) v0.29.2_NRA_model_for_NEMO2 (EMC Update) v0.29.3" xfId="257"/>
    <cellStyle name="%_NRA_model_for_NEMO2 (EMC Update) v0.19_NRA_model_for_NEMO2 (EMC Update) v0.22_NRA_model_for_NEMO2 (EMC Update) v0.25_NRA_model_for_NEMO2 (EMC Update) v0.26_NRA_model_for_NEMO2 (EMC Update) v0.29.2_NRA_model_for_NEMO2 (EMC Update) v0.29.4" xfId="258"/>
    <cellStyle name="%_NRA_model_for_NEMO2 (EMC Update) v0.19_NRA_model_for_NEMO2 (EMC Update) v0.22_NRA_model_for_NEMO2 (EMC Update) v0.25_NRA_model_for_NEMO2 (EMC Update) v0.26_NRA_model_for_NEMO2 (EMC Update) v0.29.2_NRA_model_for_NEMO2 (EMC Update) v0.29.5" xfId="259"/>
    <cellStyle name="%_NRA_model_for_NEMO2 (EMC Update) v0.19_NRA_model_for_NEMO2 (EMC Update) v0.22_NRA_model_for_NEMO2 (EMC Update) v0.25_NRA_model_for_NEMO2 (EMC Update) v0.26_NRA_model_for_NEMO2 (EMC Update) v0.29.3" xfId="261"/>
    <cellStyle name="%_NRA_model_for_NEMO2 (EMC Update) v0.19_NRA_model_for_NEMO2 (EMC Update) v0.22_NRA_model_for_NEMO2 (EMC Update) v0.25_NRA_model_for_NEMO2 (EMC Update) v0.26_NRA_model_for_NEMO2 (EMC Update) v0.29.3_NRA_model_for_NEMO2 (EMC Update) v0 30 1" xfId="263"/>
    <cellStyle name="%_NRA_model_for_NEMO2 (EMC Update) v0.19_NRA_model_for_NEMO2 (EMC Update) v0.22_NRA_model_for_NEMO2 (EMC Update) v0.25_NRA_model_for_NEMO2 (EMC Update) v0.26_NRA_model_for_NEMO2 (EMC Update) v0.29.3_NRA_model_for_NEMO2 (EMC Update) v0.29.5" xfId="262"/>
    <cellStyle name="%_NRA_model_for_NEMO2 (EMC Update) v0.19_NRA_model_for_NEMO2 (EMC Update) v0.22_NRA_model_for_NEMO2 (EMC Update) v0.25_NRA_model_for_NEMO2 (EMC Update) v0.26_NRA_model_for_NEMO2 (EMC Update) v0.29.4" xfId="264"/>
    <cellStyle name="%_NRA_model_for_NEMO2 (EMC Update) v0.19_NRA_model_for_NEMO2 (EMC Update) v0.22_NRA_model_for_NEMO2 (EMC Update) v0.25_NRA_model_for_NEMO2 (EMC Update) v0.26_NRA_model_for_NEMO2 (EMC Update) v0.29.4_NRA_model_for_NEMO2 (EMC Update) v0 30 1" xfId="266"/>
    <cellStyle name="%_NRA_model_for_NEMO2 (EMC Update) v0.19_NRA_model_for_NEMO2 (EMC Update) v0.22_NRA_model_for_NEMO2 (EMC Update) v0.25_NRA_model_for_NEMO2 (EMC Update) v0.26_NRA_model_for_NEMO2 (EMC Update) v0.29.4_NRA_model_for_NEMO2 (EMC Update) v0.29.5" xfId="265"/>
    <cellStyle name="%_NRA_model_for_NEMO2 (EMC Update) v0.19_NRA_model_for_NEMO2 (EMC Update) v0.22_NRA_model_for_NEMO2 (EMC Update) v0.25_NRA_model_for_NEMO2 (EMC Update) v0.26_NRA_model_for_NEMO2 (EMC Update) v0.29.5" xfId="267"/>
    <cellStyle name="%_NRA_model_for_NEMO2 (EMC Update) v0.19_NRA_model_for_NEMO2 (EMC Update) v0.22_NRA_model_for_NEMO2 (EMC Update) v0.25_NRA_model_for_NEMO2 (EMC Update) v0.26_NRA_model_for_NEMO2 (EMC Update) v0.29.5_NRA_model_for_NEMO2 (EMC Update) v0 30 1" xfId="268"/>
    <cellStyle name="%_NRA_model_for_NEMO2 (EMC Update) v0.19_NRA_model_for_NEMO2 (EMC Update) v0.22_NRA_model_for_NEMO2 (EMC Update) v0.25_NRA_model_for_NEMO2 (EMC Update) v0.26_NRA_model_for_NEMO2 (EMC Update) v0.29_NRA_model_for_NEMO2 (EMC Update) v0 30 1" xfId="273"/>
    <cellStyle name="%_NRA_model_for_NEMO2 (EMC Update) v0.19_NRA_model_for_NEMO2 (EMC Update) v0.22_NRA_model_for_NEMO2 (EMC Update) v0.25_NRA_model_for_NEMO2 (EMC Update) v0.26_NRA_model_for_NEMO2 (EMC Update) v0.29_NRA_model_for_NEMO2 (EMC Update) v0.29.2" xfId="269"/>
    <cellStyle name="%_NRA_model_for_NEMO2 (EMC Update) v0.19_NRA_model_for_NEMO2 (EMC Update) v0.22_NRA_model_for_NEMO2 (EMC Update) v0.25_NRA_model_for_NEMO2 (EMC Update) v0.26_NRA_model_for_NEMO2 (EMC Update) v0.29_NRA_model_for_NEMO2 (EMC Update) v0.29.3" xfId="270"/>
    <cellStyle name="%_NRA_model_for_NEMO2 (EMC Update) v0.19_NRA_model_for_NEMO2 (EMC Update) v0.22_NRA_model_for_NEMO2 (EMC Update) v0.25_NRA_model_for_NEMO2 (EMC Update) v0.26_NRA_model_for_NEMO2 (EMC Update) v0.29_NRA_model_for_NEMO2 (EMC Update) v0.29.4" xfId="271"/>
    <cellStyle name="%_NRA_model_for_NEMO2 (EMC Update) v0.19_NRA_model_for_NEMO2 (EMC Update) v0.22_NRA_model_for_NEMO2 (EMC Update) v0.25_NRA_model_for_NEMO2 (EMC Update) v0.26_NRA_model_for_NEMO2 (EMC Update) v0.29_NRA_model_for_NEMO2 (EMC Update) v0.29.5" xfId="272"/>
    <cellStyle name="%_NRA_model_for_NEMO2 (EMC Update) v0.19_NRA_model_for_NEMO2 (EMC Update) v0.22_NRA_model_for_NEMO2 (EMC Update) v0.25_NRA_model_for_NEMO2 (EMC Update) v0.29" xfId="275"/>
    <cellStyle name="%_NRA_model_for_NEMO2 (EMC Update) v0.19_NRA_model_for_NEMO2 (EMC Update) v0.22_NRA_model_for_NEMO2 (EMC Update) v0.25_NRA_model_for_NEMO2 (EMC Update) v0.29.2" xfId="276"/>
    <cellStyle name="%_NRA_model_for_NEMO2 (EMC Update) v0.19_NRA_model_for_NEMO2 (EMC Update) v0.22_NRA_model_for_NEMO2 (EMC Update) v0.25_NRA_model_for_NEMO2 (EMC Update) v0.29.2_NRA_model_for_NEMO2 (EMC Update) v0 30 1" xfId="285"/>
    <cellStyle name="%_NRA_model_for_NEMO2 (EMC Update) v0.19_NRA_model_for_NEMO2 (EMC Update) v0.22_NRA_model_for_NEMO2 (EMC Update) v0.25_NRA_model_for_NEMO2 (EMC Update) v0.29.2_NRA_model_for_NEMO2 (EMC Update) v0.29.3" xfId="277"/>
    <cellStyle name="%_NRA_model_for_NEMO2 (EMC Update) v0.19_NRA_model_for_NEMO2 (EMC Update) v0.22_NRA_model_for_NEMO2 (EMC Update) v0.25_NRA_model_for_NEMO2 (EMC Update) v0.29.2_NRA_model_for_NEMO2 (EMC Update) v0.29.3_NRA_model_for_NEMO2 (EMC Update) v0 30 1" xfId="279"/>
    <cellStyle name="%_NRA_model_for_NEMO2 (EMC Update) v0.19_NRA_model_for_NEMO2 (EMC Update) v0.22_NRA_model_for_NEMO2 (EMC Update) v0.25_NRA_model_for_NEMO2 (EMC Update) v0.29.2_NRA_model_for_NEMO2 (EMC Update) v0.29.3_NRA_model_for_NEMO2 (EMC Update) v0.29.5" xfId="278"/>
    <cellStyle name="%_NRA_model_for_NEMO2 (EMC Update) v0.19_NRA_model_for_NEMO2 (EMC Update) v0.22_NRA_model_for_NEMO2 (EMC Update) v0.25_NRA_model_for_NEMO2 (EMC Update) v0.29.2_NRA_model_for_NEMO2 (EMC Update) v0.29.4" xfId="280"/>
    <cellStyle name="%_NRA_model_for_NEMO2 (EMC Update) v0.19_NRA_model_for_NEMO2 (EMC Update) v0.22_NRA_model_for_NEMO2 (EMC Update) v0.25_NRA_model_for_NEMO2 (EMC Update) v0.29.2_NRA_model_for_NEMO2 (EMC Update) v0.29.4_NRA_model_for_NEMO2 (EMC Update) v0 30 1" xfId="282"/>
    <cellStyle name="%_NRA_model_for_NEMO2 (EMC Update) v0.19_NRA_model_for_NEMO2 (EMC Update) v0.22_NRA_model_for_NEMO2 (EMC Update) v0.25_NRA_model_for_NEMO2 (EMC Update) v0.29.2_NRA_model_for_NEMO2 (EMC Update) v0.29.4_NRA_model_for_NEMO2 (EMC Update) v0.29.5" xfId="281"/>
    <cellStyle name="%_NRA_model_for_NEMO2 (EMC Update) v0.19_NRA_model_for_NEMO2 (EMC Update) v0.22_NRA_model_for_NEMO2 (EMC Update) v0.25_NRA_model_for_NEMO2 (EMC Update) v0.29.2_NRA_model_for_NEMO2 (EMC Update) v0.29.5" xfId="283"/>
    <cellStyle name="%_NRA_model_for_NEMO2 (EMC Update) v0.19_NRA_model_for_NEMO2 (EMC Update) v0.22_NRA_model_for_NEMO2 (EMC Update) v0.25_NRA_model_for_NEMO2 (EMC Update) v0.29.2_NRA_model_for_NEMO2 (EMC Update) v0.29.5_NRA_model_for_NEMO2 (EMC Update) v0 30 1" xfId="284"/>
    <cellStyle name="%_NRA_model_for_NEMO2 (EMC Update) v0.19_NRA_model_for_NEMO2 (EMC Update) v0.22_NRA_model_for_NEMO2 (EMC Update) v0.25_NRA_model_for_NEMO2 (EMC Update) v0.29.3" xfId="286"/>
    <cellStyle name="%_NRA_model_for_NEMO2 (EMC Update) v0.19_NRA_model_for_NEMO2 (EMC Update) v0.22_NRA_model_for_NEMO2 (EMC Update) v0.25_NRA_model_for_NEMO2 (EMC Update) v0.29.3_NRA_model_for_NEMO2 (EMC Update) v0 30 1" xfId="289"/>
    <cellStyle name="%_NRA_model_for_NEMO2 (EMC Update) v0.19_NRA_model_for_NEMO2 (EMC Update) v0.22_NRA_model_for_NEMO2 (EMC Update) v0.25_NRA_model_for_NEMO2 (EMC Update) v0.29.3_NRA_model_for_NEMO2 (EMC Update) v0.29.5" xfId="287"/>
    <cellStyle name="%_NRA_model_for_NEMO2 (EMC Update) v0.19_NRA_model_for_NEMO2 (EMC Update) v0.22_NRA_model_for_NEMO2 (EMC Update) v0.25_NRA_model_for_NEMO2 (EMC Update) v0.29.3_NRA_model_for_NEMO2 (EMC Update) v0.29.5_NRA_model_for_NEMO2 (EMC Update) v0 30 1" xfId="288"/>
    <cellStyle name="%_NRA_model_for_NEMO2 (EMC Update) v0.19_NRA_model_for_NEMO2 (EMC Update) v0.22_NRA_model_for_NEMO2 (EMC Update) v0.25_NRA_model_for_NEMO2 (EMC Update) v0.29.4" xfId="290"/>
    <cellStyle name="%_NRA_model_for_NEMO2 (EMC Update) v0.19_NRA_model_for_NEMO2 (EMC Update) v0.22_NRA_model_for_NEMO2 (EMC Update) v0.25_NRA_model_for_NEMO2 (EMC Update) v0.29.4_NRA_model_for_NEMO2 (EMC Update) v0 30 1" xfId="293"/>
    <cellStyle name="%_NRA_model_for_NEMO2 (EMC Update) v0.19_NRA_model_for_NEMO2 (EMC Update) v0.22_NRA_model_for_NEMO2 (EMC Update) v0.25_NRA_model_for_NEMO2 (EMC Update) v0.29.4_NRA_model_for_NEMO2 (EMC Update) v0.29.5" xfId="291"/>
    <cellStyle name="%_NRA_model_for_NEMO2 (EMC Update) v0.19_NRA_model_for_NEMO2 (EMC Update) v0.22_NRA_model_for_NEMO2 (EMC Update) v0.25_NRA_model_for_NEMO2 (EMC Update) v0.29.4_NRA_model_for_NEMO2 (EMC Update) v0.29.5_NRA_model_for_NEMO2 (EMC Update) v0 30 1" xfId="292"/>
    <cellStyle name="%_NRA_model_for_NEMO2 (EMC Update) v0.19_NRA_model_for_NEMO2 (EMC Update) v0.22_NRA_model_for_NEMO2 (EMC Update) v0.25_NRA_model_for_NEMO2 (EMC Update) v0.29.5" xfId="294"/>
    <cellStyle name="%_NRA_model_for_NEMO2 (EMC Update) v0.19_NRA_model_for_NEMO2 (EMC Update) v0.22_NRA_model_for_NEMO2 (EMC Update) v0.25_NRA_model_for_NEMO2 (EMC Update) v0.29.5_NRA_model_for_NEMO2 (EMC Update) v0 30 1" xfId="295"/>
    <cellStyle name="%_NRA_model_for_NEMO2 (EMC Update) v0.19_NRA_model_for_NEMO2 (EMC Update) v0.22_NRA_model_for_NEMO2 (EMC Update) v0.25_NRA_model_for_NEMO2 (EMC Update) v0.29_NRA_model_for_NEMO2 (EMC Update) v0 30 1" xfId="309"/>
    <cellStyle name="%_NRA_model_for_NEMO2 (EMC Update) v0.19_NRA_model_for_NEMO2 (EMC Update) v0.22_NRA_model_for_NEMO2 (EMC Update) v0.25_NRA_model_for_NEMO2 (EMC Update) v0.29_NRA_model_for_NEMO2 (EMC Update) v0.29.2" xfId="296"/>
    <cellStyle name="%_NRA_model_for_NEMO2 (EMC Update) v0.19_NRA_model_for_NEMO2 (EMC Update) v0.22_NRA_model_for_NEMO2 (EMC Update) v0.25_NRA_model_for_NEMO2 (EMC Update) v0.29_NRA_model_for_NEMO2 (EMC Update) v0.29.2_NRA_model_for_NEMO2 (EMC Update) v0 30 1" xfId="300"/>
    <cellStyle name="%_NRA_model_for_NEMO2 (EMC Update) v0.19_NRA_model_for_NEMO2 (EMC Update) v0.22_NRA_model_for_NEMO2 (EMC Update) v0.25_NRA_model_for_NEMO2 (EMC Update) v0.29_NRA_model_for_NEMO2 (EMC Update) v0.29.2_NRA_model_for_NEMO2 (EMC Update) v0.29.3" xfId="297"/>
    <cellStyle name="%_NRA_model_for_NEMO2 (EMC Update) v0.19_NRA_model_for_NEMO2 (EMC Update) v0.22_NRA_model_for_NEMO2 (EMC Update) v0.25_NRA_model_for_NEMO2 (EMC Update) v0.29_NRA_model_for_NEMO2 (EMC Update) v0.29.2_NRA_model_for_NEMO2 (EMC Update) v0.29.4" xfId="298"/>
    <cellStyle name="%_NRA_model_for_NEMO2 (EMC Update) v0.19_NRA_model_for_NEMO2 (EMC Update) v0.22_NRA_model_for_NEMO2 (EMC Update) v0.25_NRA_model_for_NEMO2 (EMC Update) v0.29_NRA_model_for_NEMO2 (EMC Update) v0.29.2_NRA_model_for_NEMO2 (EMC Update) v0.29.5" xfId="299"/>
    <cellStyle name="%_NRA_model_for_NEMO2 (EMC Update) v0.19_NRA_model_for_NEMO2 (EMC Update) v0.22_NRA_model_for_NEMO2 (EMC Update) v0.25_NRA_model_for_NEMO2 (EMC Update) v0.29_NRA_model_for_NEMO2 (EMC Update) v0.29.3" xfId="301"/>
    <cellStyle name="%_NRA_model_for_NEMO2 (EMC Update) v0.19_NRA_model_for_NEMO2 (EMC Update) v0.22_NRA_model_for_NEMO2 (EMC Update) v0.25_NRA_model_for_NEMO2 (EMC Update) v0.29_NRA_model_for_NEMO2 (EMC Update) v0.29.3_NRA_model_for_NEMO2 (EMC Update) v0 30 1" xfId="303"/>
    <cellStyle name="%_NRA_model_for_NEMO2 (EMC Update) v0.19_NRA_model_for_NEMO2 (EMC Update) v0.22_NRA_model_for_NEMO2 (EMC Update) v0.25_NRA_model_for_NEMO2 (EMC Update) v0.29_NRA_model_for_NEMO2 (EMC Update) v0.29.3_NRA_model_for_NEMO2 (EMC Update) v0.29.5" xfId="302"/>
    <cellStyle name="%_NRA_model_for_NEMO2 (EMC Update) v0.19_NRA_model_for_NEMO2 (EMC Update) v0.22_NRA_model_for_NEMO2 (EMC Update) v0.25_NRA_model_for_NEMO2 (EMC Update) v0.29_NRA_model_for_NEMO2 (EMC Update) v0.29.4" xfId="304"/>
    <cellStyle name="%_NRA_model_for_NEMO2 (EMC Update) v0.19_NRA_model_for_NEMO2 (EMC Update) v0.22_NRA_model_for_NEMO2 (EMC Update) v0.25_NRA_model_for_NEMO2 (EMC Update) v0.29_NRA_model_for_NEMO2 (EMC Update) v0.29.4_NRA_model_for_NEMO2 (EMC Update) v0 30 1" xfId="306"/>
    <cellStyle name="%_NRA_model_for_NEMO2 (EMC Update) v0.19_NRA_model_for_NEMO2 (EMC Update) v0.22_NRA_model_for_NEMO2 (EMC Update) v0.25_NRA_model_for_NEMO2 (EMC Update) v0.29_NRA_model_for_NEMO2 (EMC Update) v0.29.4_NRA_model_for_NEMO2 (EMC Update) v0.29.5" xfId="305"/>
    <cellStyle name="%_NRA_model_for_NEMO2 (EMC Update) v0.19_NRA_model_for_NEMO2 (EMC Update) v0.22_NRA_model_for_NEMO2 (EMC Update) v0.25_NRA_model_for_NEMO2 (EMC Update) v0.29_NRA_model_for_NEMO2 (EMC Update) v0.29.5" xfId="307"/>
    <cellStyle name="%_NRA_model_for_NEMO2 (EMC Update) v0.19_NRA_model_for_NEMO2 (EMC Update) v0.22_NRA_model_for_NEMO2 (EMC Update) v0.25_NRA_model_for_NEMO2 (EMC Update) v0.29_NRA_model_for_NEMO2 (EMC Update) v0.29.5_NRA_model_for_NEMO2 (EMC Update) v0 30 1" xfId="308"/>
    <cellStyle name="%_NRA_model_for_NEMO2 (EMC Update) v0.19_NRA_model_for_NEMO2 (EMC Update) v0.22_NRA_model_for_NEMO2 (EMC Update) v0.26" xfId="311"/>
    <cellStyle name="%_NRA_model_for_NEMO2 (EMC Update) v0.19_NRA_model_for_NEMO2 (EMC Update) v0.22_NRA_model_for_NEMO2 (EMC Update) v0.26_NRA_model_for_NEMO2 (EMC Update) v0 30 1" xfId="347"/>
    <cellStyle name="%_NRA_model_for_NEMO2 (EMC Update) v0.19_NRA_model_for_NEMO2 (EMC Update) v0.22_NRA_model_for_NEMO2 (EMC Update) v0.26_NRA_model_for_NEMO2 (EMC Update) v0.29" xfId="312"/>
    <cellStyle name="%_NRA_model_for_NEMO2 (EMC Update) v0.19_NRA_model_for_NEMO2 (EMC Update) v0.22_NRA_model_for_NEMO2 (EMC Update) v0.26_NRA_model_for_NEMO2 (EMC Update) v0.29.2" xfId="313"/>
    <cellStyle name="%_NRA_model_for_NEMO2 (EMC Update) v0.19_NRA_model_for_NEMO2 (EMC Update) v0.22_NRA_model_for_NEMO2 (EMC Update) v0.26_NRA_model_for_NEMO2 (EMC Update) v0.29.2_NRA_model_for_NEMO2 (EMC Update) v0 30 1" xfId="322"/>
    <cellStyle name="%_NRA_model_for_NEMO2 (EMC Update) v0.19_NRA_model_for_NEMO2 (EMC Update) v0.22_NRA_model_for_NEMO2 (EMC Update) v0.26_NRA_model_for_NEMO2 (EMC Update) v0.29.2_NRA_model_for_NEMO2 (EMC Update) v0.29.3" xfId="314"/>
    <cellStyle name="%_NRA_model_for_NEMO2 (EMC Update) v0.19_NRA_model_for_NEMO2 (EMC Update) v0.22_NRA_model_for_NEMO2 (EMC Update) v0.26_NRA_model_for_NEMO2 (EMC Update) v0.29.2_NRA_model_for_NEMO2 (EMC Update) v0.29.3_NRA_model_for_NEMO2 (EMC Update) v0 30 1" xfId="316"/>
    <cellStyle name="%_NRA_model_for_NEMO2 (EMC Update) v0.19_NRA_model_for_NEMO2 (EMC Update) v0.22_NRA_model_for_NEMO2 (EMC Update) v0.26_NRA_model_for_NEMO2 (EMC Update) v0.29.2_NRA_model_for_NEMO2 (EMC Update) v0.29.3_NRA_model_for_NEMO2 (EMC Update) v0.29.5" xfId="315"/>
    <cellStyle name="%_NRA_model_for_NEMO2 (EMC Update) v0.19_NRA_model_for_NEMO2 (EMC Update) v0.22_NRA_model_for_NEMO2 (EMC Update) v0.26_NRA_model_for_NEMO2 (EMC Update) v0.29.2_NRA_model_for_NEMO2 (EMC Update) v0.29.4" xfId="317"/>
    <cellStyle name="%_NRA_model_for_NEMO2 (EMC Update) v0.19_NRA_model_for_NEMO2 (EMC Update) v0.22_NRA_model_for_NEMO2 (EMC Update) v0.26_NRA_model_for_NEMO2 (EMC Update) v0.29.2_NRA_model_for_NEMO2 (EMC Update) v0.29.4_NRA_model_for_NEMO2 (EMC Update) v0 30 1" xfId="319"/>
    <cellStyle name="%_NRA_model_for_NEMO2 (EMC Update) v0.19_NRA_model_for_NEMO2 (EMC Update) v0.22_NRA_model_for_NEMO2 (EMC Update) v0.26_NRA_model_for_NEMO2 (EMC Update) v0.29.2_NRA_model_for_NEMO2 (EMC Update) v0.29.4_NRA_model_for_NEMO2 (EMC Update) v0.29.5" xfId="318"/>
    <cellStyle name="%_NRA_model_for_NEMO2 (EMC Update) v0.19_NRA_model_for_NEMO2 (EMC Update) v0.22_NRA_model_for_NEMO2 (EMC Update) v0.26_NRA_model_for_NEMO2 (EMC Update) v0.29.2_NRA_model_for_NEMO2 (EMC Update) v0.29.5" xfId="320"/>
    <cellStyle name="%_NRA_model_for_NEMO2 (EMC Update) v0.19_NRA_model_for_NEMO2 (EMC Update) v0.22_NRA_model_for_NEMO2 (EMC Update) v0.26_NRA_model_for_NEMO2 (EMC Update) v0.29.2_NRA_model_for_NEMO2 (EMC Update) v0.29.5_NRA_model_for_NEMO2 (EMC Update) v0 30 1" xfId="321"/>
    <cellStyle name="%_NRA_model_for_NEMO2 (EMC Update) v0.19_NRA_model_for_NEMO2 (EMC Update) v0.22_NRA_model_for_NEMO2 (EMC Update) v0.26_NRA_model_for_NEMO2 (EMC Update) v0.29.3" xfId="323"/>
    <cellStyle name="%_NRA_model_for_NEMO2 (EMC Update) v0.19_NRA_model_for_NEMO2 (EMC Update) v0.22_NRA_model_for_NEMO2 (EMC Update) v0.26_NRA_model_for_NEMO2 (EMC Update) v0.29.3_NRA_model_for_NEMO2 (EMC Update) v0 30 1" xfId="326"/>
    <cellStyle name="%_NRA_model_for_NEMO2 (EMC Update) v0.19_NRA_model_for_NEMO2 (EMC Update) v0.22_NRA_model_for_NEMO2 (EMC Update) v0.26_NRA_model_for_NEMO2 (EMC Update) v0.29.3_NRA_model_for_NEMO2 (EMC Update) v0.29.5" xfId="324"/>
    <cellStyle name="%_NRA_model_for_NEMO2 (EMC Update) v0.19_NRA_model_for_NEMO2 (EMC Update) v0.22_NRA_model_for_NEMO2 (EMC Update) v0.26_NRA_model_for_NEMO2 (EMC Update) v0.29.3_NRA_model_for_NEMO2 (EMC Update) v0.29.5_NRA_model_for_NEMO2 (EMC Update) v0 30 1" xfId="325"/>
    <cellStyle name="%_NRA_model_for_NEMO2 (EMC Update) v0.19_NRA_model_for_NEMO2 (EMC Update) v0.22_NRA_model_for_NEMO2 (EMC Update) v0.26_NRA_model_for_NEMO2 (EMC Update) v0.29.4" xfId="327"/>
    <cellStyle name="%_NRA_model_for_NEMO2 (EMC Update) v0.19_NRA_model_for_NEMO2 (EMC Update) v0.22_NRA_model_for_NEMO2 (EMC Update) v0.26_NRA_model_for_NEMO2 (EMC Update) v0.29.4_NRA_model_for_NEMO2 (EMC Update) v0 30 1" xfId="330"/>
    <cellStyle name="%_NRA_model_for_NEMO2 (EMC Update) v0.19_NRA_model_for_NEMO2 (EMC Update) v0.22_NRA_model_for_NEMO2 (EMC Update) v0.26_NRA_model_for_NEMO2 (EMC Update) v0.29.4_NRA_model_for_NEMO2 (EMC Update) v0.29.5" xfId="328"/>
    <cellStyle name="%_NRA_model_for_NEMO2 (EMC Update) v0.19_NRA_model_for_NEMO2 (EMC Update) v0.22_NRA_model_for_NEMO2 (EMC Update) v0.26_NRA_model_for_NEMO2 (EMC Update) v0.29.4_NRA_model_for_NEMO2 (EMC Update) v0.29.5_NRA_model_for_NEMO2 (EMC Update) v0 30 1" xfId="329"/>
    <cellStyle name="%_NRA_model_for_NEMO2 (EMC Update) v0.19_NRA_model_for_NEMO2 (EMC Update) v0.22_NRA_model_for_NEMO2 (EMC Update) v0.26_NRA_model_for_NEMO2 (EMC Update) v0.29.5" xfId="331"/>
    <cellStyle name="%_NRA_model_for_NEMO2 (EMC Update) v0.19_NRA_model_for_NEMO2 (EMC Update) v0.22_NRA_model_for_NEMO2 (EMC Update) v0.26_NRA_model_for_NEMO2 (EMC Update) v0.29.5_NRA_model_for_NEMO2 (EMC Update) v0 30 1" xfId="332"/>
    <cellStyle name="%_NRA_model_for_NEMO2 (EMC Update) v0.19_NRA_model_for_NEMO2 (EMC Update) v0.22_NRA_model_for_NEMO2 (EMC Update) v0.26_NRA_model_for_NEMO2 (EMC Update) v0.29_NRA_model_for_NEMO2 (EMC Update) v0 30 1" xfId="346"/>
    <cellStyle name="%_NRA_model_for_NEMO2 (EMC Update) v0.19_NRA_model_for_NEMO2 (EMC Update) v0.22_NRA_model_for_NEMO2 (EMC Update) v0.26_NRA_model_for_NEMO2 (EMC Update) v0.29_NRA_model_for_NEMO2 (EMC Update) v0.29.2" xfId="333"/>
    <cellStyle name="%_NRA_model_for_NEMO2 (EMC Update) v0.19_NRA_model_for_NEMO2 (EMC Update) v0.22_NRA_model_for_NEMO2 (EMC Update) v0.26_NRA_model_for_NEMO2 (EMC Update) v0.29_NRA_model_for_NEMO2 (EMC Update) v0.29.2_NRA_model_for_NEMO2 (EMC Update) v0 30 1" xfId="337"/>
    <cellStyle name="%_NRA_model_for_NEMO2 (EMC Update) v0.19_NRA_model_for_NEMO2 (EMC Update) v0.22_NRA_model_for_NEMO2 (EMC Update) v0.26_NRA_model_for_NEMO2 (EMC Update) v0.29_NRA_model_for_NEMO2 (EMC Update) v0.29.2_NRA_model_for_NEMO2 (EMC Update) v0.29.3" xfId="334"/>
    <cellStyle name="%_NRA_model_for_NEMO2 (EMC Update) v0.19_NRA_model_for_NEMO2 (EMC Update) v0.22_NRA_model_for_NEMO2 (EMC Update) v0.26_NRA_model_for_NEMO2 (EMC Update) v0.29_NRA_model_for_NEMO2 (EMC Update) v0.29.2_NRA_model_for_NEMO2 (EMC Update) v0.29.4" xfId="335"/>
    <cellStyle name="%_NRA_model_for_NEMO2 (EMC Update) v0.19_NRA_model_for_NEMO2 (EMC Update) v0.22_NRA_model_for_NEMO2 (EMC Update) v0.26_NRA_model_for_NEMO2 (EMC Update) v0.29_NRA_model_for_NEMO2 (EMC Update) v0.29.2_NRA_model_for_NEMO2 (EMC Update) v0.29.5" xfId="336"/>
    <cellStyle name="%_NRA_model_for_NEMO2 (EMC Update) v0.19_NRA_model_for_NEMO2 (EMC Update) v0.22_NRA_model_for_NEMO2 (EMC Update) v0.26_NRA_model_for_NEMO2 (EMC Update) v0.29_NRA_model_for_NEMO2 (EMC Update) v0.29.3" xfId="338"/>
    <cellStyle name="%_NRA_model_for_NEMO2 (EMC Update) v0.19_NRA_model_for_NEMO2 (EMC Update) v0.22_NRA_model_for_NEMO2 (EMC Update) v0.26_NRA_model_for_NEMO2 (EMC Update) v0.29_NRA_model_for_NEMO2 (EMC Update) v0.29.3_NRA_model_for_NEMO2 (EMC Update) v0 30 1" xfId="340"/>
    <cellStyle name="%_NRA_model_for_NEMO2 (EMC Update) v0.19_NRA_model_for_NEMO2 (EMC Update) v0.22_NRA_model_for_NEMO2 (EMC Update) v0.26_NRA_model_for_NEMO2 (EMC Update) v0.29_NRA_model_for_NEMO2 (EMC Update) v0.29.3_NRA_model_for_NEMO2 (EMC Update) v0.29.5" xfId="339"/>
    <cellStyle name="%_NRA_model_for_NEMO2 (EMC Update) v0.19_NRA_model_for_NEMO2 (EMC Update) v0.22_NRA_model_for_NEMO2 (EMC Update) v0.26_NRA_model_for_NEMO2 (EMC Update) v0.29_NRA_model_for_NEMO2 (EMC Update) v0.29.4" xfId="341"/>
    <cellStyle name="%_NRA_model_for_NEMO2 (EMC Update) v0.19_NRA_model_for_NEMO2 (EMC Update) v0.22_NRA_model_for_NEMO2 (EMC Update) v0.26_NRA_model_for_NEMO2 (EMC Update) v0.29_NRA_model_for_NEMO2 (EMC Update) v0.29.4_NRA_model_for_NEMO2 (EMC Update) v0 30 1" xfId="343"/>
    <cellStyle name="%_NRA_model_for_NEMO2 (EMC Update) v0.19_NRA_model_for_NEMO2 (EMC Update) v0.22_NRA_model_for_NEMO2 (EMC Update) v0.26_NRA_model_for_NEMO2 (EMC Update) v0.29_NRA_model_for_NEMO2 (EMC Update) v0.29.4_NRA_model_for_NEMO2 (EMC Update) v0.29.5" xfId="342"/>
    <cellStyle name="%_NRA_model_for_NEMO2 (EMC Update) v0.19_NRA_model_for_NEMO2 (EMC Update) v0.22_NRA_model_for_NEMO2 (EMC Update) v0.26_NRA_model_for_NEMO2 (EMC Update) v0.29_NRA_model_for_NEMO2 (EMC Update) v0.29.5" xfId="344"/>
    <cellStyle name="%_NRA_model_for_NEMO2 (EMC Update) v0.19_NRA_model_for_NEMO2 (EMC Update) v0.22_NRA_model_for_NEMO2 (EMC Update) v0.26_NRA_model_for_NEMO2 (EMC Update) v0.29_NRA_model_for_NEMO2 (EMC Update) v0.29.5_NRA_model_for_NEMO2 (EMC Update) v0 30 1" xfId="345"/>
    <cellStyle name="%_NRA_model_for_NEMO2 (EMC Update) v0.19_NRA_model_for_NEMO2 (EMC Update) v0.22_NRA_model_for_NEMO2 (EMC Update) v0.29" xfId="348"/>
    <cellStyle name="%_NRA_model_for_NEMO2 (EMC Update) v0.19_NRA_model_for_NEMO2 (EMC Update) v0.22_NRA_model_for_NEMO2 (EMC Update) v0.29.2" xfId="349"/>
    <cellStyle name="%_NRA_model_for_NEMO2 (EMC Update) v0.19_NRA_model_for_NEMO2 (EMC Update) v0.22_NRA_model_for_NEMO2 (EMC Update) v0.29.2_NRA_model_for_NEMO2 (EMC Update) v0 30 1" xfId="360"/>
    <cellStyle name="%_NRA_model_for_NEMO2 (EMC Update) v0.19_NRA_model_for_NEMO2 (EMC Update) v0.22_NRA_model_for_NEMO2 (EMC Update) v0.29.2_NRA_model_for_NEMO2 (EMC Update) v0.29.3" xfId="350"/>
    <cellStyle name="%_NRA_model_for_NEMO2 (EMC Update) v0.19_NRA_model_for_NEMO2 (EMC Update) v0.22_NRA_model_for_NEMO2 (EMC Update) v0.29.2_NRA_model_for_NEMO2 (EMC Update) v0.29.3_NRA_model_for_NEMO2 (EMC Update) v0 30 1" xfId="353"/>
    <cellStyle name="%_NRA_model_for_NEMO2 (EMC Update) v0.19_NRA_model_for_NEMO2 (EMC Update) v0.22_NRA_model_for_NEMO2 (EMC Update) v0.29.2_NRA_model_for_NEMO2 (EMC Update) v0.29.3_NRA_model_for_NEMO2 (EMC Update) v0.29.5" xfId="351"/>
    <cellStyle name="%_NRA_model_for_NEMO2 (EMC Update) v0.19_NRA_model_for_NEMO2 (EMC Update) v0.22_NRA_model_for_NEMO2 (EMC Update) v0.29.2_NRA_model_for_NEMO2 (EMC Update) v0.29.3_NRA_model_for_NEMO2 (EMC Update) v0.29.5_NRA_model_for_NEMO2 (EMC Update) v0 30 1" xfId="352"/>
    <cellStyle name="%_NRA_model_for_NEMO2 (EMC Update) v0.19_NRA_model_for_NEMO2 (EMC Update) v0.22_NRA_model_for_NEMO2 (EMC Update) v0.29.2_NRA_model_for_NEMO2 (EMC Update) v0.29.4" xfId="354"/>
    <cellStyle name="%_NRA_model_for_NEMO2 (EMC Update) v0.19_NRA_model_for_NEMO2 (EMC Update) v0.22_NRA_model_for_NEMO2 (EMC Update) v0.29.2_NRA_model_for_NEMO2 (EMC Update) v0.29.4_NRA_model_for_NEMO2 (EMC Update) v0 30 1" xfId="357"/>
    <cellStyle name="%_NRA_model_for_NEMO2 (EMC Update) v0.19_NRA_model_for_NEMO2 (EMC Update) v0.22_NRA_model_for_NEMO2 (EMC Update) v0.29.2_NRA_model_for_NEMO2 (EMC Update) v0.29.4_NRA_model_for_NEMO2 (EMC Update) v0.29.5" xfId="355"/>
    <cellStyle name="%_NRA_model_for_NEMO2 (EMC Update) v0.19_NRA_model_for_NEMO2 (EMC Update) v0.22_NRA_model_for_NEMO2 (EMC Update) v0.29.2_NRA_model_for_NEMO2 (EMC Update) v0.29.4_NRA_model_for_NEMO2 (EMC Update) v0.29.5_NRA_model_for_NEMO2 (EMC Update) v0 30 1" xfId="356"/>
    <cellStyle name="%_NRA_model_for_NEMO2 (EMC Update) v0.19_NRA_model_for_NEMO2 (EMC Update) v0.22_NRA_model_for_NEMO2 (EMC Update) v0.29.2_NRA_model_for_NEMO2 (EMC Update) v0.29.5" xfId="358"/>
    <cellStyle name="%_NRA_model_for_NEMO2 (EMC Update) v0.19_NRA_model_for_NEMO2 (EMC Update) v0.22_NRA_model_for_NEMO2 (EMC Update) v0.29.2_NRA_model_for_NEMO2 (EMC Update) v0.29.5_NRA_model_for_NEMO2 (EMC Update) v0 30 1" xfId="359"/>
    <cellStyle name="%_NRA_model_for_NEMO2 (EMC Update) v0.19_NRA_model_for_NEMO2 (EMC Update) v0.22_NRA_model_for_NEMO2 (EMC Update) v0.29.3" xfId="361"/>
    <cellStyle name="%_NRA_model_for_NEMO2 (EMC Update) v0.19_NRA_model_for_NEMO2 (EMC Update) v0.22_NRA_model_for_NEMO2 (EMC Update) v0.29.3_NRA_model_for_NEMO2 (EMC Update) v0 30 1" xfId="364"/>
    <cellStyle name="%_NRA_model_for_NEMO2 (EMC Update) v0.19_NRA_model_for_NEMO2 (EMC Update) v0.22_NRA_model_for_NEMO2 (EMC Update) v0.29.3_NRA_model_for_NEMO2 (EMC Update) v0.29.5" xfId="362"/>
    <cellStyle name="%_NRA_model_for_NEMO2 (EMC Update) v0.19_NRA_model_for_NEMO2 (EMC Update) v0.22_NRA_model_for_NEMO2 (EMC Update) v0.29.3_NRA_model_for_NEMO2 (EMC Update) v0.29.5_NRA_model_for_NEMO2 (EMC Update) v0 30 1" xfId="363"/>
    <cellStyle name="%_NRA_model_for_NEMO2 (EMC Update) v0.19_NRA_model_for_NEMO2 (EMC Update) v0.22_NRA_model_for_NEMO2 (EMC Update) v0.29.4" xfId="365"/>
    <cellStyle name="%_NRA_model_for_NEMO2 (EMC Update) v0.19_NRA_model_for_NEMO2 (EMC Update) v0.22_NRA_model_for_NEMO2 (EMC Update) v0.29.4_NRA_model_for_NEMO2 (EMC Update) v0 30 1" xfId="368"/>
    <cellStyle name="%_NRA_model_for_NEMO2 (EMC Update) v0.19_NRA_model_for_NEMO2 (EMC Update) v0.22_NRA_model_for_NEMO2 (EMC Update) v0.29.4_NRA_model_for_NEMO2 (EMC Update) v0.29.5" xfId="366"/>
    <cellStyle name="%_NRA_model_for_NEMO2 (EMC Update) v0.19_NRA_model_for_NEMO2 (EMC Update) v0.22_NRA_model_for_NEMO2 (EMC Update) v0.29.4_NRA_model_for_NEMO2 (EMC Update) v0.29.5_NRA_model_for_NEMO2 (EMC Update) v0 30 1" xfId="367"/>
    <cellStyle name="%_NRA_model_for_NEMO2 (EMC Update) v0.19_NRA_model_for_NEMO2 (EMC Update) v0.22_NRA_model_for_NEMO2 (EMC Update) v0.29.5" xfId="369"/>
    <cellStyle name="%_NRA_model_for_NEMO2 (EMC Update) v0.19_NRA_model_for_NEMO2 (EMC Update) v0.22_NRA_model_for_NEMO2 (EMC Update) v0.29.5_NRA_model_for_NEMO2 (EMC Update) v0 30 1" xfId="370"/>
    <cellStyle name="%_NRA_model_for_NEMO2 (EMC Update) v0.19_NRA_model_for_NEMO2 (EMC Update) v0.22_NRA_model_for_NEMO2 (EMC Update) v0.29_NRA_model_for_NEMO2 (EMC Update) v0 30 1" xfId="391"/>
    <cellStyle name="%_NRA_model_for_NEMO2 (EMC Update) v0.19_NRA_model_for_NEMO2 (EMC Update) v0.22_NRA_model_for_NEMO2 (EMC Update) v0.29_NRA_model_for_NEMO2 (EMC Update) v0.29.2" xfId="371"/>
    <cellStyle name="%_NRA_model_for_NEMO2 (EMC Update) v0.19_NRA_model_for_NEMO2 (EMC Update) v0.22_NRA_model_for_NEMO2 (EMC Update) v0.29_NRA_model_for_NEMO2 (EMC Update) v0.29.2_NRA_model_for_NEMO2 (EMC Update) v0 30 1" xfId="380"/>
    <cellStyle name="%_NRA_model_for_NEMO2 (EMC Update) v0.19_NRA_model_for_NEMO2 (EMC Update) v0.22_NRA_model_for_NEMO2 (EMC Update) v0.29_NRA_model_for_NEMO2 (EMC Update) v0.29.2_NRA_model_for_NEMO2 (EMC Update) v0.29.3" xfId="372"/>
    <cellStyle name="%_NRA_model_for_NEMO2 (EMC Update) v0.19_NRA_model_for_NEMO2 (EMC Update) v0.22_NRA_model_for_NEMO2 (EMC Update) v0.29_NRA_model_for_NEMO2 (EMC Update) v0.29.2_NRA_model_for_NEMO2 (EMC Update) v0.29.3_NRA_model_for_NEMO2 (EMC Update) v0 30 1" xfId="374"/>
    <cellStyle name="%_NRA_model_for_NEMO2 (EMC Update) v0.19_NRA_model_for_NEMO2 (EMC Update) v0.22_NRA_model_for_NEMO2 (EMC Update) v0.29_NRA_model_for_NEMO2 (EMC Update) v0.29.2_NRA_model_for_NEMO2 (EMC Update) v0.29.3_NRA_model_for_NEMO2 (EMC Update) v0.29.5" xfId="373"/>
    <cellStyle name="%_NRA_model_for_NEMO2 (EMC Update) v0.19_NRA_model_for_NEMO2 (EMC Update) v0.22_NRA_model_for_NEMO2 (EMC Update) v0.29_NRA_model_for_NEMO2 (EMC Update) v0.29.2_NRA_model_for_NEMO2 (EMC Update) v0.29.4" xfId="375"/>
    <cellStyle name="%_NRA_model_for_NEMO2 (EMC Update) v0.19_NRA_model_for_NEMO2 (EMC Update) v0.22_NRA_model_for_NEMO2 (EMC Update) v0.29_NRA_model_for_NEMO2 (EMC Update) v0.29.2_NRA_model_for_NEMO2 (EMC Update) v0.29.4_NRA_model_for_NEMO2 (EMC Update) v0 30 1" xfId="377"/>
    <cellStyle name="%_NRA_model_for_NEMO2 (EMC Update) v0.19_NRA_model_for_NEMO2 (EMC Update) v0.22_NRA_model_for_NEMO2 (EMC Update) v0.29_NRA_model_for_NEMO2 (EMC Update) v0.29.2_NRA_model_for_NEMO2 (EMC Update) v0.29.4_NRA_model_for_NEMO2 (EMC Update) v0.29.5" xfId="376"/>
    <cellStyle name="%_NRA_model_for_NEMO2 (EMC Update) v0.19_NRA_model_for_NEMO2 (EMC Update) v0.22_NRA_model_for_NEMO2 (EMC Update) v0.29_NRA_model_for_NEMO2 (EMC Update) v0.29.2_NRA_model_for_NEMO2 (EMC Update) v0.29.5" xfId="378"/>
    <cellStyle name="%_NRA_model_for_NEMO2 (EMC Update) v0.19_NRA_model_for_NEMO2 (EMC Update) v0.22_NRA_model_for_NEMO2 (EMC Update) v0.29_NRA_model_for_NEMO2 (EMC Update) v0.29.2_NRA_model_for_NEMO2 (EMC Update) v0.29.5_NRA_model_for_NEMO2 (EMC Update) v0 30 1" xfId="379"/>
    <cellStyle name="%_NRA_model_for_NEMO2 (EMC Update) v0.19_NRA_model_for_NEMO2 (EMC Update) v0.22_NRA_model_for_NEMO2 (EMC Update) v0.29_NRA_model_for_NEMO2 (EMC Update) v0.29.3" xfId="381"/>
    <cellStyle name="%_NRA_model_for_NEMO2 (EMC Update) v0.19_NRA_model_for_NEMO2 (EMC Update) v0.22_NRA_model_for_NEMO2 (EMC Update) v0.29_NRA_model_for_NEMO2 (EMC Update) v0.29.3_NRA_model_for_NEMO2 (EMC Update) v0 30 1" xfId="384"/>
    <cellStyle name="%_NRA_model_for_NEMO2 (EMC Update) v0.19_NRA_model_for_NEMO2 (EMC Update) v0.22_NRA_model_for_NEMO2 (EMC Update) v0.29_NRA_model_for_NEMO2 (EMC Update) v0.29.3_NRA_model_for_NEMO2 (EMC Update) v0.29.5" xfId="382"/>
    <cellStyle name="%_NRA_model_for_NEMO2 (EMC Update) v0.19_NRA_model_for_NEMO2 (EMC Update) v0.22_NRA_model_for_NEMO2 (EMC Update) v0.29_NRA_model_for_NEMO2 (EMC Update) v0.29.3_NRA_model_for_NEMO2 (EMC Update) v0.29.5_NRA_model_for_NEMO2 (EMC Update) v0 30 1" xfId="383"/>
    <cellStyle name="%_NRA_model_for_NEMO2 (EMC Update) v0.19_NRA_model_for_NEMO2 (EMC Update) v0.22_NRA_model_for_NEMO2 (EMC Update) v0.29_NRA_model_for_NEMO2 (EMC Update) v0.29.4" xfId="385"/>
    <cellStyle name="%_NRA_model_for_NEMO2 (EMC Update) v0.19_NRA_model_for_NEMO2 (EMC Update) v0.22_NRA_model_for_NEMO2 (EMC Update) v0.29_NRA_model_for_NEMO2 (EMC Update) v0.29.4_NRA_model_for_NEMO2 (EMC Update) v0 30 1" xfId="388"/>
    <cellStyle name="%_NRA_model_for_NEMO2 (EMC Update) v0.19_NRA_model_for_NEMO2 (EMC Update) v0.22_NRA_model_for_NEMO2 (EMC Update) v0.29_NRA_model_for_NEMO2 (EMC Update) v0.29.4_NRA_model_for_NEMO2 (EMC Update) v0.29.5" xfId="386"/>
    <cellStyle name="%_NRA_model_for_NEMO2 (EMC Update) v0.19_NRA_model_for_NEMO2 (EMC Update) v0.22_NRA_model_for_NEMO2 (EMC Update) v0.29_NRA_model_for_NEMO2 (EMC Update) v0.29.4_NRA_model_for_NEMO2 (EMC Update) v0.29.5_NRA_model_for_NEMO2 (EMC Update) v0 30 1" xfId="387"/>
    <cellStyle name="%_NRA_model_for_NEMO2 (EMC Update) v0.19_NRA_model_for_NEMO2 (EMC Update) v0.22_NRA_model_for_NEMO2 (EMC Update) v0.29_NRA_model_for_NEMO2 (EMC Update) v0.29.5" xfId="389"/>
    <cellStyle name="%_NRA_model_for_NEMO2 (EMC Update) v0.19_NRA_model_for_NEMO2 (EMC Update) v0.22_NRA_model_for_NEMO2 (EMC Update) v0.29_NRA_model_for_NEMO2 (EMC Update) v0.29.5_NRA_model_for_NEMO2 (EMC Update) v0 30 1" xfId="390"/>
    <cellStyle name="%_NRA_model_for_NEMO2 (EMC Update) v0.19_NRA_model_for_NEMO2 (EMC Update) v0.25" xfId="393"/>
    <cellStyle name="%_NRA_model_for_NEMO2 (EMC Update) v0.19_NRA_model_for_NEMO2 (EMC Update) v0.25_NRA_model_for_NEMO2 (EMC Update) v0 30 1" xfId="475"/>
    <cellStyle name="%_NRA_model_for_NEMO2 (EMC Update) v0.19_NRA_model_for_NEMO2 (EMC Update) v0.25_NRA_model_for_NEMO2 (EMC Update) v0.26" xfId="394"/>
    <cellStyle name="%_NRA_model_for_NEMO2 (EMC Update) v0.19_NRA_model_for_NEMO2 (EMC Update) v0.25_NRA_model_for_NEMO2 (EMC Update) v0.26_NRA_model_for_NEMO2 (EMC Update) v0 30 1" xfId="430"/>
    <cellStyle name="%_NRA_model_for_NEMO2 (EMC Update) v0.19_NRA_model_for_NEMO2 (EMC Update) v0.25_NRA_model_for_NEMO2 (EMC Update) v0.26_NRA_model_for_NEMO2 (EMC Update) v0.29" xfId="395"/>
    <cellStyle name="%_NRA_model_for_NEMO2 (EMC Update) v0.19_NRA_model_for_NEMO2 (EMC Update) v0.25_NRA_model_for_NEMO2 (EMC Update) v0.26_NRA_model_for_NEMO2 (EMC Update) v0.29.2" xfId="396"/>
    <cellStyle name="%_NRA_model_for_NEMO2 (EMC Update) v0.19_NRA_model_for_NEMO2 (EMC Update) v0.25_NRA_model_for_NEMO2 (EMC Update) v0.26_NRA_model_for_NEMO2 (EMC Update) v0.29.2_NRA_model_for_NEMO2 (EMC Update) v0 30 1" xfId="405"/>
    <cellStyle name="%_NRA_model_for_NEMO2 (EMC Update) v0.19_NRA_model_for_NEMO2 (EMC Update) v0.25_NRA_model_for_NEMO2 (EMC Update) v0.26_NRA_model_for_NEMO2 (EMC Update) v0.29.2_NRA_model_for_NEMO2 (EMC Update) v0.29.3" xfId="397"/>
    <cellStyle name="%_NRA_model_for_NEMO2 (EMC Update) v0.19_NRA_model_for_NEMO2 (EMC Update) v0.25_NRA_model_for_NEMO2 (EMC Update) v0.26_NRA_model_for_NEMO2 (EMC Update) v0.29.2_NRA_model_for_NEMO2 (EMC Update) v0.29.3_NRA_model_for_NEMO2 (EMC Update) v0 30 1" xfId="399"/>
    <cellStyle name="%_NRA_model_for_NEMO2 (EMC Update) v0.19_NRA_model_for_NEMO2 (EMC Update) v0.25_NRA_model_for_NEMO2 (EMC Update) v0.26_NRA_model_for_NEMO2 (EMC Update) v0.29.2_NRA_model_for_NEMO2 (EMC Update) v0.29.3_NRA_model_for_NEMO2 (EMC Update) v0.29.5" xfId="398"/>
    <cellStyle name="%_NRA_model_for_NEMO2 (EMC Update) v0.19_NRA_model_for_NEMO2 (EMC Update) v0.25_NRA_model_for_NEMO2 (EMC Update) v0.26_NRA_model_for_NEMO2 (EMC Update) v0.29.2_NRA_model_for_NEMO2 (EMC Update) v0.29.4" xfId="400"/>
    <cellStyle name="%_NRA_model_for_NEMO2 (EMC Update) v0.19_NRA_model_for_NEMO2 (EMC Update) v0.25_NRA_model_for_NEMO2 (EMC Update) v0.26_NRA_model_for_NEMO2 (EMC Update) v0.29.2_NRA_model_for_NEMO2 (EMC Update) v0.29.4_NRA_model_for_NEMO2 (EMC Update) v0 30 1" xfId="402"/>
    <cellStyle name="%_NRA_model_for_NEMO2 (EMC Update) v0.19_NRA_model_for_NEMO2 (EMC Update) v0.25_NRA_model_for_NEMO2 (EMC Update) v0.26_NRA_model_for_NEMO2 (EMC Update) v0.29.2_NRA_model_for_NEMO2 (EMC Update) v0.29.4_NRA_model_for_NEMO2 (EMC Update) v0.29.5" xfId="401"/>
    <cellStyle name="%_NRA_model_for_NEMO2 (EMC Update) v0.19_NRA_model_for_NEMO2 (EMC Update) v0.25_NRA_model_for_NEMO2 (EMC Update) v0.26_NRA_model_for_NEMO2 (EMC Update) v0.29.2_NRA_model_for_NEMO2 (EMC Update) v0.29.5" xfId="403"/>
    <cellStyle name="%_NRA_model_for_NEMO2 (EMC Update) v0.19_NRA_model_for_NEMO2 (EMC Update) v0.25_NRA_model_for_NEMO2 (EMC Update) v0.26_NRA_model_for_NEMO2 (EMC Update) v0.29.2_NRA_model_for_NEMO2 (EMC Update) v0.29.5_NRA_model_for_NEMO2 (EMC Update) v0 30 1" xfId="404"/>
    <cellStyle name="%_NRA_model_for_NEMO2 (EMC Update) v0.19_NRA_model_for_NEMO2 (EMC Update) v0.25_NRA_model_for_NEMO2 (EMC Update) v0.26_NRA_model_for_NEMO2 (EMC Update) v0.29.3" xfId="406"/>
    <cellStyle name="%_NRA_model_for_NEMO2 (EMC Update) v0.19_NRA_model_for_NEMO2 (EMC Update) v0.25_NRA_model_for_NEMO2 (EMC Update) v0.26_NRA_model_for_NEMO2 (EMC Update) v0.29.3_NRA_model_for_NEMO2 (EMC Update) v0 30 1" xfId="409"/>
    <cellStyle name="%_NRA_model_for_NEMO2 (EMC Update) v0.19_NRA_model_for_NEMO2 (EMC Update) v0.25_NRA_model_for_NEMO2 (EMC Update) v0.26_NRA_model_for_NEMO2 (EMC Update) v0.29.3_NRA_model_for_NEMO2 (EMC Update) v0.29.5" xfId="407"/>
    <cellStyle name="%_NRA_model_for_NEMO2 (EMC Update) v0.19_NRA_model_for_NEMO2 (EMC Update) v0.25_NRA_model_for_NEMO2 (EMC Update) v0.26_NRA_model_for_NEMO2 (EMC Update) v0.29.3_NRA_model_for_NEMO2 (EMC Update) v0.29.5_NRA_model_for_NEMO2 (EMC Update) v0 30 1" xfId="408"/>
    <cellStyle name="%_NRA_model_for_NEMO2 (EMC Update) v0.19_NRA_model_for_NEMO2 (EMC Update) v0.25_NRA_model_for_NEMO2 (EMC Update) v0.26_NRA_model_for_NEMO2 (EMC Update) v0.29.4" xfId="410"/>
    <cellStyle name="%_NRA_model_for_NEMO2 (EMC Update) v0.19_NRA_model_for_NEMO2 (EMC Update) v0.25_NRA_model_for_NEMO2 (EMC Update) v0.26_NRA_model_for_NEMO2 (EMC Update) v0.29.4_NRA_model_for_NEMO2 (EMC Update) v0 30 1" xfId="413"/>
    <cellStyle name="%_NRA_model_for_NEMO2 (EMC Update) v0.19_NRA_model_for_NEMO2 (EMC Update) v0.25_NRA_model_for_NEMO2 (EMC Update) v0.26_NRA_model_for_NEMO2 (EMC Update) v0.29.4_NRA_model_for_NEMO2 (EMC Update) v0.29.5" xfId="411"/>
    <cellStyle name="%_NRA_model_for_NEMO2 (EMC Update) v0.19_NRA_model_for_NEMO2 (EMC Update) v0.25_NRA_model_for_NEMO2 (EMC Update) v0.26_NRA_model_for_NEMO2 (EMC Update) v0.29.4_NRA_model_for_NEMO2 (EMC Update) v0.29.5_NRA_model_for_NEMO2 (EMC Update) v0 30 1" xfId="412"/>
    <cellStyle name="%_NRA_model_for_NEMO2 (EMC Update) v0.19_NRA_model_for_NEMO2 (EMC Update) v0.25_NRA_model_for_NEMO2 (EMC Update) v0.26_NRA_model_for_NEMO2 (EMC Update) v0.29.5" xfId="414"/>
    <cellStyle name="%_NRA_model_for_NEMO2 (EMC Update) v0.19_NRA_model_for_NEMO2 (EMC Update) v0.25_NRA_model_for_NEMO2 (EMC Update) v0.26_NRA_model_for_NEMO2 (EMC Update) v0.29.5_NRA_model_for_NEMO2 (EMC Update) v0 30 1" xfId="415"/>
    <cellStyle name="%_NRA_model_for_NEMO2 (EMC Update) v0.19_NRA_model_for_NEMO2 (EMC Update) v0.25_NRA_model_for_NEMO2 (EMC Update) v0.26_NRA_model_for_NEMO2 (EMC Update) v0.29_NRA_model_for_NEMO2 (EMC Update) v0 30 1" xfId="429"/>
    <cellStyle name="%_NRA_model_for_NEMO2 (EMC Update) v0.19_NRA_model_for_NEMO2 (EMC Update) v0.25_NRA_model_for_NEMO2 (EMC Update) v0.26_NRA_model_for_NEMO2 (EMC Update) v0.29_NRA_model_for_NEMO2 (EMC Update) v0.29.2" xfId="416"/>
    <cellStyle name="%_NRA_model_for_NEMO2 (EMC Update) v0.19_NRA_model_for_NEMO2 (EMC Update) v0.25_NRA_model_for_NEMO2 (EMC Update) v0.26_NRA_model_for_NEMO2 (EMC Update) v0.29_NRA_model_for_NEMO2 (EMC Update) v0.29.2_NRA_model_for_NEMO2 (EMC Update) v0 30 1" xfId="420"/>
    <cellStyle name="%_NRA_model_for_NEMO2 (EMC Update) v0.19_NRA_model_for_NEMO2 (EMC Update) v0.25_NRA_model_for_NEMO2 (EMC Update) v0.26_NRA_model_for_NEMO2 (EMC Update) v0.29_NRA_model_for_NEMO2 (EMC Update) v0.29.2_NRA_model_for_NEMO2 (EMC Update) v0.29.3" xfId="417"/>
    <cellStyle name="%_NRA_model_for_NEMO2 (EMC Update) v0.19_NRA_model_for_NEMO2 (EMC Update) v0.25_NRA_model_for_NEMO2 (EMC Update) v0.26_NRA_model_for_NEMO2 (EMC Update) v0.29_NRA_model_for_NEMO2 (EMC Update) v0.29.2_NRA_model_for_NEMO2 (EMC Update) v0.29.4" xfId="418"/>
    <cellStyle name="%_NRA_model_for_NEMO2 (EMC Update) v0.19_NRA_model_for_NEMO2 (EMC Update) v0.25_NRA_model_for_NEMO2 (EMC Update) v0.26_NRA_model_for_NEMO2 (EMC Update) v0.29_NRA_model_for_NEMO2 (EMC Update) v0.29.2_NRA_model_for_NEMO2 (EMC Update) v0.29.5" xfId="419"/>
    <cellStyle name="%_NRA_model_for_NEMO2 (EMC Update) v0.19_NRA_model_for_NEMO2 (EMC Update) v0.25_NRA_model_for_NEMO2 (EMC Update) v0.26_NRA_model_for_NEMO2 (EMC Update) v0.29_NRA_model_for_NEMO2 (EMC Update) v0.29.3" xfId="421"/>
    <cellStyle name="%_NRA_model_for_NEMO2 (EMC Update) v0.19_NRA_model_for_NEMO2 (EMC Update) v0.25_NRA_model_for_NEMO2 (EMC Update) v0.26_NRA_model_for_NEMO2 (EMC Update) v0.29_NRA_model_for_NEMO2 (EMC Update) v0.29.3_NRA_model_for_NEMO2 (EMC Update) v0 30 1" xfId="423"/>
    <cellStyle name="%_NRA_model_for_NEMO2 (EMC Update) v0.19_NRA_model_for_NEMO2 (EMC Update) v0.25_NRA_model_for_NEMO2 (EMC Update) v0.26_NRA_model_for_NEMO2 (EMC Update) v0.29_NRA_model_for_NEMO2 (EMC Update) v0.29.3_NRA_model_for_NEMO2 (EMC Update) v0.29.5" xfId="422"/>
    <cellStyle name="%_NRA_model_for_NEMO2 (EMC Update) v0.19_NRA_model_for_NEMO2 (EMC Update) v0.25_NRA_model_for_NEMO2 (EMC Update) v0.26_NRA_model_for_NEMO2 (EMC Update) v0.29_NRA_model_for_NEMO2 (EMC Update) v0.29.4" xfId="424"/>
    <cellStyle name="%_NRA_model_for_NEMO2 (EMC Update) v0.19_NRA_model_for_NEMO2 (EMC Update) v0.25_NRA_model_for_NEMO2 (EMC Update) v0.26_NRA_model_for_NEMO2 (EMC Update) v0.29_NRA_model_for_NEMO2 (EMC Update) v0.29.4_NRA_model_for_NEMO2 (EMC Update) v0 30 1" xfId="426"/>
    <cellStyle name="%_NRA_model_for_NEMO2 (EMC Update) v0.19_NRA_model_for_NEMO2 (EMC Update) v0.25_NRA_model_for_NEMO2 (EMC Update) v0.26_NRA_model_for_NEMO2 (EMC Update) v0.29_NRA_model_for_NEMO2 (EMC Update) v0.29.4_NRA_model_for_NEMO2 (EMC Update) v0.29.5" xfId="425"/>
    <cellStyle name="%_NRA_model_for_NEMO2 (EMC Update) v0.19_NRA_model_for_NEMO2 (EMC Update) v0.25_NRA_model_for_NEMO2 (EMC Update) v0.26_NRA_model_for_NEMO2 (EMC Update) v0.29_NRA_model_for_NEMO2 (EMC Update) v0.29.5" xfId="427"/>
    <cellStyle name="%_NRA_model_for_NEMO2 (EMC Update) v0.19_NRA_model_for_NEMO2 (EMC Update) v0.25_NRA_model_for_NEMO2 (EMC Update) v0.26_NRA_model_for_NEMO2 (EMC Update) v0.29_NRA_model_for_NEMO2 (EMC Update) v0.29.5_NRA_model_for_NEMO2 (EMC Update) v0 30 1" xfId="428"/>
    <cellStyle name="%_NRA_model_for_NEMO2 (EMC Update) v0.19_NRA_model_for_NEMO2 (EMC Update) v0.25_NRA_model_for_NEMO2 (EMC Update) v0.29" xfId="431"/>
    <cellStyle name="%_NRA_model_for_NEMO2 (EMC Update) v0.19_NRA_model_for_NEMO2 (EMC Update) v0.25_NRA_model_for_NEMO2 (EMC Update) v0.29.2" xfId="432"/>
    <cellStyle name="%_NRA_model_for_NEMO2 (EMC Update) v0.19_NRA_model_for_NEMO2 (EMC Update) v0.25_NRA_model_for_NEMO2 (EMC Update) v0.29.2_NRA_model_for_NEMO2 (EMC Update) v0 30 1" xfId="443"/>
    <cellStyle name="%_NRA_model_for_NEMO2 (EMC Update) v0.19_NRA_model_for_NEMO2 (EMC Update) v0.25_NRA_model_for_NEMO2 (EMC Update) v0.29.2_NRA_model_for_NEMO2 (EMC Update) v0.29.3" xfId="433"/>
    <cellStyle name="%_NRA_model_for_NEMO2 (EMC Update) v0.19_NRA_model_for_NEMO2 (EMC Update) v0.25_NRA_model_for_NEMO2 (EMC Update) v0.29.2_NRA_model_for_NEMO2 (EMC Update) v0.29.3_NRA_model_for_NEMO2 (EMC Update) v0 30 1" xfId="436"/>
    <cellStyle name="%_NRA_model_for_NEMO2 (EMC Update) v0.19_NRA_model_for_NEMO2 (EMC Update) v0.25_NRA_model_for_NEMO2 (EMC Update) v0.29.2_NRA_model_for_NEMO2 (EMC Update) v0.29.3_NRA_model_for_NEMO2 (EMC Update) v0.29.5" xfId="434"/>
    <cellStyle name="%_NRA_model_for_NEMO2 (EMC Update) v0.19_NRA_model_for_NEMO2 (EMC Update) v0.25_NRA_model_for_NEMO2 (EMC Update) v0.29.2_NRA_model_for_NEMO2 (EMC Update) v0.29.3_NRA_model_for_NEMO2 (EMC Update) v0.29.5_NRA_model_for_NEMO2 (EMC Update) v0 30 1" xfId="435"/>
    <cellStyle name="%_NRA_model_for_NEMO2 (EMC Update) v0.19_NRA_model_for_NEMO2 (EMC Update) v0.25_NRA_model_for_NEMO2 (EMC Update) v0.29.2_NRA_model_for_NEMO2 (EMC Update) v0.29.4" xfId="437"/>
    <cellStyle name="%_NRA_model_for_NEMO2 (EMC Update) v0.19_NRA_model_for_NEMO2 (EMC Update) v0.25_NRA_model_for_NEMO2 (EMC Update) v0.29.2_NRA_model_for_NEMO2 (EMC Update) v0.29.4_NRA_model_for_NEMO2 (EMC Update) v0 30 1" xfId="440"/>
    <cellStyle name="%_NRA_model_for_NEMO2 (EMC Update) v0.19_NRA_model_for_NEMO2 (EMC Update) v0.25_NRA_model_for_NEMO2 (EMC Update) v0.29.2_NRA_model_for_NEMO2 (EMC Update) v0.29.4_NRA_model_for_NEMO2 (EMC Update) v0.29.5" xfId="438"/>
    <cellStyle name="%_NRA_model_for_NEMO2 (EMC Update) v0.19_NRA_model_for_NEMO2 (EMC Update) v0.25_NRA_model_for_NEMO2 (EMC Update) v0.29.2_NRA_model_for_NEMO2 (EMC Update) v0.29.4_NRA_model_for_NEMO2 (EMC Update) v0.29.5_NRA_model_for_NEMO2 (EMC Update) v0 30 1" xfId="439"/>
    <cellStyle name="%_NRA_model_for_NEMO2 (EMC Update) v0.19_NRA_model_for_NEMO2 (EMC Update) v0.25_NRA_model_for_NEMO2 (EMC Update) v0.29.2_NRA_model_for_NEMO2 (EMC Update) v0.29.5" xfId="441"/>
    <cellStyle name="%_NRA_model_for_NEMO2 (EMC Update) v0.19_NRA_model_for_NEMO2 (EMC Update) v0.25_NRA_model_for_NEMO2 (EMC Update) v0.29.2_NRA_model_for_NEMO2 (EMC Update) v0.29.5_NRA_model_for_NEMO2 (EMC Update) v0 30 1" xfId="442"/>
    <cellStyle name="%_NRA_model_for_NEMO2 (EMC Update) v0.19_NRA_model_for_NEMO2 (EMC Update) v0.25_NRA_model_for_NEMO2 (EMC Update) v0.29.3" xfId="444"/>
    <cellStyle name="%_NRA_model_for_NEMO2 (EMC Update) v0.19_NRA_model_for_NEMO2 (EMC Update) v0.25_NRA_model_for_NEMO2 (EMC Update) v0.29.3_NRA_model_for_NEMO2 (EMC Update) v0 30 1" xfId="447"/>
    <cellStyle name="%_NRA_model_for_NEMO2 (EMC Update) v0.19_NRA_model_for_NEMO2 (EMC Update) v0.25_NRA_model_for_NEMO2 (EMC Update) v0.29.3_NRA_model_for_NEMO2 (EMC Update) v0.29.5" xfId="445"/>
    <cellStyle name="%_NRA_model_for_NEMO2 (EMC Update) v0.19_NRA_model_for_NEMO2 (EMC Update) v0.25_NRA_model_for_NEMO2 (EMC Update) v0.29.3_NRA_model_for_NEMO2 (EMC Update) v0.29.5_NRA_model_for_NEMO2 (EMC Update) v0 30 1" xfId="446"/>
    <cellStyle name="%_NRA_model_for_NEMO2 (EMC Update) v0.19_NRA_model_for_NEMO2 (EMC Update) v0.25_NRA_model_for_NEMO2 (EMC Update) v0.29.4" xfId="448"/>
    <cellStyle name="%_NRA_model_for_NEMO2 (EMC Update) v0.19_NRA_model_for_NEMO2 (EMC Update) v0.25_NRA_model_for_NEMO2 (EMC Update) v0.29.4_NRA_model_for_NEMO2 (EMC Update) v0 30 1" xfId="451"/>
    <cellStyle name="%_NRA_model_for_NEMO2 (EMC Update) v0.19_NRA_model_for_NEMO2 (EMC Update) v0.25_NRA_model_for_NEMO2 (EMC Update) v0.29.4_NRA_model_for_NEMO2 (EMC Update) v0.29.5" xfId="449"/>
    <cellStyle name="%_NRA_model_for_NEMO2 (EMC Update) v0.19_NRA_model_for_NEMO2 (EMC Update) v0.25_NRA_model_for_NEMO2 (EMC Update) v0.29.4_NRA_model_for_NEMO2 (EMC Update) v0.29.5_NRA_model_for_NEMO2 (EMC Update) v0 30 1" xfId="450"/>
    <cellStyle name="%_NRA_model_for_NEMO2 (EMC Update) v0.19_NRA_model_for_NEMO2 (EMC Update) v0.25_NRA_model_for_NEMO2 (EMC Update) v0.29.5" xfId="452"/>
    <cellStyle name="%_NRA_model_for_NEMO2 (EMC Update) v0.19_NRA_model_for_NEMO2 (EMC Update) v0.25_NRA_model_for_NEMO2 (EMC Update) v0.29.5_NRA_model_for_NEMO2 (EMC Update) v0 30 1" xfId="453"/>
    <cellStyle name="%_NRA_model_for_NEMO2 (EMC Update) v0.19_NRA_model_for_NEMO2 (EMC Update) v0.25_NRA_model_for_NEMO2 (EMC Update) v0.29_NRA_model_for_NEMO2 (EMC Update) v0 30 1" xfId="474"/>
    <cellStyle name="%_NRA_model_for_NEMO2 (EMC Update) v0.19_NRA_model_for_NEMO2 (EMC Update) v0.25_NRA_model_for_NEMO2 (EMC Update) v0.29_NRA_model_for_NEMO2 (EMC Update) v0.29.2" xfId="454"/>
    <cellStyle name="%_NRA_model_for_NEMO2 (EMC Update) v0.19_NRA_model_for_NEMO2 (EMC Update) v0.25_NRA_model_for_NEMO2 (EMC Update) v0.29_NRA_model_for_NEMO2 (EMC Update) v0.29.2_NRA_model_for_NEMO2 (EMC Update) v0 30 1" xfId="463"/>
    <cellStyle name="%_NRA_model_for_NEMO2 (EMC Update) v0.19_NRA_model_for_NEMO2 (EMC Update) v0.25_NRA_model_for_NEMO2 (EMC Update) v0.29_NRA_model_for_NEMO2 (EMC Update) v0.29.2_NRA_model_for_NEMO2 (EMC Update) v0.29.3" xfId="455"/>
    <cellStyle name="%_NRA_model_for_NEMO2 (EMC Update) v0.19_NRA_model_for_NEMO2 (EMC Update) v0.25_NRA_model_for_NEMO2 (EMC Update) v0.29_NRA_model_for_NEMO2 (EMC Update) v0.29.2_NRA_model_for_NEMO2 (EMC Update) v0.29.3_NRA_model_for_NEMO2 (EMC Update) v0 30 1" xfId="457"/>
    <cellStyle name="%_NRA_model_for_NEMO2 (EMC Update) v0.19_NRA_model_for_NEMO2 (EMC Update) v0.25_NRA_model_for_NEMO2 (EMC Update) v0.29_NRA_model_for_NEMO2 (EMC Update) v0.29.2_NRA_model_for_NEMO2 (EMC Update) v0.29.3_NRA_model_for_NEMO2 (EMC Update) v0.29.5" xfId="456"/>
    <cellStyle name="%_NRA_model_for_NEMO2 (EMC Update) v0.19_NRA_model_for_NEMO2 (EMC Update) v0.25_NRA_model_for_NEMO2 (EMC Update) v0.29_NRA_model_for_NEMO2 (EMC Update) v0.29.2_NRA_model_for_NEMO2 (EMC Update) v0.29.4" xfId="458"/>
    <cellStyle name="%_NRA_model_for_NEMO2 (EMC Update) v0.19_NRA_model_for_NEMO2 (EMC Update) v0.25_NRA_model_for_NEMO2 (EMC Update) v0.29_NRA_model_for_NEMO2 (EMC Update) v0.29.2_NRA_model_for_NEMO2 (EMC Update) v0.29.4_NRA_model_for_NEMO2 (EMC Update) v0 30 1" xfId="460"/>
    <cellStyle name="%_NRA_model_for_NEMO2 (EMC Update) v0.19_NRA_model_for_NEMO2 (EMC Update) v0.25_NRA_model_for_NEMO2 (EMC Update) v0.29_NRA_model_for_NEMO2 (EMC Update) v0.29.2_NRA_model_for_NEMO2 (EMC Update) v0.29.4_NRA_model_for_NEMO2 (EMC Update) v0.29.5" xfId="459"/>
    <cellStyle name="%_NRA_model_for_NEMO2 (EMC Update) v0.19_NRA_model_for_NEMO2 (EMC Update) v0.25_NRA_model_for_NEMO2 (EMC Update) v0.29_NRA_model_for_NEMO2 (EMC Update) v0.29.2_NRA_model_for_NEMO2 (EMC Update) v0.29.5" xfId="461"/>
    <cellStyle name="%_NRA_model_for_NEMO2 (EMC Update) v0.19_NRA_model_for_NEMO2 (EMC Update) v0.25_NRA_model_for_NEMO2 (EMC Update) v0.29_NRA_model_for_NEMO2 (EMC Update) v0.29.2_NRA_model_for_NEMO2 (EMC Update) v0.29.5_NRA_model_for_NEMO2 (EMC Update) v0 30 1" xfId="462"/>
    <cellStyle name="%_NRA_model_for_NEMO2 (EMC Update) v0.19_NRA_model_for_NEMO2 (EMC Update) v0.25_NRA_model_for_NEMO2 (EMC Update) v0.29_NRA_model_for_NEMO2 (EMC Update) v0.29.3" xfId="464"/>
    <cellStyle name="%_NRA_model_for_NEMO2 (EMC Update) v0.19_NRA_model_for_NEMO2 (EMC Update) v0.25_NRA_model_for_NEMO2 (EMC Update) v0.29_NRA_model_for_NEMO2 (EMC Update) v0.29.3_NRA_model_for_NEMO2 (EMC Update) v0 30 1" xfId="467"/>
    <cellStyle name="%_NRA_model_for_NEMO2 (EMC Update) v0.19_NRA_model_for_NEMO2 (EMC Update) v0.25_NRA_model_for_NEMO2 (EMC Update) v0.29_NRA_model_for_NEMO2 (EMC Update) v0.29.3_NRA_model_for_NEMO2 (EMC Update) v0.29.5" xfId="465"/>
    <cellStyle name="%_NRA_model_for_NEMO2 (EMC Update) v0.19_NRA_model_for_NEMO2 (EMC Update) v0.25_NRA_model_for_NEMO2 (EMC Update) v0.29_NRA_model_for_NEMO2 (EMC Update) v0.29.3_NRA_model_for_NEMO2 (EMC Update) v0.29.5_NRA_model_for_NEMO2 (EMC Update) v0 30 1" xfId="466"/>
    <cellStyle name="%_NRA_model_for_NEMO2 (EMC Update) v0.19_NRA_model_for_NEMO2 (EMC Update) v0.25_NRA_model_for_NEMO2 (EMC Update) v0.29_NRA_model_for_NEMO2 (EMC Update) v0.29.4" xfId="468"/>
    <cellStyle name="%_NRA_model_for_NEMO2 (EMC Update) v0.19_NRA_model_for_NEMO2 (EMC Update) v0.25_NRA_model_for_NEMO2 (EMC Update) v0.29_NRA_model_for_NEMO2 (EMC Update) v0.29.4_NRA_model_for_NEMO2 (EMC Update) v0 30 1" xfId="471"/>
    <cellStyle name="%_NRA_model_for_NEMO2 (EMC Update) v0.19_NRA_model_for_NEMO2 (EMC Update) v0.25_NRA_model_for_NEMO2 (EMC Update) v0.29_NRA_model_for_NEMO2 (EMC Update) v0.29.4_NRA_model_for_NEMO2 (EMC Update) v0.29.5" xfId="469"/>
    <cellStyle name="%_NRA_model_for_NEMO2 (EMC Update) v0.19_NRA_model_for_NEMO2 (EMC Update) v0.25_NRA_model_for_NEMO2 (EMC Update) v0.29_NRA_model_for_NEMO2 (EMC Update) v0.29.4_NRA_model_for_NEMO2 (EMC Update) v0.29.5_NRA_model_for_NEMO2 (EMC Update) v0 30 1" xfId="470"/>
    <cellStyle name="%_NRA_model_for_NEMO2 (EMC Update) v0.19_NRA_model_for_NEMO2 (EMC Update) v0.25_NRA_model_for_NEMO2 (EMC Update) v0.29_NRA_model_for_NEMO2 (EMC Update) v0.29.5" xfId="472"/>
    <cellStyle name="%_NRA_model_for_NEMO2 (EMC Update) v0.19_NRA_model_for_NEMO2 (EMC Update) v0.25_NRA_model_for_NEMO2 (EMC Update) v0.29_NRA_model_for_NEMO2 (EMC Update) v0.29.5_NRA_model_for_NEMO2 (EMC Update) v0 30 1" xfId="473"/>
    <cellStyle name="%_NRA_model_for_NEMO2 (EMC Update) v0.19_NRA_model_for_NEMO2 (EMC Update) v0.26" xfId="476"/>
    <cellStyle name="%_NRA_model_for_NEMO2 (EMC Update) v0.19_NRA_model_for_NEMO2 (EMC Update) v0.26_NRA_model_for_NEMO2 (EMC Update) v0 30 1" xfId="521"/>
    <cellStyle name="%_NRA_model_for_NEMO2 (EMC Update) v0.19_NRA_model_for_NEMO2 (EMC Update) v0.26_NRA_model_for_NEMO2 (EMC Update) v0.29" xfId="477"/>
    <cellStyle name="%_NRA_model_for_NEMO2 (EMC Update) v0.19_NRA_model_for_NEMO2 (EMC Update) v0.26_NRA_model_for_NEMO2 (EMC Update) v0.29.2" xfId="478"/>
    <cellStyle name="%_NRA_model_for_NEMO2 (EMC Update) v0.19_NRA_model_for_NEMO2 (EMC Update) v0.26_NRA_model_for_NEMO2 (EMC Update) v0.29.2_NRA_model_for_NEMO2 (EMC Update) v0 30 1" xfId="489"/>
    <cellStyle name="%_NRA_model_for_NEMO2 (EMC Update) v0.19_NRA_model_for_NEMO2 (EMC Update) v0.26_NRA_model_for_NEMO2 (EMC Update) v0.29.2_NRA_model_for_NEMO2 (EMC Update) v0.29.3" xfId="479"/>
    <cellStyle name="%_NRA_model_for_NEMO2 (EMC Update) v0.19_NRA_model_for_NEMO2 (EMC Update) v0.26_NRA_model_for_NEMO2 (EMC Update) v0.29.2_NRA_model_for_NEMO2 (EMC Update) v0.29.3_NRA_model_for_NEMO2 (EMC Update) v0 30 1" xfId="482"/>
    <cellStyle name="%_NRA_model_for_NEMO2 (EMC Update) v0.19_NRA_model_for_NEMO2 (EMC Update) v0.26_NRA_model_for_NEMO2 (EMC Update) v0.29.2_NRA_model_for_NEMO2 (EMC Update) v0.29.3_NRA_model_for_NEMO2 (EMC Update) v0.29.5" xfId="480"/>
    <cellStyle name="%_NRA_model_for_NEMO2 (EMC Update) v0.19_NRA_model_for_NEMO2 (EMC Update) v0.26_NRA_model_for_NEMO2 (EMC Update) v0.29.2_NRA_model_for_NEMO2 (EMC Update) v0.29.3_NRA_model_for_NEMO2 (EMC Update) v0.29.5_NRA_model_for_NEMO2 (EMC Update) v0 30 1" xfId="481"/>
    <cellStyle name="%_NRA_model_for_NEMO2 (EMC Update) v0.19_NRA_model_for_NEMO2 (EMC Update) v0.26_NRA_model_for_NEMO2 (EMC Update) v0.29.2_NRA_model_for_NEMO2 (EMC Update) v0.29.4" xfId="483"/>
    <cellStyle name="%_NRA_model_for_NEMO2 (EMC Update) v0.19_NRA_model_for_NEMO2 (EMC Update) v0.26_NRA_model_for_NEMO2 (EMC Update) v0.29.2_NRA_model_for_NEMO2 (EMC Update) v0.29.4_NRA_model_for_NEMO2 (EMC Update) v0 30 1" xfId="486"/>
    <cellStyle name="%_NRA_model_for_NEMO2 (EMC Update) v0.19_NRA_model_for_NEMO2 (EMC Update) v0.26_NRA_model_for_NEMO2 (EMC Update) v0.29.2_NRA_model_for_NEMO2 (EMC Update) v0.29.4_NRA_model_for_NEMO2 (EMC Update) v0.29.5" xfId="484"/>
    <cellStyle name="%_NRA_model_for_NEMO2 (EMC Update) v0.19_NRA_model_for_NEMO2 (EMC Update) v0.26_NRA_model_for_NEMO2 (EMC Update) v0.29.2_NRA_model_for_NEMO2 (EMC Update) v0.29.4_NRA_model_for_NEMO2 (EMC Update) v0.29.5_NRA_model_for_NEMO2 (EMC Update) v0 30 1" xfId="485"/>
    <cellStyle name="%_NRA_model_for_NEMO2 (EMC Update) v0.19_NRA_model_for_NEMO2 (EMC Update) v0.26_NRA_model_for_NEMO2 (EMC Update) v0.29.2_NRA_model_for_NEMO2 (EMC Update) v0.29.5" xfId="487"/>
    <cellStyle name="%_NRA_model_for_NEMO2 (EMC Update) v0.19_NRA_model_for_NEMO2 (EMC Update) v0.26_NRA_model_for_NEMO2 (EMC Update) v0.29.2_NRA_model_for_NEMO2 (EMC Update) v0.29.5_NRA_model_for_NEMO2 (EMC Update) v0 30 1" xfId="488"/>
    <cellStyle name="%_NRA_model_for_NEMO2 (EMC Update) v0.19_NRA_model_for_NEMO2 (EMC Update) v0.26_NRA_model_for_NEMO2 (EMC Update) v0.29.3" xfId="490"/>
    <cellStyle name="%_NRA_model_for_NEMO2 (EMC Update) v0.19_NRA_model_for_NEMO2 (EMC Update) v0.26_NRA_model_for_NEMO2 (EMC Update) v0.29.3_NRA_model_for_NEMO2 (EMC Update) v0 30 1" xfId="493"/>
    <cellStyle name="%_NRA_model_for_NEMO2 (EMC Update) v0.19_NRA_model_for_NEMO2 (EMC Update) v0.26_NRA_model_for_NEMO2 (EMC Update) v0.29.3_NRA_model_for_NEMO2 (EMC Update) v0.29.5" xfId="491"/>
    <cellStyle name="%_NRA_model_for_NEMO2 (EMC Update) v0.19_NRA_model_for_NEMO2 (EMC Update) v0.26_NRA_model_for_NEMO2 (EMC Update) v0.29.3_NRA_model_for_NEMO2 (EMC Update) v0.29.5_NRA_model_for_NEMO2 (EMC Update) v0 30 1" xfId="492"/>
    <cellStyle name="%_NRA_model_for_NEMO2 (EMC Update) v0.19_NRA_model_for_NEMO2 (EMC Update) v0.26_NRA_model_for_NEMO2 (EMC Update) v0.29.4" xfId="494"/>
    <cellStyle name="%_NRA_model_for_NEMO2 (EMC Update) v0.19_NRA_model_for_NEMO2 (EMC Update) v0.26_NRA_model_for_NEMO2 (EMC Update) v0.29.4_NRA_model_for_NEMO2 (EMC Update) v0 30 1" xfId="497"/>
    <cellStyle name="%_NRA_model_for_NEMO2 (EMC Update) v0.19_NRA_model_for_NEMO2 (EMC Update) v0.26_NRA_model_for_NEMO2 (EMC Update) v0.29.4_NRA_model_for_NEMO2 (EMC Update) v0.29.5" xfId="495"/>
    <cellStyle name="%_NRA_model_for_NEMO2 (EMC Update) v0.19_NRA_model_for_NEMO2 (EMC Update) v0.26_NRA_model_for_NEMO2 (EMC Update) v0.29.4_NRA_model_for_NEMO2 (EMC Update) v0.29.5_NRA_model_for_NEMO2 (EMC Update) v0 30 1" xfId="496"/>
    <cellStyle name="%_NRA_model_for_NEMO2 (EMC Update) v0.19_NRA_model_for_NEMO2 (EMC Update) v0.26_NRA_model_for_NEMO2 (EMC Update) v0.29.5" xfId="498"/>
    <cellStyle name="%_NRA_model_for_NEMO2 (EMC Update) v0.19_NRA_model_for_NEMO2 (EMC Update) v0.26_NRA_model_for_NEMO2 (EMC Update) v0.29.5_NRA_model_for_NEMO2 (EMC Update) v0 30 1" xfId="499"/>
    <cellStyle name="%_NRA_model_for_NEMO2 (EMC Update) v0.19_NRA_model_for_NEMO2 (EMC Update) v0.26_NRA_model_for_NEMO2 (EMC Update) v0.29_NRA_model_for_NEMO2 (EMC Update) v0 30 1" xfId="520"/>
    <cellStyle name="%_NRA_model_for_NEMO2 (EMC Update) v0.19_NRA_model_for_NEMO2 (EMC Update) v0.26_NRA_model_for_NEMO2 (EMC Update) v0.29_NRA_model_for_NEMO2 (EMC Update) v0.29.2" xfId="500"/>
    <cellStyle name="%_NRA_model_for_NEMO2 (EMC Update) v0.19_NRA_model_for_NEMO2 (EMC Update) v0.26_NRA_model_for_NEMO2 (EMC Update) v0.29_NRA_model_for_NEMO2 (EMC Update) v0.29.2_NRA_model_for_NEMO2 (EMC Update) v0 30 1" xfId="509"/>
    <cellStyle name="%_NRA_model_for_NEMO2 (EMC Update) v0.19_NRA_model_for_NEMO2 (EMC Update) v0.26_NRA_model_for_NEMO2 (EMC Update) v0.29_NRA_model_for_NEMO2 (EMC Update) v0.29.2_NRA_model_for_NEMO2 (EMC Update) v0.29.3" xfId="501"/>
    <cellStyle name="%_NRA_model_for_NEMO2 (EMC Update) v0.19_NRA_model_for_NEMO2 (EMC Update) v0.26_NRA_model_for_NEMO2 (EMC Update) v0.29_NRA_model_for_NEMO2 (EMC Update) v0.29.2_NRA_model_for_NEMO2 (EMC Update) v0.29.3_NRA_model_for_NEMO2 (EMC Update) v0 30 1" xfId="503"/>
    <cellStyle name="%_NRA_model_for_NEMO2 (EMC Update) v0.19_NRA_model_for_NEMO2 (EMC Update) v0.26_NRA_model_for_NEMO2 (EMC Update) v0.29_NRA_model_for_NEMO2 (EMC Update) v0.29.2_NRA_model_for_NEMO2 (EMC Update) v0.29.3_NRA_model_for_NEMO2 (EMC Update) v0.29.5" xfId="502"/>
    <cellStyle name="%_NRA_model_for_NEMO2 (EMC Update) v0.19_NRA_model_for_NEMO2 (EMC Update) v0.26_NRA_model_for_NEMO2 (EMC Update) v0.29_NRA_model_for_NEMO2 (EMC Update) v0.29.2_NRA_model_for_NEMO2 (EMC Update) v0.29.4" xfId="504"/>
    <cellStyle name="%_NRA_model_for_NEMO2 (EMC Update) v0.19_NRA_model_for_NEMO2 (EMC Update) v0.26_NRA_model_for_NEMO2 (EMC Update) v0.29_NRA_model_for_NEMO2 (EMC Update) v0.29.2_NRA_model_for_NEMO2 (EMC Update) v0.29.4_NRA_model_for_NEMO2 (EMC Update) v0 30 1" xfId="506"/>
    <cellStyle name="%_NRA_model_for_NEMO2 (EMC Update) v0.19_NRA_model_for_NEMO2 (EMC Update) v0.26_NRA_model_for_NEMO2 (EMC Update) v0.29_NRA_model_for_NEMO2 (EMC Update) v0.29.2_NRA_model_for_NEMO2 (EMC Update) v0.29.4_NRA_model_for_NEMO2 (EMC Update) v0.29.5" xfId="505"/>
    <cellStyle name="%_NRA_model_for_NEMO2 (EMC Update) v0.19_NRA_model_for_NEMO2 (EMC Update) v0.26_NRA_model_for_NEMO2 (EMC Update) v0.29_NRA_model_for_NEMO2 (EMC Update) v0.29.2_NRA_model_for_NEMO2 (EMC Update) v0.29.5" xfId="507"/>
    <cellStyle name="%_NRA_model_for_NEMO2 (EMC Update) v0.19_NRA_model_for_NEMO2 (EMC Update) v0.26_NRA_model_for_NEMO2 (EMC Update) v0.29_NRA_model_for_NEMO2 (EMC Update) v0.29.2_NRA_model_for_NEMO2 (EMC Update) v0.29.5_NRA_model_for_NEMO2 (EMC Update) v0 30 1" xfId="508"/>
    <cellStyle name="%_NRA_model_for_NEMO2 (EMC Update) v0.19_NRA_model_for_NEMO2 (EMC Update) v0.26_NRA_model_for_NEMO2 (EMC Update) v0.29_NRA_model_for_NEMO2 (EMC Update) v0.29.3" xfId="510"/>
    <cellStyle name="%_NRA_model_for_NEMO2 (EMC Update) v0.19_NRA_model_for_NEMO2 (EMC Update) v0.26_NRA_model_for_NEMO2 (EMC Update) v0.29_NRA_model_for_NEMO2 (EMC Update) v0.29.3_NRA_model_for_NEMO2 (EMC Update) v0 30 1" xfId="513"/>
    <cellStyle name="%_NRA_model_for_NEMO2 (EMC Update) v0.19_NRA_model_for_NEMO2 (EMC Update) v0.26_NRA_model_for_NEMO2 (EMC Update) v0.29_NRA_model_for_NEMO2 (EMC Update) v0.29.3_NRA_model_for_NEMO2 (EMC Update) v0.29.5" xfId="511"/>
    <cellStyle name="%_NRA_model_for_NEMO2 (EMC Update) v0.19_NRA_model_for_NEMO2 (EMC Update) v0.26_NRA_model_for_NEMO2 (EMC Update) v0.29_NRA_model_for_NEMO2 (EMC Update) v0.29.3_NRA_model_for_NEMO2 (EMC Update) v0.29.5_NRA_model_for_NEMO2 (EMC Update) v0 30 1" xfId="512"/>
    <cellStyle name="%_NRA_model_for_NEMO2 (EMC Update) v0.19_NRA_model_for_NEMO2 (EMC Update) v0.26_NRA_model_for_NEMO2 (EMC Update) v0.29_NRA_model_for_NEMO2 (EMC Update) v0.29.4" xfId="514"/>
    <cellStyle name="%_NRA_model_for_NEMO2 (EMC Update) v0.19_NRA_model_for_NEMO2 (EMC Update) v0.26_NRA_model_for_NEMO2 (EMC Update) v0.29_NRA_model_for_NEMO2 (EMC Update) v0.29.4_NRA_model_for_NEMO2 (EMC Update) v0 30 1" xfId="517"/>
    <cellStyle name="%_NRA_model_for_NEMO2 (EMC Update) v0.19_NRA_model_for_NEMO2 (EMC Update) v0.26_NRA_model_for_NEMO2 (EMC Update) v0.29_NRA_model_for_NEMO2 (EMC Update) v0.29.4_NRA_model_for_NEMO2 (EMC Update) v0.29.5" xfId="515"/>
    <cellStyle name="%_NRA_model_for_NEMO2 (EMC Update) v0.19_NRA_model_for_NEMO2 (EMC Update) v0.26_NRA_model_for_NEMO2 (EMC Update) v0.29_NRA_model_for_NEMO2 (EMC Update) v0.29.4_NRA_model_for_NEMO2 (EMC Update) v0.29.5_NRA_model_for_NEMO2 (EMC Update) v0 30 1" xfId="516"/>
    <cellStyle name="%_NRA_model_for_NEMO2 (EMC Update) v0.19_NRA_model_for_NEMO2 (EMC Update) v0.26_NRA_model_for_NEMO2 (EMC Update) v0.29_NRA_model_for_NEMO2 (EMC Update) v0.29.5" xfId="518"/>
    <cellStyle name="%_NRA_model_for_NEMO2 (EMC Update) v0.19_NRA_model_for_NEMO2 (EMC Update) v0.26_NRA_model_for_NEMO2 (EMC Update) v0.29_NRA_model_for_NEMO2 (EMC Update) v0.29.5_NRA_model_for_NEMO2 (EMC Update) v0 30 1" xfId="519"/>
    <cellStyle name="%_NRA_model_for_NEMO2 (EMC Update) v0.19_NRA_model_for_NEMO2 (EMC Update) v0.29" xfId="522"/>
    <cellStyle name="%_NRA_model_for_NEMO2 (EMC Update) v0.19_NRA_model_for_NEMO2 (EMC Update) v0.29.2" xfId="523"/>
    <cellStyle name="%_NRA_model_for_NEMO2 (EMC Update) v0.19_NRA_model_for_NEMO2 (EMC Update) v0.29.2_NRA_model_for_NEMO2 (EMC Update) v0 30 1" xfId="534"/>
    <cellStyle name="%_NRA_model_for_NEMO2 (EMC Update) v0.19_NRA_model_for_NEMO2 (EMC Update) v0.29.2_NRA_model_for_NEMO2 (EMC Update) v0.29.3" xfId="524"/>
    <cellStyle name="%_NRA_model_for_NEMO2 (EMC Update) v0.19_NRA_model_for_NEMO2 (EMC Update) v0.29.2_NRA_model_for_NEMO2 (EMC Update) v0.29.3_NRA_model_for_NEMO2 (EMC Update) v0 30 1" xfId="527"/>
    <cellStyle name="%_NRA_model_for_NEMO2 (EMC Update) v0.19_NRA_model_for_NEMO2 (EMC Update) v0.29.2_NRA_model_for_NEMO2 (EMC Update) v0.29.3_NRA_model_for_NEMO2 (EMC Update) v0.29.5" xfId="525"/>
    <cellStyle name="%_NRA_model_for_NEMO2 (EMC Update) v0.19_NRA_model_for_NEMO2 (EMC Update) v0.29.2_NRA_model_for_NEMO2 (EMC Update) v0.29.3_NRA_model_for_NEMO2 (EMC Update) v0.29.5_NRA_model_for_NEMO2 (EMC Update) v0 30 1" xfId="526"/>
    <cellStyle name="%_NRA_model_for_NEMO2 (EMC Update) v0.19_NRA_model_for_NEMO2 (EMC Update) v0.29.2_NRA_model_for_NEMO2 (EMC Update) v0.29.4" xfId="528"/>
    <cellStyle name="%_NRA_model_for_NEMO2 (EMC Update) v0.19_NRA_model_for_NEMO2 (EMC Update) v0.29.2_NRA_model_for_NEMO2 (EMC Update) v0.29.4_NRA_model_for_NEMO2 (EMC Update) v0 30 1" xfId="531"/>
    <cellStyle name="%_NRA_model_for_NEMO2 (EMC Update) v0.19_NRA_model_for_NEMO2 (EMC Update) v0.29.2_NRA_model_for_NEMO2 (EMC Update) v0.29.4_NRA_model_for_NEMO2 (EMC Update) v0.29.5" xfId="529"/>
    <cellStyle name="%_NRA_model_for_NEMO2 (EMC Update) v0.19_NRA_model_for_NEMO2 (EMC Update) v0.29.2_NRA_model_for_NEMO2 (EMC Update) v0.29.4_NRA_model_for_NEMO2 (EMC Update) v0.29.5_NRA_model_for_NEMO2 (EMC Update) v0 30 1" xfId="530"/>
    <cellStyle name="%_NRA_model_for_NEMO2 (EMC Update) v0.19_NRA_model_for_NEMO2 (EMC Update) v0.29.2_NRA_model_for_NEMO2 (EMC Update) v0.29.5" xfId="532"/>
    <cellStyle name="%_NRA_model_for_NEMO2 (EMC Update) v0.19_NRA_model_for_NEMO2 (EMC Update) v0.29.2_NRA_model_for_NEMO2 (EMC Update) v0.29.5_NRA_model_for_NEMO2 (EMC Update) v0 30 1" xfId="533"/>
    <cellStyle name="%_NRA_model_for_NEMO2 (EMC Update) v0.19_NRA_model_for_NEMO2 (EMC Update) v0.29.3" xfId="535"/>
    <cellStyle name="%_NRA_model_for_NEMO2 (EMC Update) v0.19_NRA_model_for_NEMO2 (EMC Update) v0.29.3_NRA_model_for_NEMO2 (EMC Update) v0 30 1" xfId="538"/>
    <cellStyle name="%_NRA_model_for_NEMO2 (EMC Update) v0.19_NRA_model_for_NEMO2 (EMC Update) v0.29.3_NRA_model_for_NEMO2 (EMC Update) v0.29.5" xfId="536"/>
    <cellStyle name="%_NRA_model_for_NEMO2 (EMC Update) v0.19_NRA_model_for_NEMO2 (EMC Update) v0.29.3_NRA_model_for_NEMO2 (EMC Update) v0.29.5_NRA_model_for_NEMO2 (EMC Update) v0 30 1" xfId="537"/>
    <cellStyle name="%_NRA_model_for_NEMO2 (EMC Update) v0.19_NRA_model_for_NEMO2 (EMC Update) v0.29.4" xfId="539"/>
    <cellStyle name="%_NRA_model_for_NEMO2 (EMC Update) v0.19_NRA_model_for_NEMO2 (EMC Update) v0.29.4_NRA_model_for_NEMO2 (EMC Update) v0 30 1" xfId="542"/>
    <cellStyle name="%_NRA_model_for_NEMO2 (EMC Update) v0.19_NRA_model_for_NEMO2 (EMC Update) v0.29.4_NRA_model_for_NEMO2 (EMC Update) v0.29.5" xfId="540"/>
    <cellStyle name="%_NRA_model_for_NEMO2 (EMC Update) v0.19_NRA_model_for_NEMO2 (EMC Update) v0.29.4_NRA_model_for_NEMO2 (EMC Update) v0.29.5_NRA_model_for_NEMO2 (EMC Update) v0 30 1" xfId="541"/>
    <cellStyle name="%_NRA_model_for_NEMO2 (EMC Update) v0.19_NRA_model_for_NEMO2 (EMC Update) v0.29.5" xfId="543"/>
    <cellStyle name="%_NRA_model_for_NEMO2 (EMC Update) v0.19_NRA_model_for_NEMO2 (EMC Update) v0.29.5_NRA_model_for_NEMO2 (EMC Update) v0 30 1" xfId="544"/>
    <cellStyle name="%_NRA_model_for_NEMO2 (EMC Update) v0.19_NRA_model_for_NEMO2 (EMC Update) v0.29_NRA_model_for_NEMO2 (EMC Update) v0 30 1" xfId="567"/>
    <cellStyle name="%_NRA_model_for_NEMO2 (EMC Update) v0.19_NRA_model_for_NEMO2 (EMC Update) v0.29_NRA_model_for_NEMO2 (EMC Update) v0.29.2" xfId="545"/>
    <cellStyle name="%_NRA_model_for_NEMO2 (EMC Update) v0.19_NRA_model_for_NEMO2 (EMC Update) v0.29_NRA_model_for_NEMO2 (EMC Update) v0.29.2_NRA_model_for_NEMO2 (EMC Update) v0 30 1" xfId="556"/>
    <cellStyle name="%_NRA_model_for_NEMO2 (EMC Update) v0.19_NRA_model_for_NEMO2 (EMC Update) v0.29_NRA_model_for_NEMO2 (EMC Update) v0.29.2_NRA_model_for_NEMO2 (EMC Update) v0.29.3" xfId="546"/>
    <cellStyle name="%_NRA_model_for_NEMO2 (EMC Update) v0.19_NRA_model_for_NEMO2 (EMC Update) v0.29_NRA_model_for_NEMO2 (EMC Update) v0.29.2_NRA_model_for_NEMO2 (EMC Update) v0.29.3_NRA_model_for_NEMO2 (EMC Update) v0 30 1" xfId="549"/>
    <cellStyle name="%_NRA_model_for_NEMO2 (EMC Update) v0.19_NRA_model_for_NEMO2 (EMC Update) v0.29_NRA_model_for_NEMO2 (EMC Update) v0.29.2_NRA_model_for_NEMO2 (EMC Update) v0.29.3_NRA_model_for_NEMO2 (EMC Update) v0.29.5" xfId="547"/>
    <cellStyle name="%_NRA_model_for_NEMO2 (EMC Update) v0.19_NRA_model_for_NEMO2 (EMC Update) v0.29_NRA_model_for_NEMO2 (EMC Update) v0.29.2_NRA_model_for_NEMO2 (EMC Update) v0.29.3_NRA_model_for_NEMO2 (EMC Update) v0.29.5_NRA_model_for_NEMO2 (EMC Update) v0 30 1" xfId="548"/>
    <cellStyle name="%_NRA_model_for_NEMO2 (EMC Update) v0.19_NRA_model_for_NEMO2 (EMC Update) v0.29_NRA_model_for_NEMO2 (EMC Update) v0.29.2_NRA_model_for_NEMO2 (EMC Update) v0.29.4" xfId="550"/>
    <cellStyle name="%_NRA_model_for_NEMO2 (EMC Update) v0.19_NRA_model_for_NEMO2 (EMC Update) v0.29_NRA_model_for_NEMO2 (EMC Update) v0.29.2_NRA_model_for_NEMO2 (EMC Update) v0.29.4_NRA_model_for_NEMO2 (EMC Update) v0 30 1" xfId="553"/>
    <cellStyle name="%_NRA_model_for_NEMO2 (EMC Update) v0.19_NRA_model_for_NEMO2 (EMC Update) v0.29_NRA_model_for_NEMO2 (EMC Update) v0.29.2_NRA_model_for_NEMO2 (EMC Update) v0.29.4_NRA_model_for_NEMO2 (EMC Update) v0.29.5" xfId="551"/>
    <cellStyle name="%_NRA_model_for_NEMO2 (EMC Update) v0.19_NRA_model_for_NEMO2 (EMC Update) v0.29_NRA_model_for_NEMO2 (EMC Update) v0.29.2_NRA_model_for_NEMO2 (EMC Update) v0.29.4_NRA_model_for_NEMO2 (EMC Update) v0.29.5_NRA_model_for_NEMO2 (EMC Update) v0 30 1" xfId="552"/>
    <cellStyle name="%_NRA_model_for_NEMO2 (EMC Update) v0.19_NRA_model_for_NEMO2 (EMC Update) v0.29_NRA_model_for_NEMO2 (EMC Update) v0.29.2_NRA_model_for_NEMO2 (EMC Update) v0.29.5" xfId="554"/>
    <cellStyle name="%_NRA_model_for_NEMO2 (EMC Update) v0.19_NRA_model_for_NEMO2 (EMC Update) v0.29_NRA_model_for_NEMO2 (EMC Update) v0.29.2_NRA_model_for_NEMO2 (EMC Update) v0.29.5_NRA_model_for_NEMO2 (EMC Update) v0 30 1" xfId="555"/>
    <cellStyle name="%_NRA_model_for_NEMO2 (EMC Update) v0.19_NRA_model_for_NEMO2 (EMC Update) v0.29_NRA_model_for_NEMO2 (EMC Update) v0.29.3" xfId="557"/>
    <cellStyle name="%_NRA_model_for_NEMO2 (EMC Update) v0.19_NRA_model_for_NEMO2 (EMC Update) v0.29_NRA_model_for_NEMO2 (EMC Update) v0.29.3_NRA_model_for_NEMO2 (EMC Update) v0 30 1" xfId="560"/>
    <cellStyle name="%_NRA_model_for_NEMO2 (EMC Update) v0.19_NRA_model_for_NEMO2 (EMC Update) v0.29_NRA_model_for_NEMO2 (EMC Update) v0.29.3_NRA_model_for_NEMO2 (EMC Update) v0.29.5" xfId="558"/>
    <cellStyle name="%_NRA_model_for_NEMO2 (EMC Update) v0.19_NRA_model_for_NEMO2 (EMC Update) v0.29_NRA_model_for_NEMO2 (EMC Update) v0.29.3_NRA_model_for_NEMO2 (EMC Update) v0.29.5_NRA_model_for_NEMO2 (EMC Update) v0 30 1" xfId="559"/>
    <cellStyle name="%_NRA_model_for_NEMO2 (EMC Update) v0.19_NRA_model_for_NEMO2 (EMC Update) v0.29_NRA_model_for_NEMO2 (EMC Update) v0.29.4" xfId="561"/>
    <cellStyle name="%_NRA_model_for_NEMO2 (EMC Update) v0.19_NRA_model_for_NEMO2 (EMC Update) v0.29_NRA_model_for_NEMO2 (EMC Update) v0.29.4_NRA_model_for_NEMO2 (EMC Update) v0 30 1" xfId="564"/>
    <cellStyle name="%_NRA_model_for_NEMO2 (EMC Update) v0.19_NRA_model_for_NEMO2 (EMC Update) v0.29_NRA_model_for_NEMO2 (EMC Update) v0.29.4_NRA_model_for_NEMO2 (EMC Update) v0.29.5" xfId="562"/>
    <cellStyle name="%_NRA_model_for_NEMO2 (EMC Update) v0.19_NRA_model_for_NEMO2 (EMC Update) v0.29_NRA_model_for_NEMO2 (EMC Update) v0.29.4_NRA_model_for_NEMO2 (EMC Update) v0.29.5_NRA_model_for_NEMO2 (EMC Update) v0 30 1" xfId="563"/>
    <cellStyle name="%_NRA_model_for_NEMO2 (EMC Update) v0.19_NRA_model_for_NEMO2 (EMC Update) v0.29_NRA_model_for_NEMO2 (EMC Update) v0.29.5" xfId="565"/>
    <cellStyle name="%_NRA_model_for_NEMO2 (EMC Update) v0.19_NRA_model_for_NEMO2 (EMC Update) v0.29_NRA_model_for_NEMO2 (EMC Update) v0.29.5_NRA_model_for_NEMO2 (EMC Update) v0 30 1" xfId="566"/>
    <cellStyle name="%_NRA_model_for_NEMO2 (EMC Update) v0.20" xfId="569"/>
    <cellStyle name="%_NRA_model_for_NEMO2 (EMC Update) v0.20_NRA_model_for_NEMO2 (EMC Update) v0 30 1" xfId="1113"/>
    <cellStyle name="%_NRA_model_for_NEMO2 (EMC Update) v0.20_NRA_model_for_NEMO2 (EMC Update) v0.21" xfId="570"/>
    <cellStyle name="%_NRA_model_for_NEMO2 (EMC Update) v0.20_NRA_model_for_NEMO2 (EMC Update) v0.21_NRA_model_for_NEMO2 (EMC Update) v0 30 1" xfId="796"/>
    <cellStyle name="%_NRA_model_for_NEMO2 (EMC Update) v0.20_NRA_model_for_NEMO2 (EMC Update) v0.21_NRA_model_for_NEMO2 (EMC Update) v0.22" xfId="571"/>
    <cellStyle name="%_NRA_model_for_NEMO2 (EMC Update) v0.20_NRA_model_for_NEMO2 (EMC Update) v0.21_NRA_model_for_NEMO2 (EMC Update) v0.22_NRA_model_for_NEMO2 (EMC Update) v0 30 1" xfId="656"/>
    <cellStyle name="%_NRA_model_for_NEMO2 (EMC Update) v0.20_NRA_model_for_NEMO2 (EMC Update) v0.21_NRA_model_for_NEMO2 (EMC Update) v0.22_NRA_model_for_NEMO2 (EMC Update) v0.25" xfId="572"/>
    <cellStyle name="%_NRA_model_for_NEMO2 (EMC Update) v0.20_NRA_model_for_NEMO2 (EMC Update) v0.21_NRA_model_for_NEMO2 (EMC Update) v0.22_NRA_model_for_NEMO2 (EMC Update) v0.25_NRA_model_for_NEMO2 (EMC Update) v0 30 1" xfId="599"/>
    <cellStyle name="%_NRA_model_for_NEMO2 (EMC Update) v0.20_NRA_model_for_NEMO2 (EMC Update) v0.21_NRA_model_for_NEMO2 (EMC Update) v0.22_NRA_model_for_NEMO2 (EMC Update) v0.25_NRA_model_for_NEMO2 (EMC Update) v0.26" xfId="573"/>
    <cellStyle name="%_NRA_model_for_NEMO2 (EMC Update) v0.20_NRA_model_for_NEMO2 (EMC Update) v0.21_NRA_model_for_NEMO2 (EMC Update) v0.22_NRA_model_for_NEMO2 (EMC Update) v0.25_NRA_model_for_NEMO2 (EMC Update) v0.26_NRA_model_for_NEMO2 (EMC Update) v0 30 1" xfId="579"/>
    <cellStyle name="%_NRA_model_for_NEMO2 (EMC Update) v0.20_NRA_model_for_NEMO2 (EMC Update) v0.21_NRA_model_for_NEMO2 (EMC Update) v0.22_NRA_model_for_NEMO2 (EMC Update) v0.25_NRA_model_for_NEMO2 (EMC Update) v0.26_NRA_model_for_NEMO2 (EMC Update) v0.29" xfId="574"/>
    <cellStyle name="%_NRA_model_for_NEMO2 (EMC Update) v0.20_NRA_model_for_NEMO2 (EMC Update) v0.21_NRA_model_for_NEMO2 (EMC Update) v0.22_NRA_model_for_NEMO2 (EMC Update) v0.25_NRA_model_for_NEMO2 (EMC Update) v0.26_NRA_model_for_NEMO2 (EMC Update) v0.29.2" xfId="575"/>
    <cellStyle name="%_NRA_model_for_NEMO2 (EMC Update) v0.20_NRA_model_for_NEMO2 (EMC Update) v0.21_NRA_model_for_NEMO2 (EMC Update) v0.22_NRA_model_for_NEMO2 (EMC Update) v0.25_NRA_model_for_NEMO2 (EMC Update) v0.26_NRA_model_for_NEMO2 (EMC Update) v0.29.3" xfId="576"/>
    <cellStyle name="%_NRA_model_for_NEMO2 (EMC Update) v0.20_NRA_model_for_NEMO2 (EMC Update) v0.21_NRA_model_for_NEMO2 (EMC Update) v0.22_NRA_model_for_NEMO2 (EMC Update) v0.25_NRA_model_for_NEMO2 (EMC Update) v0.26_NRA_model_for_NEMO2 (EMC Update) v0.29.4" xfId="577"/>
    <cellStyle name="%_NRA_model_for_NEMO2 (EMC Update) v0.20_NRA_model_for_NEMO2 (EMC Update) v0.21_NRA_model_for_NEMO2 (EMC Update) v0.22_NRA_model_for_NEMO2 (EMC Update) v0.25_NRA_model_for_NEMO2 (EMC Update) v0.26_NRA_model_for_NEMO2 (EMC Update) v0.29.5" xfId="578"/>
    <cellStyle name="%_NRA_model_for_NEMO2 (EMC Update) v0.20_NRA_model_for_NEMO2 (EMC Update) v0.21_NRA_model_for_NEMO2 (EMC Update) v0.22_NRA_model_for_NEMO2 (EMC Update) v0.25_NRA_model_for_NEMO2 (EMC Update) v0.29" xfId="580"/>
    <cellStyle name="%_NRA_model_for_NEMO2 (EMC Update) v0.20_NRA_model_for_NEMO2 (EMC Update) v0.21_NRA_model_for_NEMO2 (EMC Update) v0.22_NRA_model_for_NEMO2 (EMC Update) v0.25_NRA_model_for_NEMO2 (EMC Update) v0.29.2" xfId="581"/>
    <cellStyle name="%_NRA_model_for_NEMO2 (EMC Update) v0.20_NRA_model_for_NEMO2 (EMC Update) v0.21_NRA_model_for_NEMO2 (EMC Update) v0.22_NRA_model_for_NEMO2 (EMC Update) v0.25_NRA_model_for_NEMO2 (EMC Update) v0.29.2_NRA_model_for_NEMO2 (EMC Update) v0 30 1" xfId="585"/>
    <cellStyle name="%_NRA_model_for_NEMO2 (EMC Update) v0.20_NRA_model_for_NEMO2 (EMC Update) v0.21_NRA_model_for_NEMO2 (EMC Update) v0.22_NRA_model_for_NEMO2 (EMC Update) v0.25_NRA_model_for_NEMO2 (EMC Update) v0.29.2_NRA_model_for_NEMO2 (EMC Update) v0.29.3" xfId="582"/>
    <cellStyle name="%_NRA_model_for_NEMO2 (EMC Update) v0.20_NRA_model_for_NEMO2 (EMC Update) v0.21_NRA_model_for_NEMO2 (EMC Update) v0.22_NRA_model_for_NEMO2 (EMC Update) v0.25_NRA_model_for_NEMO2 (EMC Update) v0.29.2_NRA_model_for_NEMO2 (EMC Update) v0.29.4" xfId="583"/>
    <cellStyle name="%_NRA_model_for_NEMO2 (EMC Update) v0.20_NRA_model_for_NEMO2 (EMC Update) v0.21_NRA_model_for_NEMO2 (EMC Update) v0.22_NRA_model_for_NEMO2 (EMC Update) v0.25_NRA_model_for_NEMO2 (EMC Update) v0.29.2_NRA_model_for_NEMO2 (EMC Update) v0.29.5" xfId="584"/>
    <cellStyle name="%_NRA_model_for_NEMO2 (EMC Update) v0.20_NRA_model_for_NEMO2 (EMC Update) v0.21_NRA_model_for_NEMO2 (EMC Update) v0.22_NRA_model_for_NEMO2 (EMC Update) v0.25_NRA_model_for_NEMO2 (EMC Update) v0.29.3" xfId="586"/>
    <cellStyle name="%_NRA_model_for_NEMO2 (EMC Update) v0.20_NRA_model_for_NEMO2 (EMC Update) v0.21_NRA_model_for_NEMO2 (EMC Update) v0.22_NRA_model_for_NEMO2 (EMC Update) v0.25_NRA_model_for_NEMO2 (EMC Update) v0.29.3_NRA_model_for_NEMO2 (EMC Update) v0 30 1" xfId="588"/>
    <cellStyle name="%_NRA_model_for_NEMO2 (EMC Update) v0.20_NRA_model_for_NEMO2 (EMC Update) v0.21_NRA_model_for_NEMO2 (EMC Update) v0.22_NRA_model_for_NEMO2 (EMC Update) v0.25_NRA_model_for_NEMO2 (EMC Update) v0.29.3_NRA_model_for_NEMO2 (EMC Update) v0.29.5" xfId="587"/>
    <cellStyle name="%_NRA_model_for_NEMO2 (EMC Update) v0.20_NRA_model_for_NEMO2 (EMC Update) v0.21_NRA_model_for_NEMO2 (EMC Update) v0.22_NRA_model_for_NEMO2 (EMC Update) v0.25_NRA_model_for_NEMO2 (EMC Update) v0.29.4" xfId="589"/>
    <cellStyle name="%_NRA_model_for_NEMO2 (EMC Update) v0.20_NRA_model_for_NEMO2 (EMC Update) v0.21_NRA_model_for_NEMO2 (EMC Update) v0.22_NRA_model_for_NEMO2 (EMC Update) v0.25_NRA_model_for_NEMO2 (EMC Update) v0.29.4_NRA_model_for_NEMO2 (EMC Update) v0 30 1" xfId="591"/>
    <cellStyle name="%_NRA_model_for_NEMO2 (EMC Update) v0.20_NRA_model_for_NEMO2 (EMC Update) v0.21_NRA_model_for_NEMO2 (EMC Update) v0.22_NRA_model_for_NEMO2 (EMC Update) v0.25_NRA_model_for_NEMO2 (EMC Update) v0.29.4_NRA_model_for_NEMO2 (EMC Update) v0.29.5" xfId="590"/>
    <cellStyle name="%_NRA_model_for_NEMO2 (EMC Update) v0.20_NRA_model_for_NEMO2 (EMC Update) v0.21_NRA_model_for_NEMO2 (EMC Update) v0.22_NRA_model_for_NEMO2 (EMC Update) v0.25_NRA_model_for_NEMO2 (EMC Update) v0.29.5" xfId="592"/>
    <cellStyle name="%_NRA_model_for_NEMO2 (EMC Update) v0.20_NRA_model_for_NEMO2 (EMC Update) v0.21_NRA_model_for_NEMO2 (EMC Update) v0.22_NRA_model_for_NEMO2 (EMC Update) v0.25_NRA_model_for_NEMO2 (EMC Update) v0.29.5_NRA_model_for_NEMO2 (EMC Update) v0 30 1" xfId="593"/>
    <cellStyle name="%_NRA_model_for_NEMO2 (EMC Update) v0.20_NRA_model_for_NEMO2 (EMC Update) v0.21_NRA_model_for_NEMO2 (EMC Update) v0.22_NRA_model_for_NEMO2 (EMC Update) v0.25_NRA_model_for_NEMO2 (EMC Update) v0.29_NRA_model_for_NEMO2 (EMC Update) v0 30 1" xfId="598"/>
    <cellStyle name="%_NRA_model_for_NEMO2 (EMC Update) v0.20_NRA_model_for_NEMO2 (EMC Update) v0.21_NRA_model_for_NEMO2 (EMC Update) v0.22_NRA_model_for_NEMO2 (EMC Update) v0.25_NRA_model_for_NEMO2 (EMC Update) v0.29_NRA_model_for_NEMO2 (EMC Update) v0.29.2" xfId="594"/>
    <cellStyle name="%_NRA_model_for_NEMO2 (EMC Update) v0.20_NRA_model_for_NEMO2 (EMC Update) v0.21_NRA_model_for_NEMO2 (EMC Update) v0.22_NRA_model_for_NEMO2 (EMC Update) v0.25_NRA_model_for_NEMO2 (EMC Update) v0.29_NRA_model_for_NEMO2 (EMC Update) v0.29.3" xfId="595"/>
    <cellStyle name="%_NRA_model_for_NEMO2 (EMC Update) v0.20_NRA_model_for_NEMO2 (EMC Update) v0.21_NRA_model_for_NEMO2 (EMC Update) v0.22_NRA_model_for_NEMO2 (EMC Update) v0.25_NRA_model_for_NEMO2 (EMC Update) v0.29_NRA_model_for_NEMO2 (EMC Update) v0.29.4" xfId="596"/>
    <cellStyle name="%_NRA_model_for_NEMO2 (EMC Update) v0.20_NRA_model_for_NEMO2 (EMC Update) v0.21_NRA_model_for_NEMO2 (EMC Update) v0.22_NRA_model_for_NEMO2 (EMC Update) v0.25_NRA_model_for_NEMO2 (EMC Update) v0.29_NRA_model_for_NEMO2 (EMC Update) v0.29.5" xfId="597"/>
    <cellStyle name="%_NRA_model_for_NEMO2 (EMC Update) v0.20_NRA_model_for_NEMO2 (EMC Update) v0.21_NRA_model_for_NEMO2 (EMC Update) v0.22_NRA_model_for_NEMO2 (EMC Update) v0.26" xfId="600"/>
    <cellStyle name="%_NRA_model_for_NEMO2 (EMC Update) v0.20_NRA_model_for_NEMO2 (EMC Update) v0.21_NRA_model_for_NEMO2 (EMC Update) v0.22_NRA_model_for_NEMO2 (EMC Update) v0.26_NRA_model_for_NEMO2 (EMC Update) v0 30 1" xfId="620"/>
    <cellStyle name="%_NRA_model_for_NEMO2 (EMC Update) v0.20_NRA_model_for_NEMO2 (EMC Update) v0.21_NRA_model_for_NEMO2 (EMC Update) v0.22_NRA_model_for_NEMO2 (EMC Update) v0.26_NRA_model_for_NEMO2 (EMC Update) v0.29" xfId="601"/>
    <cellStyle name="%_NRA_model_for_NEMO2 (EMC Update) v0.20_NRA_model_for_NEMO2 (EMC Update) v0.21_NRA_model_for_NEMO2 (EMC Update) v0.22_NRA_model_for_NEMO2 (EMC Update) v0.26_NRA_model_for_NEMO2 (EMC Update) v0.29.2" xfId="602"/>
    <cellStyle name="%_NRA_model_for_NEMO2 (EMC Update) v0.20_NRA_model_for_NEMO2 (EMC Update) v0.21_NRA_model_for_NEMO2 (EMC Update) v0.22_NRA_model_for_NEMO2 (EMC Update) v0.26_NRA_model_for_NEMO2 (EMC Update) v0.29.2_NRA_model_for_NEMO2 (EMC Update) v0 30 1" xfId="606"/>
    <cellStyle name="%_NRA_model_for_NEMO2 (EMC Update) v0.20_NRA_model_for_NEMO2 (EMC Update) v0.21_NRA_model_for_NEMO2 (EMC Update) v0.22_NRA_model_for_NEMO2 (EMC Update) v0.26_NRA_model_for_NEMO2 (EMC Update) v0.29.2_NRA_model_for_NEMO2 (EMC Update) v0.29.3" xfId="603"/>
    <cellStyle name="%_NRA_model_for_NEMO2 (EMC Update) v0.20_NRA_model_for_NEMO2 (EMC Update) v0.21_NRA_model_for_NEMO2 (EMC Update) v0.22_NRA_model_for_NEMO2 (EMC Update) v0.26_NRA_model_for_NEMO2 (EMC Update) v0.29.2_NRA_model_for_NEMO2 (EMC Update) v0.29.4" xfId="604"/>
    <cellStyle name="%_NRA_model_for_NEMO2 (EMC Update) v0.20_NRA_model_for_NEMO2 (EMC Update) v0.21_NRA_model_for_NEMO2 (EMC Update) v0.22_NRA_model_for_NEMO2 (EMC Update) v0.26_NRA_model_for_NEMO2 (EMC Update) v0.29.2_NRA_model_for_NEMO2 (EMC Update) v0.29.5" xfId="605"/>
    <cellStyle name="%_NRA_model_for_NEMO2 (EMC Update) v0.20_NRA_model_for_NEMO2 (EMC Update) v0.21_NRA_model_for_NEMO2 (EMC Update) v0.22_NRA_model_for_NEMO2 (EMC Update) v0.26_NRA_model_for_NEMO2 (EMC Update) v0.29.3" xfId="607"/>
    <cellStyle name="%_NRA_model_for_NEMO2 (EMC Update) v0.20_NRA_model_for_NEMO2 (EMC Update) v0.21_NRA_model_for_NEMO2 (EMC Update) v0.22_NRA_model_for_NEMO2 (EMC Update) v0.26_NRA_model_for_NEMO2 (EMC Update) v0.29.3_NRA_model_for_NEMO2 (EMC Update) v0 30 1" xfId="609"/>
    <cellStyle name="%_NRA_model_for_NEMO2 (EMC Update) v0.20_NRA_model_for_NEMO2 (EMC Update) v0.21_NRA_model_for_NEMO2 (EMC Update) v0.22_NRA_model_for_NEMO2 (EMC Update) v0.26_NRA_model_for_NEMO2 (EMC Update) v0.29.3_NRA_model_for_NEMO2 (EMC Update) v0.29.5" xfId="608"/>
    <cellStyle name="%_NRA_model_for_NEMO2 (EMC Update) v0.20_NRA_model_for_NEMO2 (EMC Update) v0.21_NRA_model_for_NEMO2 (EMC Update) v0.22_NRA_model_for_NEMO2 (EMC Update) v0.26_NRA_model_for_NEMO2 (EMC Update) v0.29.4" xfId="610"/>
    <cellStyle name="%_NRA_model_for_NEMO2 (EMC Update) v0.20_NRA_model_for_NEMO2 (EMC Update) v0.21_NRA_model_for_NEMO2 (EMC Update) v0.22_NRA_model_for_NEMO2 (EMC Update) v0.26_NRA_model_for_NEMO2 (EMC Update) v0.29.4_NRA_model_for_NEMO2 (EMC Update) v0 30 1" xfId="612"/>
    <cellStyle name="%_NRA_model_for_NEMO2 (EMC Update) v0.20_NRA_model_for_NEMO2 (EMC Update) v0.21_NRA_model_for_NEMO2 (EMC Update) v0.22_NRA_model_for_NEMO2 (EMC Update) v0.26_NRA_model_for_NEMO2 (EMC Update) v0.29.4_NRA_model_for_NEMO2 (EMC Update) v0.29.5" xfId="611"/>
    <cellStyle name="%_NRA_model_for_NEMO2 (EMC Update) v0.20_NRA_model_for_NEMO2 (EMC Update) v0.21_NRA_model_for_NEMO2 (EMC Update) v0.22_NRA_model_for_NEMO2 (EMC Update) v0.26_NRA_model_for_NEMO2 (EMC Update) v0.29.5" xfId="613"/>
    <cellStyle name="%_NRA_model_for_NEMO2 (EMC Update) v0.20_NRA_model_for_NEMO2 (EMC Update) v0.21_NRA_model_for_NEMO2 (EMC Update) v0.22_NRA_model_for_NEMO2 (EMC Update) v0.26_NRA_model_for_NEMO2 (EMC Update) v0.29.5_NRA_model_for_NEMO2 (EMC Update) v0 30 1" xfId="614"/>
    <cellStyle name="%_NRA_model_for_NEMO2 (EMC Update) v0.20_NRA_model_for_NEMO2 (EMC Update) v0.21_NRA_model_for_NEMO2 (EMC Update) v0.22_NRA_model_for_NEMO2 (EMC Update) v0.26_NRA_model_for_NEMO2 (EMC Update) v0.29_NRA_model_for_NEMO2 (EMC Update) v0 30 1" xfId="619"/>
    <cellStyle name="%_NRA_model_for_NEMO2 (EMC Update) v0.20_NRA_model_for_NEMO2 (EMC Update) v0.21_NRA_model_for_NEMO2 (EMC Update) v0.22_NRA_model_for_NEMO2 (EMC Update) v0.26_NRA_model_for_NEMO2 (EMC Update) v0.29_NRA_model_for_NEMO2 (EMC Update) v0.29.2" xfId="615"/>
    <cellStyle name="%_NRA_model_for_NEMO2 (EMC Update) v0.20_NRA_model_for_NEMO2 (EMC Update) v0.21_NRA_model_for_NEMO2 (EMC Update) v0.22_NRA_model_for_NEMO2 (EMC Update) v0.26_NRA_model_for_NEMO2 (EMC Update) v0.29_NRA_model_for_NEMO2 (EMC Update) v0.29.3" xfId="616"/>
    <cellStyle name="%_NRA_model_for_NEMO2 (EMC Update) v0.20_NRA_model_for_NEMO2 (EMC Update) v0.21_NRA_model_for_NEMO2 (EMC Update) v0.22_NRA_model_for_NEMO2 (EMC Update) v0.26_NRA_model_for_NEMO2 (EMC Update) v0.29_NRA_model_for_NEMO2 (EMC Update) v0.29.4" xfId="617"/>
    <cellStyle name="%_NRA_model_for_NEMO2 (EMC Update) v0.20_NRA_model_for_NEMO2 (EMC Update) v0.21_NRA_model_for_NEMO2 (EMC Update) v0.22_NRA_model_for_NEMO2 (EMC Update) v0.26_NRA_model_for_NEMO2 (EMC Update) v0.29_NRA_model_for_NEMO2 (EMC Update) v0.29.5" xfId="618"/>
    <cellStyle name="%_NRA_model_for_NEMO2 (EMC Update) v0.20_NRA_model_for_NEMO2 (EMC Update) v0.21_NRA_model_for_NEMO2 (EMC Update) v0.22_NRA_model_for_NEMO2 (EMC Update) v0.29" xfId="621"/>
    <cellStyle name="%_NRA_model_for_NEMO2 (EMC Update) v0.20_NRA_model_for_NEMO2 (EMC Update) v0.21_NRA_model_for_NEMO2 (EMC Update) v0.22_NRA_model_for_NEMO2 (EMC Update) v0.29.2" xfId="622"/>
    <cellStyle name="%_NRA_model_for_NEMO2 (EMC Update) v0.20_NRA_model_for_NEMO2 (EMC Update) v0.21_NRA_model_for_NEMO2 (EMC Update) v0.22_NRA_model_for_NEMO2 (EMC Update) v0.29.2_NRA_model_for_NEMO2 (EMC Update) v0 30 1" xfId="631"/>
    <cellStyle name="%_NRA_model_for_NEMO2 (EMC Update) v0.20_NRA_model_for_NEMO2 (EMC Update) v0.21_NRA_model_for_NEMO2 (EMC Update) v0.22_NRA_model_for_NEMO2 (EMC Update) v0.29.2_NRA_model_for_NEMO2 (EMC Update) v0.29.3" xfId="623"/>
    <cellStyle name="%_NRA_model_for_NEMO2 (EMC Update) v0.20_NRA_model_for_NEMO2 (EMC Update) v0.21_NRA_model_for_NEMO2 (EMC Update) v0.22_NRA_model_for_NEMO2 (EMC Update) v0.29.2_NRA_model_for_NEMO2 (EMC Update) v0.29.3_NRA_model_for_NEMO2 (EMC Update) v0 30 1" xfId="625"/>
    <cellStyle name="%_NRA_model_for_NEMO2 (EMC Update) v0.20_NRA_model_for_NEMO2 (EMC Update) v0.21_NRA_model_for_NEMO2 (EMC Update) v0.22_NRA_model_for_NEMO2 (EMC Update) v0.29.2_NRA_model_for_NEMO2 (EMC Update) v0.29.3_NRA_model_for_NEMO2 (EMC Update) v0.29.5" xfId="624"/>
    <cellStyle name="%_NRA_model_for_NEMO2 (EMC Update) v0.20_NRA_model_for_NEMO2 (EMC Update) v0.21_NRA_model_for_NEMO2 (EMC Update) v0.22_NRA_model_for_NEMO2 (EMC Update) v0.29.2_NRA_model_for_NEMO2 (EMC Update) v0.29.4" xfId="626"/>
    <cellStyle name="%_NRA_model_for_NEMO2 (EMC Update) v0.20_NRA_model_for_NEMO2 (EMC Update) v0.21_NRA_model_for_NEMO2 (EMC Update) v0.22_NRA_model_for_NEMO2 (EMC Update) v0.29.2_NRA_model_for_NEMO2 (EMC Update) v0.29.4_NRA_model_for_NEMO2 (EMC Update) v0 30 1" xfId="628"/>
    <cellStyle name="%_NRA_model_for_NEMO2 (EMC Update) v0.20_NRA_model_for_NEMO2 (EMC Update) v0.21_NRA_model_for_NEMO2 (EMC Update) v0.22_NRA_model_for_NEMO2 (EMC Update) v0.29.2_NRA_model_for_NEMO2 (EMC Update) v0.29.4_NRA_model_for_NEMO2 (EMC Update) v0.29.5" xfId="627"/>
    <cellStyle name="%_NRA_model_for_NEMO2 (EMC Update) v0.20_NRA_model_for_NEMO2 (EMC Update) v0.21_NRA_model_for_NEMO2 (EMC Update) v0.22_NRA_model_for_NEMO2 (EMC Update) v0.29.2_NRA_model_for_NEMO2 (EMC Update) v0.29.5" xfId="629"/>
    <cellStyle name="%_NRA_model_for_NEMO2 (EMC Update) v0.20_NRA_model_for_NEMO2 (EMC Update) v0.21_NRA_model_for_NEMO2 (EMC Update) v0.22_NRA_model_for_NEMO2 (EMC Update) v0.29.2_NRA_model_for_NEMO2 (EMC Update) v0.29.5_NRA_model_for_NEMO2 (EMC Update) v0 30 1" xfId="630"/>
    <cellStyle name="%_NRA_model_for_NEMO2 (EMC Update) v0.20_NRA_model_for_NEMO2 (EMC Update) v0.21_NRA_model_for_NEMO2 (EMC Update) v0.22_NRA_model_for_NEMO2 (EMC Update) v0.29.3" xfId="632"/>
    <cellStyle name="%_NRA_model_for_NEMO2 (EMC Update) v0.20_NRA_model_for_NEMO2 (EMC Update) v0.21_NRA_model_for_NEMO2 (EMC Update) v0.22_NRA_model_for_NEMO2 (EMC Update) v0.29.3_NRA_model_for_NEMO2 (EMC Update) v0 30 1" xfId="635"/>
    <cellStyle name="%_NRA_model_for_NEMO2 (EMC Update) v0.20_NRA_model_for_NEMO2 (EMC Update) v0.21_NRA_model_for_NEMO2 (EMC Update) v0.22_NRA_model_for_NEMO2 (EMC Update) v0.29.3_NRA_model_for_NEMO2 (EMC Update) v0.29.5" xfId="633"/>
    <cellStyle name="%_NRA_model_for_NEMO2 (EMC Update) v0.20_NRA_model_for_NEMO2 (EMC Update) v0.21_NRA_model_for_NEMO2 (EMC Update) v0.22_NRA_model_for_NEMO2 (EMC Update) v0.29.3_NRA_model_for_NEMO2 (EMC Update) v0.29.5_NRA_model_for_NEMO2 (EMC Update) v0 30 1" xfId="634"/>
    <cellStyle name="%_NRA_model_for_NEMO2 (EMC Update) v0.20_NRA_model_for_NEMO2 (EMC Update) v0.21_NRA_model_for_NEMO2 (EMC Update) v0.22_NRA_model_for_NEMO2 (EMC Update) v0.29.4" xfId="636"/>
    <cellStyle name="%_NRA_model_for_NEMO2 (EMC Update) v0.20_NRA_model_for_NEMO2 (EMC Update) v0.21_NRA_model_for_NEMO2 (EMC Update) v0.22_NRA_model_for_NEMO2 (EMC Update) v0.29.4_NRA_model_for_NEMO2 (EMC Update) v0 30 1" xfId="639"/>
    <cellStyle name="%_NRA_model_for_NEMO2 (EMC Update) v0.20_NRA_model_for_NEMO2 (EMC Update) v0.21_NRA_model_for_NEMO2 (EMC Update) v0.22_NRA_model_for_NEMO2 (EMC Update) v0.29.4_NRA_model_for_NEMO2 (EMC Update) v0.29.5" xfId="637"/>
    <cellStyle name="%_NRA_model_for_NEMO2 (EMC Update) v0.20_NRA_model_for_NEMO2 (EMC Update) v0.21_NRA_model_for_NEMO2 (EMC Update) v0.22_NRA_model_for_NEMO2 (EMC Update) v0.29.4_NRA_model_for_NEMO2 (EMC Update) v0.29.5_NRA_model_for_NEMO2 (EMC Update) v0 30 1" xfId="638"/>
    <cellStyle name="%_NRA_model_for_NEMO2 (EMC Update) v0.20_NRA_model_for_NEMO2 (EMC Update) v0.21_NRA_model_for_NEMO2 (EMC Update) v0.22_NRA_model_for_NEMO2 (EMC Update) v0.29.5" xfId="640"/>
    <cellStyle name="%_NRA_model_for_NEMO2 (EMC Update) v0.20_NRA_model_for_NEMO2 (EMC Update) v0.21_NRA_model_for_NEMO2 (EMC Update) v0.22_NRA_model_for_NEMO2 (EMC Update) v0.29.5_NRA_model_for_NEMO2 (EMC Update) v0 30 1" xfId="641"/>
    <cellStyle name="%_NRA_model_for_NEMO2 (EMC Update) v0.20_NRA_model_for_NEMO2 (EMC Update) v0.21_NRA_model_for_NEMO2 (EMC Update) v0.22_NRA_model_for_NEMO2 (EMC Update) v0.29_NRA_model_for_NEMO2 (EMC Update) v0 30 1" xfId="655"/>
    <cellStyle name="%_NRA_model_for_NEMO2 (EMC Update) v0.20_NRA_model_for_NEMO2 (EMC Update) v0.21_NRA_model_for_NEMO2 (EMC Update) v0.22_NRA_model_for_NEMO2 (EMC Update) v0.29_NRA_model_for_NEMO2 (EMC Update) v0.29.2" xfId="642"/>
    <cellStyle name="%_NRA_model_for_NEMO2 (EMC Update) v0.20_NRA_model_for_NEMO2 (EMC Update) v0.21_NRA_model_for_NEMO2 (EMC Update) v0.22_NRA_model_for_NEMO2 (EMC Update) v0.29_NRA_model_for_NEMO2 (EMC Update) v0.29.2_NRA_model_for_NEMO2 (EMC Update) v0 30 1" xfId="646"/>
    <cellStyle name="%_NRA_model_for_NEMO2 (EMC Update) v0.20_NRA_model_for_NEMO2 (EMC Update) v0.21_NRA_model_for_NEMO2 (EMC Update) v0.22_NRA_model_for_NEMO2 (EMC Update) v0.29_NRA_model_for_NEMO2 (EMC Update) v0.29.2_NRA_model_for_NEMO2 (EMC Update) v0.29.3" xfId="643"/>
    <cellStyle name="%_NRA_model_for_NEMO2 (EMC Update) v0.20_NRA_model_for_NEMO2 (EMC Update) v0.21_NRA_model_for_NEMO2 (EMC Update) v0.22_NRA_model_for_NEMO2 (EMC Update) v0.29_NRA_model_for_NEMO2 (EMC Update) v0.29.2_NRA_model_for_NEMO2 (EMC Update) v0.29.4" xfId="644"/>
    <cellStyle name="%_NRA_model_for_NEMO2 (EMC Update) v0.20_NRA_model_for_NEMO2 (EMC Update) v0.21_NRA_model_for_NEMO2 (EMC Update) v0.22_NRA_model_for_NEMO2 (EMC Update) v0.29_NRA_model_for_NEMO2 (EMC Update) v0.29.2_NRA_model_for_NEMO2 (EMC Update) v0.29.5" xfId="645"/>
    <cellStyle name="%_NRA_model_for_NEMO2 (EMC Update) v0.20_NRA_model_for_NEMO2 (EMC Update) v0.21_NRA_model_for_NEMO2 (EMC Update) v0.22_NRA_model_for_NEMO2 (EMC Update) v0.29_NRA_model_for_NEMO2 (EMC Update) v0.29.3" xfId="647"/>
    <cellStyle name="%_NRA_model_for_NEMO2 (EMC Update) v0.20_NRA_model_for_NEMO2 (EMC Update) v0.21_NRA_model_for_NEMO2 (EMC Update) v0.22_NRA_model_for_NEMO2 (EMC Update) v0.29_NRA_model_for_NEMO2 (EMC Update) v0.29.3_NRA_model_for_NEMO2 (EMC Update) v0 30 1" xfId="649"/>
    <cellStyle name="%_NRA_model_for_NEMO2 (EMC Update) v0.20_NRA_model_for_NEMO2 (EMC Update) v0.21_NRA_model_for_NEMO2 (EMC Update) v0.22_NRA_model_for_NEMO2 (EMC Update) v0.29_NRA_model_for_NEMO2 (EMC Update) v0.29.3_NRA_model_for_NEMO2 (EMC Update) v0.29.5" xfId="648"/>
    <cellStyle name="%_NRA_model_for_NEMO2 (EMC Update) v0.20_NRA_model_for_NEMO2 (EMC Update) v0.21_NRA_model_for_NEMO2 (EMC Update) v0.22_NRA_model_for_NEMO2 (EMC Update) v0.29_NRA_model_for_NEMO2 (EMC Update) v0.29.4" xfId="650"/>
    <cellStyle name="%_NRA_model_for_NEMO2 (EMC Update) v0.20_NRA_model_for_NEMO2 (EMC Update) v0.21_NRA_model_for_NEMO2 (EMC Update) v0.22_NRA_model_for_NEMO2 (EMC Update) v0.29_NRA_model_for_NEMO2 (EMC Update) v0.29.4_NRA_model_for_NEMO2 (EMC Update) v0 30 1" xfId="652"/>
    <cellStyle name="%_NRA_model_for_NEMO2 (EMC Update) v0.20_NRA_model_for_NEMO2 (EMC Update) v0.21_NRA_model_for_NEMO2 (EMC Update) v0.22_NRA_model_for_NEMO2 (EMC Update) v0.29_NRA_model_for_NEMO2 (EMC Update) v0.29.4_NRA_model_for_NEMO2 (EMC Update) v0.29.5" xfId="651"/>
    <cellStyle name="%_NRA_model_for_NEMO2 (EMC Update) v0.20_NRA_model_for_NEMO2 (EMC Update) v0.21_NRA_model_for_NEMO2 (EMC Update) v0.22_NRA_model_for_NEMO2 (EMC Update) v0.29_NRA_model_for_NEMO2 (EMC Update) v0.29.5" xfId="653"/>
    <cellStyle name="%_NRA_model_for_NEMO2 (EMC Update) v0.20_NRA_model_for_NEMO2 (EMC Update) v0.21_NRA_model_for_NEMO2 (EMC Update) v0.22_NRA_model_for_NEMO2 (EMC Update) v0.29_NRA_model_for_NEMO2 (EMC Update) v0.29.5_NRA_model_for_NEMO2 (EMC Update) v0 30 1" xfId="654"/>
    <cellStyle name="%_NRA_model_for_NEMO2 (EMC Update) v0.20_NRA_model_for_NEMO2 (EMC Update) v0.21_NRA_model_for_NEMO2 (EMC Update) v0.25" xfId="657"/>
    <cellStyle name="%_NRA_model_for_NEMO2 (EMC Update) v0.20_NRA_model_for_NEMO2 (EMC Update) v0.21_NRA_model_for_NEMO2 (EMC Update) v0.25_NRA_model_for_NEMO2 (EMC Update) v0 30 1" xfId="714"/>
    <cellStyle name="%_NRA_model_for_NEMO2 (EMC Update) v0.20_NRA_model_for_NEMO2 (EMC Update) v0.21_NRA_model_for_NEMO2 (EMC Update) v0.25_NRA_model_for_NEMO2 (EMC Update) v0.26" xfId="658"/>
    <cellStyle name="%_NRA_model_for_NEMO2 (EMC Update) v0.20_NRA_model_for_NEMO2 (EMC Update) v0.21_NRA_model_for_NEMO2 (EMC Update) v0.25_NRA_model_for_NEMO2 (EMC Update) v0.26_NRA_model_for_NEMO2 (EMC Update) v0 30 1" xfId="678"/>
    <cellStyle name="%_NRA_model_for_NEMO2 (EMC Update) v0.20_NRA_model_for_NEMO2 (EMC Update) v0.21_NRA_model_for_NEMO2 (EMC Update) v0.25_NRA_model_for_NEMO2 (EMC Update) v0.26_NRA_model_for_NEMO2 (EMC Update) v0.29" xfId="659"/>
    <cellStyle name="%_NRA_model_for_NEMO2 (EMC Update) v0.20_NRA_model_for_NEMO2 (EMC Update) v0.21_NRA_model_for_NEMO2 (EMC Update) v0.25_NRA_model_for_NEMO2 (EMC Update) v0.26_NRA_model_for_NEMO2 (EMC Update) v0.29.2" xfId="660"/>
    <cellStyle name="%_NRA_model_for_NEMO2 (EMC Update) v0.20_NRA_model_for_NEMO2 (EMC Update) v0.21_NRA_model_for_NEMO2 (EMC Update) v0.25_NRA_model_for_NEMO2 (EMC Update) v0.26_NRA_model_for_NEMO2 (EMC Update) v0.29.2_NRA_model_for_NEMO2 (EMC Update) v0 30 1" xfId="664"/>
    <cellStyle name="%_NRA_model_for_NEMO2 (EMC Update) v0.20_NRA_model_for_NEMO2 (EMC Update) v0.21_NRA_model_for_NEMO2 (EMC Update) v0.25_NRA_model_for_NEMO2 (EMC Update) v0.26_NRA_model_for_NEMO2 (EMC Update) v0.29.2_NRA_model_for_NEMO2 (EMC Update) v0.29.3" xfId="661"/>
    <cellStyle name="%_NRA_model_for_NEMO2 (EMC Update) v0.20_NRA_model_for_NEMO2 (EMC Update) v0.21_NRA_model_for_NEMO2 (EMC Update) v0.25_NRA_model_for_NEMO2 (EMC Update) v0.26_NRA_model_for_NEMO2 (EMC Update) v0.29.2_NRA_model_for_NEMO2 (EMC Update) v0.29.4" xfId="662"/>
    <cellStyle name="%_NRA_model_for_NEMO2 (EMC Update) v0.20_NRA_model_for_NEMO2 (EMC Update) v0.21_NRA_model_for_NEMO2 (EMC Update) v0.25_NRA_model_for_NEMO2 (EMC Update) v0.26_NRA_model_for_NEMO2 (EMC Update) v0.29.2_NRA_model_for_NEMO2 (EMC Update) v0.29.5" xfId="663"/>
    <cellStyle name="%_NRA_model_for_NEMO2 (EMC Update) v0.20_NRA_model_for_NEMO2 (EMC Update) v0.21_NRA_model_for_NEMO2 (EMC Update) v0.25_NRA_model_for_NEMO2 (EMC Update) v0.26_NRA_model_for_NEMO2 (EMC Update) v0.29.3" xfId="665"/>
    <cellStyle name="%_NRA_model_for_NEMO2 (EMC Update) v0.20_NRA_model_for_NEMO2 (EMC Update) v0.21_NRA_model_for_NEMO2 (EMC Update) v0.25_NRA_model_for_NEMO2 (EMC Update) v0.26_NRA_model_for_NEMO2 (EMC Update) v0.29.3_NRA_model_for_NEMO2 (EMC Update) v0 30 1" xfId="667"/>
    <cellStyle name="%_NRA_model_for_NEMO2 (EMC Update) v0.20_NRA_model_for_NEMO2 (EMC Update) v0.21_NRA_model_for_NEMO2 (EMC Update) v0.25_NRA_model_for_NEMO2 (EMC Update) v0.26_NRA_model_for_NEMO2 (EMC Update) v0.29.3_NRA_model_for_NEMO2 (EMC Update) v0.29.5" xfId="666"/>
    <cellStyle name="%_NRA_model_for_NEMO2 (EMC Update) v0.20_NRA_model_for_NEMO2 (EMC Update) v0.21_NRA_model_for_NEMO2 (EMC Update) v0.25_NRA_model_for_NEMO2 (EMC Update) v0.26_NRA_model_for_NEMO2 (EMC Update) v0.29.4" xfId="668"/>
    <cellStyle name="%_NRA_model_for_NEMO2 (EMC Update) v0.20_NRA_model_for_NEMO2 (EMC Update) v0.21_NRA_model_for_NEMO2 (EMC Update) v0.25_NRA_model_for_NEMO2 (EMC Update) v0.26_NRA_model_for_NEMO2 (EMC Update) v0.29.4_NRA_model_for_NEMO2 (EMC Update) v0 30 1" xfId="670"/>
    <cellStyle name="%_NRA_model_for_NEMO2 (EMC Update) v0.20_NRA_model_for_NEMO2 (EMC Update) v0.21_NRA_model_for_NEMO2 (EMC Update) v0.25_NRA_model_for_NEMO2 (EMC Update) v0.26_NRA_model_for_NEMO2 (EMC Update) v0.29.4_NRA_model_for_NEMO2 (EMC Update) v0.29.5" xfId="669"/>
    <cellStyle name="%_NRA_model_for_NEMO2 (EMC Update) v0.20_NRA_model_for_NEMO2 (EMC Update) v0.21_NRA_model_for_NEMO2 (EMC Update) v0.25_NRA_model_for_NEMO2 (EMC Update) v0.26_NRA_model_for_NEMO2 (EMC Update) v0.29.5" xfId="671"/>
    <cellStyle name="%_NRA_model_for_NEMO2 (EMC Update) v0.20_NRA_model_for_NEMO2 (EMC Update) v0.21_NRA_model_for_NEMO2 (EMC Update) v0.25_NRA_model_for_NEMO2 (EMC Update) v0.26_NRA_model_for_NEMO2 (EMC Update) v0.29.5_NRA_model_for_NEMO2 (EMC Update) v0 30 1" xfId="672"/>
    <cellStyle name="%_NRA_model_for_NEMO2 (EMC Update) v0.20_NRA_model_for_NEMO2 (EMC Update) v0.21_NRA_model_for_NEMO2 (EMC Update) v0.25_NRA_model_for_NEMO2 (EMC Update) v0.26_NRA_model_for_NEMO2 (EMC Update) v0.29_NRA_model_for_NEMO2 (EMC Update) v0 30 1" xfId="677"/>
    <cellStyle name="%_NRA_model_for_NEMO2 (EMC Update) v0.20_NRA_model_for_NEMO2 (EMC Update) v0.21_NRA_model_for_NEMO2 (EMC Update) v0.25_NRA_model_for_NEMO2 (EMC Update) v0.26_NRA_model_for_NEMO2 (EMC Update) v0.29_NRA_model_for_NEMO2 (EMC Update) v0.29.2" xfId="673"/>
    <cellStyle name="%_NRA_model_for_NEMO2 (EMC Update) v0.20_NRA_model_for_NEMO2 (EMC Update) v0.21_NRA_model_for_NEMO2 (EMC Update) v0.25_NRA_model_for_NEMO2 (EMC Update) v0.26_NRA_model_for_NEMO2 (EMC Update) v0.29_NRA_model_for_NEMO2 (EMC Update) v0.29.3" xfId="674"/>
    <cellStyle name="%_NRA_model_for_NEMO2 (EMC Update) v0.20_NRA_model_for_NEMO2 (EMC Update) v0.21_NRA_model_for_NEMO2 (EMC Update) v0.25_NRA_model_for_NEMO2 (EMC Update) v0.26_NRA_model_for_NEMO2 (EMC Update) v0.29_NRA_model_for_NEMO2 (EMC Update) v0.29.4" xfId="675"/>
    <cellStyle name="%_NRA_model_for_NEMO2 (EMC Update) v0.20_NRA_model_for_NEMO2 (EMC Update) v0.21_NRA_model_for_NEMO2 (EMC Update) v0.25_NRA_model_for_NEMO2 (EMC Update) v0.26_NRA_model_for_NEMO2 (EMC Update) v0.29_NRA_model_for_NEMO2 (EMC Update) v0.29.5" xfId="676"/>
    <cellStyle name="%_NRA_model_for_NEMO2 (EMC Update) v0.20_NRA_model_for_NEMO2 (EMC Update) v0.21_NRA_model_for_NEMO2 (EMC Update) v0.25_NRA_model_for_NEMO2 (EMC Update) v0.29" xfId="679"/>
    <cellStyle name="%_NRA_model_for_NEMO2 (EMC Update) v0.20_NRA_model_for_NEMO2 (EMC Update) v0.21_NRA_model_for_NEMO2 (EMC Update) v0.25_NRA_model_for_NEMO2 (EMC Update) v0.29.2" xfId="680"/>
    <cellStyle name="%_NRA_model_for_NEMO2 (EMC Update) v0.20_NRA_model_for_NEMO2 (EMC Update) v0.21_NRA_model_for_NEMO2 (EMC Update) v0.25_NRA_model_for_NEMO2 (EMC Update) v0.29.2_NRA_model_for_NEMO2 (EMC Update) v0 30 1" xfId="689"/>
    <cellStyle name="%_NRA_model_for_NEMO2 (EMC Update) v0.20_NRA_model_for_NEMO2 (EMC Update) v0.21_NRA_model_for_NEMO2 (EMC Update) v0.25_NRA_model_for_NEMO2 (EMC Update) v0.29.2_NRA_model_for_NEMO2 (EMC Update) v0.29.3" xfId="681"/>
    <cellStyle name="%_NRA_model_for_NEMO2 (EMC Update) v0.20_NRA_model_for_NEMO2 (EMC Update) v0.21_NRA_model_for_NEMO2 (EMC Update) v0.25_NRA_model_for_NEMO2 (EMC Update) v0.29.2_NRA_model_for_NEMO2 (EMC Update) v0.29.3_NRA_model_for_NEMO2 (EMC Update) v0 30 1" xfId="683"/>
    <cellStyle name="%_NRA_model_for_NEMO2 (EMC Update) v0.20_NRA_model_for_NEMO2 (EMC Update) v0.21_NRA_model_for_NEMO2 (EMC Update) v0.25_NRA_model_for_NEMO2 (EMC Update) v0.29.2_NRA_model_for_NEMO2 (EMC Update) v0.29.3_NRA_model_for_NEMO2 (EMC Update) v0.29.5" xfId="682"/>
    <cellStyle name="%_NRA_model_for_NEMO2 (EMC Update) v0.20_NRA_model_for_NEMO2 (EMC Update) v0.21_NRA_model_for_NEMO2 (EMC Update) v0.25_NRA_model_for_NEMO2 (EMC Update) v0.29.2_NRA_model_for_NEMO2 (EMC Update) v0.29.4" xfId="684"/>
    <cellStyle name="%_NRA_model_for_NEMO2 (EMC Update) v0.20_NRA_model_for_NEMO2 (EMC Update) v0.21_NRA_model_for_NEMO2 (EMC Update) v0.25_NRA_model_for_NEMO2 (EMC Update) v0.29.2_NRA_model_for_NEMO2 (EMC Update) v0.29.4_NRA_model_for_NEMO2 (EMC Update) v0 30 1" xfId="686"/>
    <cellStyle name="%_NRA_model_for_NEMO2 (EMC Update) v0.20_NRA_model_for_NEMO2 (EMC Update) v0.21_NRA_model_for_NEMO2 (EMC Update) v0.25_NRA_model_for_NEMO2 (EMC Update) v0.29.2_NRA_model_for_NEMO2 (EMC Update) v0.29.4_NRA_model_for_NEMO2 (EMC Update) v0.29.5" xfId="685"/>
    <cellStyle name="%_NRA_model_for_NEMO2 (EMC Update) v0.20_NRA_model_for_NEMO2 (EMC Update) v0.21_NRA_model_for_NEMO2 (EMC Update) v0.25_NRA_model_for_NEMO2 (EMC Update) v0.29.2_NRA_model_for_NEMO2 (EMC Update) v0.29.5" xfId="687"/>
    <cellStyle name="%_NRA_model_for_NEMO2 (EMC Update) v0.20_NRA_model_for_NEMO2 (EMC Update) v0.21_NRA_model_for_NEMO2 (EMC Update) v0.25_NRA_model_for_NEMO2 (EMC Update) v0.29.2_NRA_model_for_NEMO2 (EMC Update) v0.29.5_NRA_model_for_NEMO2 (EMC Update) v0 30 1" xfId="688"/>
    <cellStyle name="%_NRA_model_for_NEMO2 (EMC Update) v0.20_NRA_model_for_NEMO2 (EMC Update) v0.21_NRA_model_for_NEMO2 (EMC Update) v0.25_NRA_model_for_NEMO2 (EMC Update) v0.29.3" xfId="690"/>
    <cellStyle name="%_NRA_model_for_NEMO2 (EMC Update) v0.20_NRA_model_for_NEMO2 (EMC Update) v0.21_NRA_model_for_NEMO2 (EMC Update) v0.25_NRA_model_for_NEMO2 (EMC Update) v0.29.3_NRA_model_for_NEMO2 (EMC Update) v0 30 1" xfId="693"/>
    <cellStyle name="%_NRA_model_for_NEMO2 (EMC Update) v0.20_NRA_model_for_NEMO2 (EMC Update) v0.21_NRA_model_for_NEMO2 (EMC Update) v0.25_NRA_model_for_NEMO2 (EMC Update) v0.29.3_NRA_model_for_NEMO2 (EMC Update) v0.29.5" xfId="691"/>
    <cellStyle name="%_NRA_model_for_NEMO2 (EMC Update) v0.20_NRA_model_for_NEMO2 (EMC Update) v0.21_NRA_model_for_NEMO2 (EMC Update) v0.25_NRA_model_for_NEMO2 (EMC Update) v0.29.3_NRA_model_for_NEMO2 (EMC Update) v0.29.5_NRA_model_for_NEMO2 (EMC Update) v0 30 1" xfId="692"/>
    <cellStyle name="%_NRA_model_for_NEMO2 (EMC Update) v0.20_NRA_model_for_NEMO2 (EMC Update) v0.21_NRA_model_for_NEMO2 (EMC Update) v0.25_NRA_model_for_NEMO2 (EMC Update) v0.29.4" xfId="694"/>
    <cellStyle name="%_NRA_model_for_NEMO2 (EMC Update) v0.20_NRA_model_for_NEMO2 (EMC Update) v0.21_NRA_model_for_NEMO2 (EMC Update) v0.25_NRA_model_for_NEMO2 (EMC Update) v0.29.4_NRA_model_for_NEMO2 (EMC Update) v0 30 1" xfId="697"/>
    <cellStyle name="%_NRA_model_for_NEMO2 (EMC Update) v0.20_NRA_model_for_NEMO2 (EMC Update) v0.21_NRA_model_for_NEMO2 (EMC Update) v0.25_NRA_model_for_NEMO2 (EMC Update) v0.29.4_NRA_model_for_NEMO2 (EMC Update) v0.29.5" xfId="695"/>
    <cellStyle name="%_NRA_model_for_NEMO2 (EMC Update) v0.20_NRA_model_for_NEMO2 (EMC Update) v0.21_NRA_model_for_NEMO2 (EMC Update) v0.25_NRA_model_for_NEMO2 (EMC Update) v0.29.4_NRA_model_for_NEMO2 (EMC Update) v0.29.5_NRA_model_for_NEMO2 (EMC Update) v0 30 1" xfId="696"/>
    <cellStyle name="%_NRA_model_for_NEMO2 (EMC Update) v0.20_NRA_model_for_NEMO2 (EMC Update) v0.21_NRA_model_for_NEMO2 (EMC Update) v0.25_NRA_model_for_NEMO2 (EMC Update) v0.29.5" xfId="698"/>
    <cellStyle name="%_NRA_model_for_NEMO2 (EMC Update) v0.20_NRA_model_for_NEMO2 (EMC Update) v0.21_NRA_model_for_NEMO2 (EMC Update) v0.25_NRA_model_for_NEMO2 (EMC Update) v0.29.5_NRA_model_for_NEMO2 (EMC Update) v0 30 1" xfId="699"/>
    <cellStyle name="%_NRA_model_for_NEMO2 (EMC Update) v0.20_NRA_model_for_NEMO2 (EMC Update) v0.21_NRA_model_for_NEMO2 (EMC Update) v0.25_NRA_model_for_NEMO2 (EMC Update) v0.29_NRA_model_for_NEMO2 (EMC Update) v0 30 1" xfId="713"/>
    <cellStyle name="%_NRA_model_for_NEMO2 (EMC Update) v0.20_NRA_model_for_NEMO2 (EMC Update) v0.21_NRA_model_for_NEMO2 (EMC Update) v0.25_NRA_model_for_NEMO2 (EMC Update) v0.29_NRA_model_for_NEMO2 (EMC Update) v0.29.2" xfId="700"/>
    <cellStyle name="%_NRA_model_for_NEMO2 (EMC Update) v0.20_NRA_model_for_NEMO2 (EMC Update) v0.21_NRA_model_for_NEMO2 (EMC Update) v0.25_NRA_model_for_NEMO2 (EMC Update) v0.29_NRA_model_for_NEMO2 (EMC Update) v0.29.2_NRA_model_for_NEMO2 (EMC Update) v0 30 1" xfId="704"/>
    <cellStyle name="%_NRA_model_for_NEMO2 (EMC Update) v0.20_NRA_model_for_NEMO2 (EMC Update) v0.21_NRA_model_for_NEMO2 (EMC Update) v0.25_NRA_model_for_NEMO2 (EMC Update) v0.29_NRA_model_for_NEMO2 (EMC Update) v0.29.2_NRA_model_for_NEMO2 (EMC Update) v0.29.3" xfId="701"/>
    <cellStyle name="%_NRA_model_for_NEMO2 (EMC Update) v0.20_NRA_model_for_NEMO2 (EMC Update) v0.21_NRA_model_for_NEMO2 (EMC Update) v0.25_NRA_model_for_NEMO2 (EMC Update) v0.29_NRA_model_for_NEMO2 (EMC Update) v0.29.2_NRA_model_for_NEMO2 (EMC Update) v0.29.4" xfId="702"/>
    <cellStyle name="%_NRA_model_for_NEMO2 (EMC Update) v0.20_NRA_model_for_NEMO2 (EMC Update) v0.21_NRA_model_for_NEMO2 (EMC Update) v0.25_NRA_model_for_NEMO2 (EMC Update) v0.29_NRA_model_for_NEMO2 (EMC Update) v0.29.2_NRA_model_for_NEMO2 (EMC Update) v0.29.5" xfId="703"/>
    <cellStyle name="%_NRA_model_for_NEMO2 (EMC Update) v0.20_NRA_model_for_NEMO2 (EMC Update) v0.21_NRA_model_for_NEMO2 (EMC Update) v0.25_NRA_model_for_NEMO2 (EMC Update) v0.29_NRA_model_for_NEMO2 (EMC Update) v0.29.3" xfId="705"/>
    <cellStyle name="%_NRA_model_for_NEMO2 (EMC Update) v0.20_NRA_model_for_NEMO2 (EMC Update) v0.21_NRA_model_for_NEMO2 (EMC Update) v0.25_NRA_model_for_NEMO2 (EMC Update) v0.29_NRA_model_for_NEMO2 (EMC Update) v0.29.3_NRA_model_for_NEMO2 (EMC Update) v0 30 1" xfId="707"/>
    <cellStyle name="%_NRA_model_for_NEMO2 (EMC Update) v0.20_NRA_model_for_NEMO2 (EMC Update) v0.21_NRA_model_for_NEMO2 (EMC Update) v0.25_NRA_model_for_NEMO2 (EMC Update) v0.29_NRA_model_for_NEMO2 (EMC Update) v0.29.3_NRA_model_for_NEMO2 (EMC Update) v0.29.5" xfId="706"/>
    <cellStyle name="%_NRA_model_for_NEMO2 (EMC Update) v0.20_NRA_model_for_NEMO2 (EMC Update) v0.21_NRA_model_for_NEMO2 (EMC Update) v0.25_NRA_model_for_NEMO2 (EMC Update) v0.29_NRA_model_for_NEMO2 (EMC Update) v0.29.4" xfId="708"/>
    <cellStyle name="%_NRA_model_for_NEMO2 (EMC Update) v0.20_NRA_model_for_NEMO2 (EMC Update) v0.21_NRA_model_for_NEMO2 (EMC Update) v0.25_NRA_model_for_NEMO2 (EMC Update) v0.29_NRA_model_for_NEMO2 (EMC Update) v0.29.4_NRA_model_for_NEMO2 (EMC Update) v0 30 1" xfId="710"/>
    <cellStyle name="%_NRA_model_for_NEMO2 (EMC Update) v0.20_NRA_model_for_NEMO2 (EMC Update) v0.21_NRA_model_for_NEMO2 (EMC Update) v0.25_NRA_model_for_NEMO2 (EMC Update) v0.29_NRA_model_for_NEMO2 (EMC Update) v0.29.4_NRA_model_for_NEMO2 (EMC Update) v0.29.5" xfId="709"/>
    <cellStyle name="%_NRA_model_for_NEMO2 (EMC Update) v0.20_NRA_model_for_NEMO2 (EMC Update) v0.21_NRA_model_for_NEMO2 (EMC Update) v0.25_NRA_model_for_NEMO2 (EMC Update) v0.29_NRA_model_for_NEMO2 (EMC Update) v0.29.5" xfId="711"/>
    <cellStyle name="%_NRA_model_for_NEMO2 (EMC Update) v0.20_NRA_model_for_NEMO2 (EMC Update) v0.21_NRA_model_for_NEMO2 (EMC Update) v0.25_NRA_model_for_NEMO2 (EMC Update) v0.29_NRA_model_for_NEMO2 (EMC Update) v0.29.5_NRA_model_for_NEMO2 (EMC Update) v0 30 1" xfId="712"/>
    <cellStyle name="%_NRA_model_for_NEMO2 (EMC Update) v0.20_NRA_model_for_NEMO2 (EMC Update) v0.21_NRA_model_for_NEMO2 (EMC Update) v0.26" xfId="715"/>
    <cellStyle name="%_NRA_model_for_NEMO2 (EMC Update) v0.20_NRA_model_for_NEMO2 (EMC Update) v0.21_NRA_model_for_NEMO2 (EMC Update) v0.26_NRA_model_for_NEMO2 (EMC Update) v0 30 1" xfId="751"/>
    <cellStyle name="%_NRA_model_for_NEMO2 (EMC Update) v0.20_NRA_model_for_NEMO2 (EMC Update) v0.21_NRA_model_for_NEMO2 (EMC Update) v0.26_NRA_model_for_NEMO2 (EMC Update) v0.29" xfId="716"/>
    <cellStyle name="%_NRA_model_for_NEMO2 (EMC Update) v0.20_NRA_model_for_NEMO2 (EMC Update) v0.21_NRA_model_for_NEMO2 (EMC Update) v0.26_NRA_model_for_NEMO2 (EMC Update) v0.29.2" xfId="717"/>
    <cellStyle name="%_NRA_model_for_NEMO2 (EMC Update) v0.20_NRA_model_for_NEMO2 (EMC Update) v0.21_NRA_model_for_NEMO2 (EMC Update) v0.26_NRA_model_for_NEMO2 (EMC Update) v0.29.2_NRA_model_for_NEMO2 (EMC Update) v0 30 1" xfId="726"/>
    <cellStyle name="%_NRA_model_for_NEMO2 (EMC Update) v0.20_NRA_model_for_NEMO2 (EMC Update) v0.21_NRA_model_for_NEMO2 (EMC Update) v0.26_NRA_model_for_NEMO2 (EMC Update) v0.29.2_NRA_model_for_NEMO2 (EMC Update) v0.29.3" xfId="718"/>
    <cellStyle name="%_NRA_model_for_NEMO2 (EMC Update) v0.20_NRA_model_for_NEMO2 (EMC Update) v0.21_NRA_model_for_NEMO2 (EMC Update) v0.26_NRA_model_for_NEMO2 (EMC Update) v0.29.2_NRA_model_for_NEMO2 (EMC Update) v0.29.3_NRA_model_for_NEMO2 (EMC Update) v0 30 1" xfId="720"/>
    <cellStyle name="%_NRA_model_for_NEMO2 (EMC Update) v0.20_NRA_model_for_NEMO2 (EMC Update) v0.21_NRA_model_for_NEMO2 (EMC Update) v0.26_NRA_model_for_NEMO2 (EMC Update) v0.29.2_NRA_model_for_NEMO2 (EMC Update) v0.29.3_NRA_model_for_NEMO2 (EMC Update) v0.29.5" xfId="719"/>
    <cellStyle name="%_NRA_model_for_NEMO2 (EMC Update) v0.20_NRA_model_for_NEMO2 (EMC Update) v0.21_NRA_model_for_NEMO2 (EMC Update) v0.26_NRA_model_for_NEMO2 (EMC Update) v0.29.2_NRA_model_for_NEMO2 (EMC Update) v0.29.4" xfId="721"/>
    <cellStyle name="%_NRA_model_for_NEMO2 (EMC Update) v0.20_NRA_model_for_NEMO2 (EMC Update) v0.21_NRA_model_for_NEMO2 (EMC Update) v0.26_NRA_model_for_NEMO2 (EMC Update) v0.29.2_NRA_model_for_NEMO2 (EMC Update) v0.29.4_NRA_model_for_NEMO2 (EMC Update) v0 30 1" xfId="723"/>
    <cellStyle name="%_NRA_model_for_NEMO2 (EMC Update) v0.20_NRA_model_for_NEMO2 (EMC Update) v0.21_NRA_model_for_NEMO2 (EMC Update) v0.26_NRA_model_for_NEMO2 (EMC Update) v0.29.2_NRA_model_for_NEMO2 (EMC Update) v0.29.4_NRA_model_for_NEMO2 (EMC Update) v0.29.5" xfId="722"/>
    <cellStyle name="%_NRA_model_for_NEMO2 (EMC Update) v0.20_NRA_model_for_NEMO2 (EMC Update) v0.21_NRA_model_for_NEMO2 (EMC Update) v0.26_NRA_model_for_NEMO2 (EMC Update) v0.29.2_NRA_model_for_NEMO2 (EMC Update) v0.29.5" xfId="724"/>
    <cellStyle name="%_NRA_model_for_NEMO2 (EMC Update) v0.20_NRA_model_for_NEMO2 (EMC Update) v0.21_NRA_model_for_NEMO2 (EMC Update) v0.26_NRA_model_for_NEMO2 (EMC Update) v0.29.2_NRA_model_for_NEMO2 (EMC Update) v0.29.5_NRA_model_for_NEMO2 (EMC Update) v0 30 1" xfId="725"/>
    <cellStyle name="%_NRA_model_for_NEMO2 (EMC Update) v0.20_NRA_model_for_NEMO2 (EMC Update) v0.21_NRA_model_for_NEMO2 (EMC Update) v0.26_NRA_model_for_NEMO2 (EMC Update) v0.29.3" xfId="727"/>
    <cellStyle name="%_NRA_model_for_NEMO2 (EMC Update) v0.20_NRA_model_for_NEMO2 (EMC Update) v0.21_NRA_model_for_NEMO2 (EMC Update) v0.26_NRA_model_for_NEMO2 (EMC Update) v0.29.3_NRA_model_for_NEMO2 (EMC Update) v0 30 1" xfId="730"/>
    <cellStyle name="%_NRA_model_for_NEMO2 (EMC Update) v0.20_NRA_model_for_NEMO2 (EMC Update) v0.21_NRA_model_for_NEMO2 (EMC Update) v0.26_NRA_model_for_NEMO2 (EMC Update) v0.29.3_NRA_model_for_NEMO2 (EMC Update) v0.29.5" xfId="728"/>
    <cellStyle name="%_NRA_model_for_NEMO2 (EMC Update) v0.20_NRA_model_for_NEMO2 (EMC Update) v0.21_NRA_model_for_NEMO2 (EMC Update) v0.26_NRA_model_for_NEMO2 (EMC Update) v0.29.3_NRA_model_for_NEMO2 (EMC Update) v0.29.5_NRA_model_for_NEMO2 (EMC Update) v0 30 1" xfId="729"/>
    <cellStyle name="%_NRA_model_for_NEMO2 (EMC Update) v0.20_NRA_model_for_NEMO2 (EMC Update) v0.21_NRA_model_for_NEMO2 (EMC Update) v0.26_NRA_model_for_NEMO2 (EMC Update) v0.29.4" xfId="731"/>
    <cellStyle name="%_NRA_model_for_NEMO2 (EMC Update) v0.20_NRA_model_for_NEMO2 (EMC Update) v0.21_NRA_model_for_NEMO2 (EMC Update) v0.26_NRA_model_for_NEMO2 (EMC Update) v0.29.4_NRA_model_for_NEMO2 (EMC Update) v0 30 1" xfId="734"/>
    <cellStyle name="%_NRA_model_for_NEMO2 (EMC Update) v0.20_NRA_model_for_NEMO2 (EMC Update) v0.21_NRA_model_for_NEMO2 (EMC Update) v0.26_NRA_model_for_NEMO2 (EMC Update) v0.29.4_NRA_model_for_NEMO2 (EMC Update) v0.29.5" xfId="732"/>
    <cellStyle name="%_NRA_model_for_NEMO2 (EMC Update) v0.20_NRA_model_for_NEMO2 (EMC Update) v0.21_NRA_model_for_NEMO2 (EMC Update) v0.26_NRA_model_for_NEMO2 (EMC Update) v0.29.4_NRA_model_for_NEMO2 (EMC Update) v0.29.5_NRA_model_for_NEMO2 (EMC Update) v0 30 1" xfId="733"/>
    <cellStyle name="%_NRA_model_for_NEMO2 (EMC Update) v0.20_NRA_model_for_NEMO2 (EMC Update) v0.21_NRA_model_for_NEMO2 (EMC Update) v0.26_NRA_model_for_NEMO2 (EMC Update) v0.29.5" xfId="735"/>
    <cellStyle name="%_NRA_model_for_NEMO2 (EMC Update) v0.20_NRA_model_for_NEMO2 (EMC Update) v0.21_NRA_model_for_NEMO2 (EMC Update) v0.26_NRA_model_for_NEMO2 (EMC Update) v0.29.5_NRA_model_for_NEMO2 (EMC Update) v0 30 1" xfId="736"/>
    <cellStyle name="%_NRA_model_for_NEMO2 (EMC Update) v0.20_NRA_model_for_NEMO2 (EMC Update) v0.21_NRA_model_for_NEMO2 (EMC Update) v0.26_NRA_model_for_NEMO2 (EMC Update) v0.29_NRA_model_for_NEMO2 (EMC Update) v0 30 1" xfId="750"/>
    <cellStyle name="%_NRA_model_for_NEMO2 (EMC Update) v0.20_NRA_model_for_NEMO2 (EMC Update) v0.21_NRA_model_for_NEMO2 (EMC Update) v0.26_NRA_model_for_NEMO2 (EMC Update) v0.29_NRA_model_for_NEMO2 (EMC Update) v0.29.2" xfId="737"/>
    <cellStyle name="%_NRA_model_for_NEMO2 (EMC Update) v0.20_NRA_model_for_NEMO2 (EMC Update) v0.21_NRA_model_for_NEMO2 (EMC Update) v0.26_NRA_model_for_NEMO2 (EMC Update) v0.29_NRA_model_for_NEMO2 (EMC Update) v0.29.2_NRA_model_for_NEMO2 (EMC Update) v0 30 1" xfId="741"/>
    <cellStyle name="%_NRA_model_for_NEMO2 (EMC Update) v0.20_NRA_model_for_NEMO2 (EMC Update) v0.21_NRA_model_for_NEMO2 (EMC Update) v0.26_NRA_model_for_NEMO2 (EMC Update) v0.29_NRA_model_for_NEMO2 (EMC Update) v0.29.2_NRA_model_for_NEMO2 (EMC Update) v0.29.3" xfId="738"/>
    <cellStyle name="%_NRA_model_for_NEMO2 (EMC Update) v0.20_NRA_model_for_NEMO2 (EMC Update) v0.21_NRA_model_for_NEMO2 (EMC Update) v0.26_NRA_model_for_NEMO2 (EMC Update) v0.29_NRA_model_for_NEMO2 (EMC Update) v0.29.2_NRA_model_for_NEMO2 (EMC Update) v0.29.4" xfId="739"/>
    <cellStyle name="%_NRA_model_for_NEMO2 (EMC Update) v0.20_NRA_model_for_NEMO2 (EMC Update) v0.21_NRA_model_for_NEMO2 (EMC Update) v0.26_NRA_model_for_NEMO2 (EMC Update) v0.29_NRA_model_for_NEMO2 (EMC Update) v0.29.2_NRA_model_for_NEMO2 (EMC Update) v0.29.5" xfId="740"/>
    <cellStyle name="%_NRA_model_for_NEMO2 (EMC Update) v0.20_NRA_model_for_NEMO2 (EMC Update) v0.21_NRA_model_for_NEMO2 (EMC Update) v0.26_NRA_model_for_NEMO2 (EMC Update) v0.29_NRA_model_for_NEMO2 (EMC Update) v0.29.3" xfId="742"/>
    <cellStyle name="%_NRA_model_for_NEMO2 (EMC Update) v0.20_NRA_model_for_NEMO2 (EMC Update) v0.21_NRA_model_for_NEMO2 (EMC Update) v0.26_NRA_model_for_NEMO2 (EMC Update) v0.29_NRA_model_for_NEMO2 (EMC Update) v0.29.3_NRA_model_for_NEMO2 (EMC Update) v0 30 1" xfId="744"/>
    <cellStyle name="%_NRA_model_for_NEMO2 (EMC Update) v0.20_NRA_model_for_NEMO2 (EMC Update) v0.21_NRA_model_for_NEMO2 (EMC Update) v0.26_NRA_model_for_NEMO2 (EMC Update) v0.29_NRA_model_for_NEMO2 (EMC Update) v0.29.3_NRA_model_for_NEMO2 (EMC Update) v0.29.5" xfId="743"/>
    <cellStyle name="%_NRA_model_for_NEMO2 (EMC Update) v0.20_NRA_model_for_NEMO2 (EMC Update) v0.21_NRA_model_for_NEMO2 (EMC Update) v0.26_NRA_model_for_NEMO2 (EMC Update) v0.29_NRA_model_for_NEMO2 (EMC Update) v0.29.4" xfId="745"/>
    <cellStyle name="%_NRA_model_for_NEMO2 (EMC Update) v0.20_NRA_model_for_NEMO2 (EMC Update) v0.21_NRA_model_for_NEMO2 (EMC Update) v0.26_NRA_model_for_NEMO2 (EMC Update) v0.29_NRA_model_for_NEMO2 (EMC Update) v0.29.4_NRA_model_for_NEMO2 (EMC Update) v0 30 1" xfId="747"/>
    <cellStyle name="%_NRA_model_for_NEMO2 (EMC Update) v0.20_NRA_model_for_NEMO2 (EMC Update) v0.21_NRA_model_for_NEMO2 (EMC Update) v0.26_NRA_model_for_NEMO2 (EMC Update) v0.29_NRA_model_for_NEMO2 (EMC Update) v0.29.4_NRA_model_for_NEMO2 (EMC Update) v0.29.5" xfId="746"/>
    <cellStyle name="%_NRA_model_for_NEMO2 (EMC Update) v0.20_NRA_model_for_NEMO2 (EMC Update) v0.21_NRA_model_for_NEMO2 (EMC Update) v0.26_NRA_model_for_NEMO2 (EMC Update) v0.29_NRA_model_for_NEMO2 (EMC Update) v0.29.5" xfId="748"/>
    <cellStyle name="%_NRA_model_for_NEMO2 (EMC Update) v0.20_NRA_model_for_NEMO2 (EMC Update) v0.21_NRA_model_for_NEMO2 (EMC Update) v0.26_NRA_model_for_NEMO2 (EMC Update) v0.29_NRA_model_for_NEMO2 (EMC Update) v0.29.5_NRA_model_for_NEMO2 (EMC Update) v0 30 1" xfId="749"/>
    <cellStyle name="%_NRA_model_for_NEMO2 (EMC Update) v0.20_NRA_model_for_NEMO2 (EMC Update) v0.21_NRA_model_for_NEMO2 (EMC Update) v0.29" xfId="752"/>
    <cellStyle name="%_NRA_model_for_NEMO2 (EMC Update) v0.20_NRA_model_for_NEMO2 (EMC Update) v0.21_NRA_model_for_NEMO2 (EMC Update) v0.29.2" xfId="753"/>
    <cellStyle name="%_NRA_model_for_NEMO2 (EMC Update) v0.20_NRA_model_for_NEMO2 (EMC Update) v0.21_NRA_model_for_NEMO2 (EMC Update) v0.29.2_NRA_model_for_NEMO2 (EMC Update) v0 30 1" xfId="764"/>
    <cellStyle name="%_NRA_model_for_NEMO2 (EMC Update) v0.20_NRA_model_for_NEMO2 (EMC Update) v0.21_NRA_model_for_NEMO2 (EMC Update) v0.29.2_NRA_model_for_NEMO2 (EMC Update) v0.29.3" xfId="754"/>
    <cellStyle name="%_NRA_model_for_NEMO2 (EMC Update) v0.20_NRA_model_for_NEMO2 (EMC Update) v0.21_NRA_model_for_NEMO2 (EMC Update) v0.29.2_NRA_model_for_NEMO2 (EMC Update) v0.29.3_NRA_model_for_NEMO2 (EMC Update) v0 30 1" xfId="757"/>
    <cellStyle name="%_NRA_model_for_NEMO2 (EMC Update) v0.20_NRA_model_for_NEMO2 (EMC Update) v0.21_NRA_model_for_NEMO2 (EMC Update) v0.29.2_NRA_model_for_NEMO2 (EMC Update) v0.29.3_NRA_model_for_NEMO2 (EMC Update) v0.29.5" xfId="755"/>
    <cellStyle name="%_NRA_model_for_NEMO2 (EMC Update) v0.20_NRA_model_for_NEMO2 (EMC Update) v0.21_NRA_model_for_NEMO2 (EMC Update) v0.29.2_NRA_model_for_NEMO2 (EMC Update) v0.29.3_NRA_model_for_NEMO2 (EMC Update) v0.29.5_NRA_model_for_NEMO2 (EMC Update) v0 30 1" xfId="756"/>
    <cellStyle name="%_NRA_model_for_NEMO2 (EMC Update) v0.20_NRA_model_for_NEMO2 (EMC Update) v0.21_NRA_model_for_NEMO2 (EMC Update) v0.29.2_NRA_model_for_NEMO2 (EMC Update) v0.29.4" xfId="758"/>
    <cellStyle name="%_NRA_model_for_NEMO2 (EMC Update) v0.20_NRA_model_for_NEMO2 (EMC Update) v0.21_NRA_model_for_NEMO2 (EMC Update) v0.29.2_NRA_model_for_NEMO2 (EMC Update) v0.29.4_NRA_model_for_NEMO2 (EMC Update) v0 30 1" xfId="761"/>
    <cellStyle name="%_NRA_model_for_NEMO2 (EMC Update) v0.20_NRA_model_for_NEMO2 (EMC Update) v0.21_NRA_model_for_NEMO2 (EMC Update) v0.29.2_NRA_model_for_NEMO2 (EMC Update) v0.29.4_NRA_model_for_NEMO2 (EMC Update) v0.29.5" xfId="759"/>
    <cellStyle name="%_NRA_model_for_NEMO2 (EMC Update) v0.20_NRA_model_for_NEMO2 (EMC Update) v0.21_NRA_model_for_NEMO2 (EMC Update) v0.29.2_NRA_model_for_NEMO2 (EMC Update) v0.29.4_NRA_model_for_NEMO2 (EMC Update) v0.29.5_NRA_model_for_NEMO2 (EMC Update) v0 30 1" xfId="760"/>
    <cellStyle name="%_NRA_model_for_NEMO2 (EMC Update) v0.20_NRA_model_for_NEMO2 (EMC Update) v0.21_NRA_model_for_NEMO2 (EMC Update) v0.29.2_NRA_model_for_NEMO2 (EMC Update) v0.29.5" xfId="762"/>
    <cellStyle name="%_NRA_model_for_NEMO2 (EMC Update) v0.20_NRA_model_for_NEMO2 (EMC Update) v0.21_NRA_model_for_NEMO2 (EMC Update) v0.29.2_NRA_model_for_NEMO2 (EMC Update) v0.29.5_NRA_model_for_NEMO2 (EMC Update) v0 30 1" xfId="763"/>
    <cellStyle name="%_NRA_model_for_NEMO2 (EMC Update) v0.20_NRA_model_for_NEMO2 (EMC Update) v0.21_NRA_model_for_NEMO2 (EMC Update) v0.29.3" xfId="765"/>
    <cellStyle name="%_NRA_model_for_NEMO2 (EMC Update) v0.20_NRA_model_for_NEMO2 (EMC Update) v0.21_NRA_model_for_NEMO2 (EMC Update) v0.29.3_NRA_model_for_NEMO2 (EMC Update) v0 30 1" xfId="768"/>
    <cellStyle name="%_NRA_model_for_NEMO2 (EMC Update) v0.20_NRA_model_for_NEMO2 (EMC Update) v0.21_NRA_model_for_NEMO2 (EMC Update) v0.29.3_NRA_model_for_NEMO2 (EMC Update) v0.29.5" xfId="766"/>
    <cellStyle name="%_NRA_model_for_NEMO2 (EMC Update) v0.20_NRA_model_for_NEMO2 (EMC Update) v0.21_NRA_model_for_NEMO2 (EMC Update) v0.29.3_NRA_model_for_NEMO2 (EMC Update) v0.29.5_NRA_model_for_NEMO2 (EMC Update) v0 30 1" xfId="767"/>
    <cellStyle name="%_NRA_model_for_NEMO2 (EMC Update) v0.20_NRA_model_for_NEMO2 (EMC Update) v0.21_NRA_model_for_NEMO2 (EMC Update) v0.29.4" xfId="769"/>
    <cellStyle name="%_NRA_model_for_NEMO2 (EMC Update) v0.20_NRA_model_for_NEMO2 (EMC Update) v0.21_NRA_model_for_NEMO2 (EMC Update) v0.29.4_NRA_model_for_NEMO2 (EMC Update) v0 30 1" xfId="772"/>
    <cellStyle name="%_NRA_model_for_NEMO2 (EMC Update) v0.20_NRA_model_for_NEMO2 (EMC Update) v0.21_NRA_model_for_NEMO2 (EMC Update) v0.29.4_NRA_model_for_NEMO2 (EMC Update) v0.29.5" xfId="770"/>
    <cellStyle name="%_NRA_model_for_NEMO2 (EMC Update) v0.20_NRA_model_for_NEMO2 (EMC Update) v0.21_NRA_model_for_NEMO2 (EMC Update) v0.29.4_NRA_model_for_NEMO2 (EMC Update) v0.29.5_NRA_model_for_NEMO2 (EMC Update) v0 30 1" xfId="771"/>
    <cellStyle name="%_NRA_model_for_NEMO2 (EMC Update) v0.20_NRA_model_for_NEMO2 (EMC Update) v0.21_NRA_model_for_NEMO2 (EMC Update) v0.29.5" xfId="773"/>
    <cellStyle name="%_NRA_model_for_NEMO2 (EMC Update) v0.20_NRA_model_for_NEMO2 (EMC Update) v0.21_NRA_model_for_NEMO2 (EMC Update) v0.29.5_NRA_model_for_NEMO2 (EMC Update) v0 30 1" xfId="774"/>
    <cellStyle name="%_NRA_model_for_NEMO2 (EMC Update) v0.20_NRA_model_for_NEMO2 (EMC Update) v0.21_NRA_model_for_NEMO2 (EMC Update) v0.29_NRA_model_for_NEMO2 (EMC Update) v0 30 1" xfId="795"/>
    <cellStyle name="%_NRA_model_for_NEMO2 (EMC Update) v0.20_NRA_model_for_NEMO2 (EMC Update) v0.21_NRA_model_for_NEMO2 (EMC Update) v0.29_NRA_model_for_NEMO2 (EMC Update) v0.29.2" xfId="775"/>
    <cellStyle name="%_NRA_model_for_NEMO2 (EMC Update) v0.20_NRA_model_for_NEMO2 (EMC Update) v0.21_NRA_model_for_NEMO2 (EMC Update) v0.29_NRA_model_for_NEMO2 (EMC Update) v0.29.2_NRA_model_for_NEMO2 (EMC Update) v0 30 1" xfId="784"/>
    <cellStyle name="%_NRA_model_for_NEMO2 (EMC Update) v0.20_NRA_model_for_NEMO2 (EMC Update) v0.21_NRA_model_for_NEMO2 (EMC Update) v0.29_NRA_model_for_NEMO2 (EMC Update) v0.29.2_NRA_model_for_NEMO2 (EMC Update) v0.29.3" xfId="776"/>
    <cellStyle name="%_NRA_model_for_NEMO2 (EMC Update) v0.20_NRA_model_for_NEMO2 (EMC Update) v0.21_NRA_model_for_NEMO2 (EMC Update) v0.29_NRA_model_for_NEMO2 (EMC Update) v0.29.2_NRA_model_for_NEMO2 (EMC Update) v0.29.3_NRA_model_for_NEMO2 (EMC Update) v0 30 1" xfId="778"/>
    <cellStyle name="%_NRA_model_for_NEMO2 (EMC Update) v0.20_NRA_model_for_NEMO2 (EMC Update) v0.21_NRA_model_for_NEMO2 (EMC Update) v0.29_NRA_model_for_NEMO2 (EMC Update) v0.29.2_NRA_model_for_NEMO2 (EMC Update) v0.29.3_NRA_model_for_NEMO2 (EMC Update) v0.29.5" xfId="777"/>
    <cellStyle name="%_NRA_model_for_NEMO2 (EMC Update) v0.20_NRA_model_for_NEMO2 (EMC Update) v0.21_NRA_model_for_NEMO2 (EMC Update) v0.29_NRA_model_for_NEMO2 (EMC Update) v0.29.2_NRA_model_for_NEMO2 (EMC Update) v0.29.4" xfId="779"/>
    <cellStyle name="%_NRA_model_for_NEMO2 (EMC Update) v0.20_NRA_model_for_NEMO2 (EMC Update) v0.21_NRA_model_for_NEMO2 (EMC Update) v0.29_NRA_model_for_NEMO2 (EMC Update) v0.29.2_NRA_model_for_NEMO2 (EMC Update) v0.29.4_NRA_model_for_NEMO2 (EMC Update) v0 30 1" xfId="781"/>
    <cellStyle name="%_NRA_model_for_NEMO2 (EMC Update) v0.20_NRA_model_for_NEMO2 (EMC Update) v0.21_NRA_model_for_NEMO2 (EMC Update) v0.29_NRA_model_for_NEMO2 (EMC Update) v0.29.2_NRA_model_for_NEMO2 (EMC Update) v0.29.4_NRA_model_for_NEMO2 (EMC Update) v0.29.5" xfId="780"/>
    <cellStyle name="%_NRA_model_for_NEMO2 (EMC Update) v0.20_NRA_model_for_NEMO2 (EMC Update) v0.21_NRA_model_for_NEMO2 (EMC Update) v0.29_NRA_model_for_NEMO2 (EMC Update) v0.29.2_NRA_model_for_NEMO2 (EMC Update) v0.29.5" xfId="782"/>
    <cellStyle name="%_NRA_model_for_NEMO2 (EMC Update) v0.20_NRA_model_for_NEMO2 (EMC Update) v0.21_NRA_model_for_NEMO2 (EMC Update) v0.29_NRA_model_for_NEMO2 (EMC Update) v0.29.2_NRA_model_for_NEMO2 (EMC Update) v0.29.5_NRA_model_for_NEMO2 (EMC Update) v0 30 1" xfId="783"/>
    <cellStyle name="%_NRA_model_for_NEMO2 (EMC Update) v0.20_NRA_model_for_NEMO2 (EMC Update) v0.21_NRA_model_for_NEMO2 (EMC Update) v0.29_NRA_model_for_NEMO2 (EMC Update) v0.29.3" xfId="785"/>
    <cellStyle name="%_NRA_model_for_NEMO2 (EMC Update) v0.20_NRA_model_for_NEMO2 (EMC Update) v0.21_NRA_model_for_NEMO2 (EMC Update) v0.29_NRA_model_for_NEMO2 (EMC Update) v0.29.3_NRA_model_for_NEMO2 (EMC Update) v0 30 1" xfId="788"/>
    <cellStyle name="%_NRA_model_for_NEMO2 (EMC Update) v0.20_NRA_model_for_NEMO2 (EMC Update) v0.21_NRA_model_for_NEMO2 (EMC Update) v0.29_NRA_model_for_NEMO2 (EMC Update) v0.29.3_NRA_model_for_NEMO2 (EMC Update) v0.29.5" xfId="786"/>
    <cellStyle name="%_NRA_model_for_NEMO2 (EMC Update) v0.20_NRA_model_for_NEMO2 (EMC Update) v0.21_NRA_model_for_NEMO2 (EMC Update) v0.29_NRA_model_for_NEMO2 (EMC Update) v0.29.3_NRA_model_for_NEMO2 (EMC Update) v0.29.5_NRA_model_for_NEMO2 (EMC Update) v0 30 1" xfId="787"/>
    <cellStyle name="%_NRA_model_for_NEMO2 (EMC Update) v0.20_NRA_model_for_NEMO2 (EMC Update) v0.21_NRA_model_for_NEMO2 (EMC Update) v0.29_NRA_model_for_NEMO2 (EMC Update) v0.29.4" xfId="789"/>
    <cellStyle name="%_NRA_model_for_NEMO2 (EMC Update) v0.20_NRA_model_for_NEMO2 (EMC Update) v0.21_NRA_model_for_NEMO2 (EMC Update) v0.29_NRA_model_for_NEMO2 (EMC Update) v0.29.4_NRA_model_for_NEMO2 (EMC Update) v0 30 1" xfId="792"/>
    <cellStyle name="%_NRA_model_for_NEMO2 (EMC Update) v0.20_NRA_model_for_NEMO2 (EMC Update) v0.21_NRA_model_for_NEMO2 (EMC Update) v0.29_NRA_model_for_NEMO2 (EMC Update) v0.29.4_NRA_model_for_NEMO2 (EMC Update) v0.29.5" xfId="790"/>
    <cellStyle name="%_NRA_model_for_NEMO2 (EMC Update) v0.20_NRA_model_for_NEMO2 (EMC Update) v0.21_NRA_model_for_NEMO2 (EMC Update) v0.29_NRA_model_for_NEMO2 (EMC Update) v0.29.4_NRA_model_for_NEMO2 (EMC Update) v0.29.5_NRA_model_for_NEMO2 (EMC Update) v0 30 1" xfId="791"/>
    <cellStyle name="%_NRA_model_for_NEMO2 (EMC Update) v0.20_NRA_model_for_NEMO2 (EMC Update) v0.21_NRA_model_for_NEMO2 (EMC Update) v0.29_NRA_model_for_NEMO2 (EMC Update) v0.29.5" xfId="793"/>
    <cellStyle name="%_NRA_model_for_NEMO2 (EMC Update) v0.20_NRA_model_for_NEMO2 (EMC Update) v0.21_NRA_model_for_NEMO2 (EMC Update) v0.29_NRA_model_for_NEMO2 (EMC Update) v0.29.5_NRA_model_for_NEMO2 (EMC Update) v0 30 1" xfId="794"/>
    <cellStyle name="%_NRA_model_for_NEMO2 (EMC Update) v0.20_NRA_model_for_NEMO2 (EMC Update) v0.22" xfId="797"/>
    <cellStyle name="%_NRA_model_for_NEMO2 (EMC Update) v0.20_NRA_model_for_NEMO2 (EMC Update) v0.22_NRA_model_for_NEMO2 (EMC Update) v0 30 1" xfId="937"/>
    <cellStyle name="%_NRA_model_for_NEMO2 (EMC Update) v0.20_NRA_model_for_NEMO2 (EMC Update) v0.22_NRA_model_for_NEMO2 (EMC Update) v0.25" xfId="798"/>
    <cellStyle name="%_NRA_model_for_NEMO2 (EMC Update) v0.20_NRA_model_for_NEMO2 (EMC Update) v0.22_NRA_model_for_NEMO2 (EMC Update) v0.25_NRA_model_for_NEMO2 (EMC Update) v0 30 1" xfId="855"/>
    <cellStyle name="%_NRA_model_for_NEMO2 (EMC Update) v0.20_NRA_model_for_NEMO2 (EMC Update) v0.22_NRA_model_for_NEMO2 (EMC Update) v0.25_NRA_model_for_NEMO2 (EMC Update) v0.26" xfId="799"/>
    <cellStyle name="%_NRA_model_for_NEMO2 (EMC Update) v0.20_NRA_model_for_NEMO2 (EMC Update) v0.22_NRA_model_for_NEMO2 (EMC Update) v0.25_NRA_model_for_NEMO2 (EMC Update) v0.26_NRA_model_for_NEMO2 (EMC Update) v0 30 1" xfId="819"/>
    <cellStyle name="%_NRA_model_for_NEMO2 (EMC Update) v0.20_NRA_model_for_NEMO2 (EMC Update) v0.22_NRA_model_for_NEMO2 (EMC Update) v0.25_NRA_model_for_NEMO2 (EMC Update) v0.26_NRA_model_for_NEMO2 (EMC Update) v0.29" xfId="800"/>
    <cellStyle name="%_NRA_model_for_NEMO2 (EMC Update) v0.20_NRA_model_for_NEMO2 (EMC Update) v0.22_NRA_model_for_NEMO2 (EMC Update) v0.25_NRA_model_for_NEMO2 (EMC Update) v0.26_NRA_model_for_NEMO2 (EMC Update) v0.29.2" xfId="801"/>
    <cellStyle name="%_NRA_model_for_NEMO2 (EMC Update) v0.20_NRA_model_for_NEMO2 (EMC Update) v0.22_NRA_model_for_NEMO2 (EMC Update) v0.25_NRA_model_for_NEMO2 (EMC Update) v0.26_NRA_model_for_NEMO2 (EMC Update) v0.29.2_NRA_model_for_NEMO2 (EMC Update) v0 30 1" xfId="805"/>
    <cellStyle name="%_NRA_model_for_NEMO2 (EMC Update) v0.20_NRA_model_for_NEMO2 (EMC Update) v0.22_NRA_model_for_NEMO2 (EMC Update) v0.25_NRA_model_for_NEMO2 (EMC Update) v0.26_NRA_model_for_NEMO2 (EMC Update) v0.29.2_NRA_model_for_NEMO2 (EMC Update) v0.29.3" xfId="802"/>
    <cellStyle name="%_NRA_model_for_NEMO2 (EMC Update) v0.20_NRA_model_for_NEMO2 (EMC Update) v0.22_NRA_model_for_NEMO2 (EMC Update) v0.25_NRA_model_for_NEMO2 (EMC Update) v0.26_NRA_model_for_NEMO2 (EMC Update) v0.29.2_NRA_model_for_NEMO2 (EMC Update) v0.29.4" xfId="803"/>
    <cellStyle name="%_NRA_model_for_NEMO2 (EMC Update) v0.20_NRA_model_for_NEMO2 (EMC Update) v0.22_NRA_model_for_NEMO2 (EMC Update) v0.25_NRA_model_for_NEMO2 (EMC Update) v0.26_NRA_model_for_NEMO2 (EMC Update) v0.29.2_NRA_model_for_NEMO2 (EMC Update) v0.29.5" xfId="804"/>
    <cellStyle name="%_NRA_model_for_NEMO2 (EMC Update) v0.20_NRA_model_for_NEMO2 (EMC Update) v0.22_NRA_model_for_NEMO2 (EMC Update) v0.25_NRA_model_for_NEMO2 (EMC Update) v0.26_NRA_model_for_NEMO2 (EMC Update) v0.29.3" xfId="806"/>
    <cellStyle name="%_NRA_model_for_NEMO2 (EMC Update) v0.20_NRA_model_for_NEMO2 (EMC Update) v0.22_NRA_model_for_NEMO2 (EMC Update) v0.25_NRA_model_for_NEMO2 (EMC Update) v0.26_NRA_model_for_NEMO2 (EMC Update) v0.29.3_NRA_model_for_NEMO2 (EMC Update) v0 30 1" xfId="808"/>
    <cellStyle name="%_NRA_model_for_NEMO2 (EMC Update) v0.20_NRA_model_for_NEMO2 (EMC Update) v0.22_NRA_model_for_NEMO2 (EMC Update) v0.25_NRA_model_for_NEMO2 (EMC Update) v0.26_NRA_model_for_NEMO2 (EMC Update) v0.29.3_NRA_model_for_NEMO2 (EMC Update) v0.29.5" xfId="807"/>
    <cellStyle name="%_NRA_model_for_NEMO2 (EMC Update) v0.20_NRA_model_for_NEMO2 (EMC Update) v0.22_NRA_model_for_NEMO2 (EMC Update) v0.25_NRA_model_for_NEMO2 (EMC Update) v0.26_NRA_model_for_NEMO2 (EMC Update) v0.29.4" xfId="809"/>
    <cellStyle name="%_NRA_model_for_NEMO2 (EMC Update) v0.20_NRA_model_for_NEMO2 (EMC Update) v0.22_NRA_model_for_NEMO2 (EMC Update) v0.25_NRA_model_for_NEMO2 (EMC Update) v0.26_NRA_model_for_NEMO2 (EMC Update) v0.29.4_NRA_model_for_NEMO2 (EMC Update) v0 30 1" xfId="811"/>
    <cellStyle name="%_NRA_model_for_NEMO2 (EMC Update) v0.20_NRA_model_for_NEMO2 (EMC Update) v0.22_NRA_model_for_NEMO2 (EMC Update) v0.25_NRA_model_for_NEMO2 (EMC Update) v0.26_NRA_model_for_NEMO2 (EMC Update) v0.29.4_NRA_model_for_NEMO2 (EMC Update) v0.29.5" xfId="810"/>
    <cellStyle name="%_NRA_model_for_NEMO2 (EMC Update) v0.20_NRA_model_for_NEMO2 (EMC Update) v0.22_NRA_model_for_NEMO2 (EMC Update) v0.25_NRA_model_for_NEMO2 (EMC Update) v0.26_NRA_model_for_NEMO2 (EMC Update) v0.29.5" xfId="812"/>
    <cellStyle name="%_NRA_model_for_NEMO2 (EMC Update) v0.20_NRA_model_for_NEMO2 (EMC Update) v0.22_NRA_model_for_NEMO2 (EMC Update) v0.25_NRA_model_for_NEMO2 (EMC Update) v0.26_NRA_model_for_NEMO2 (EMC Update) v0.29.5_NRA_model_for_NEMO2 (EMC Update) v0 30 1" xfId="813"/>
    <cellStyle name="%_NRA_model_for_NEMO2 (EMC Update) v0.20_NRA_model_for_NEMO2 (EMC Update) v0.22_NRA_model_for_NEMO2 (EMC Update) v0.25_NRA_model_for_NEMO2 (EMC Update) v0.26_NRA_model_for_NEMO2 (EMC Update) v0.29_NRA_model_for_NEMO2 (EMC Update) v0 30 1" xfId="818"/>
    <cellStyle name="%_NRA_model_for_NEMO2 (EMC Update) v0.20_NRA_model_for_NEMO2 (EMC Update) v0.22_NRA_model_for_NEMO2 (EMC Update) v0.25_NRA_model_for_NEMO2 (EMC Update) v0.26_NRA_model_for_NEMO2 (EMC Update) v0.29_NRA_model_for_NEMO2 (EMC Update) v0.29.2" xfId="814"/>
    <cellStyle name="%_NRA_model_for_NEMO2 (EMC Update) v0.20_NRA_model_for_NEMO2 (EMC Update) v0.22_NRA_model_for_NEMO2 (EMC Update) v0.25_NRA_model_for_NEMO2 (EMC Update) v0.26_NRA_model_for_NEMO2 (EMC Update) v0.29_NRA_model_for_NEMO2 (EMC Update) v0.29.3" xfId="815"/>
    <cellStyle name="%_NRA_model_for_NEMO2 (EMC Update) v0.20_NRA_model_for_NEMO2 (EMC Update) v0.22_NRA_model_for_NEMO2 (EMC Update) v0.25_NRA_model_for_NEMO2 (EMC Update) v0.26_NRA_model_for_NEMO2 (EMC Update) v0.29_NRA_model_for_NEMO2 (EMC Update) v0.29.4" xfId="816"/>
    <cellStyle name="%_NRA_model_for_NEMO2 (EMC Update) v0.20_NRA_model_for_NEMO2 (EMC Update) v0.22_NRA_model_for_NEMO2 (EMC Update) v0.25_NRA_model_for_NEMO2 (EMC Update) v0.26_NRA_model_for_NEMO2 (EMC Update) v0.29_NRA_model_for_NEMO2 (EMC Update) v0.29.5" xfId="817"/>
    <cellStyle name="%_NRA_model_for_NEMO2 (EMC Update) v0.20_NRA_model_for_NEMO2 (EMC Update) v0.22_NRA_model_for_NEMO2 (EMC Update) v0.25_NRA_model_for_NEMO2 (EMC Update) v0.29" xfId="820"/>
    <cellStyle name="%_NRA_model_for_NEMO2 (EMC Update) v0.20_NRA_model_for_NEMO2 (EMC Update) v0.22_NRA_model_for_NEMO2 (EMC Update) v0.25_NRA_model_for_NEMO2 (EMC Update) v0.29.2" xfId="821"/>
    <cellStyle name="%_NRA_model_for_NEMO2 (EMC Update) v0.20_NRA_model_for_NEMO2 (EMC Update) v0.22_NRA_model_for_NEMO2 (EMC Update) v0.25_NRA_model_for_NEMO2 (EMC Update) v0.29.2_NRA_model_for_NEMO2 (EMC Update) v0 30 1" xfId="830"/>
    <cellStyle name="%_NRA_model_for_NEMO2 (EMC Update) v0.20_NRA_model_for_NEMO2 (EMC Update) v0.22_NRA_model_for_NEMO2 (EMC Update) v0.25_NRA_model_for_NEMO2 (EMC Update) v0.29.2_NRA_model_for_NEMO2 (EMC Update) v0.29.3" xfId="822"/>
    <cellStyle name="%_NRA_model_for_NEMO2 (EMC Update) v0.20_NRA_model_for_NEMO2 (EMC Update) v0.22_NRA_model_for_NEMO2 (EMC Update) v0.25_NRA_model_for_NEMO2 (EMC Update) v0.29.2_NRA_model_for_NEMO2 (EMC Update) v0.29.3_NRA_model_for_NEMO2 (EMC Update) v0 30 1" xfId="824"/>
    <cellStyle name="%_NRA_model_for_NEMO2 (EMC Update) v0.20_NRA_model_for_NEMO2 (EMC Update) v0.22_NRA_model_for_NEMO2 (EMC Update) v0.25_NRA_model_for_NEMO2 (EMC Update) v0.29.2_NRA_model_for_NEMO2 (EMC Update) v0.29.3_NRA_model_for_NEMO2 (EMC Update) v0.29.5" xfId="823"/>
    <cellStyle name="%_NRA_model_for_NEMO2 (EMC Update) v0.20_NRA_model_for_NEMO2 (EMC Update) v0.22_NRA_model_for_NEMO2 (EMC Update) v0.25_NRA_model_for_NEMO2 (EMC Update) v0.29.2_NRA_model_for_NEMO2 (EMC Update) v0.29.4" xfId="825"/>
    <cellStyle name="%_NRA_model_for_NEMO2 (EMC Update) v0.20_NRA_model_for_NEMO2 (EMC Update) v0.22_NRA_model_for_NEMO2 (EMC Update) v0.25_NRA_model_for_NEMO2 (EMC Update) v0.29.2_NRA_model_for_NEMO2 (EMC Update) v0.29.4_NRA_model_for_NEMO2 (EMC Update) v0 30 1" xfId="827"/>
    <cellStyle name="%_NRA_model_for_NEMO2 (EMC Update) v0.20_NRA_model_for_NEMO2 (EMC Update) v0.22_NRA_model_for_NEMO2 (EMC Update) v0.25_NRA_model_for_NEMO2 (EMC Update) v0.29.2_NRA_model_for_NEMO2 (EMC Update) v0.29.4_NRA_model_for_NEMO2 (EMC Update) v0.29.5" xfId="826"/>
    <cellStyle name="%_NRA_model_for_NEMO2 (EMC Update) v0.20_NRA_model_for_NEMO2 (EMC Update) v0.22_NRA_model_for_NEMO2 (EMC Update) v0.25_NRA_model_for_NEMO2 (EMC Update) v0.29.2_NRA_model_for_NEMO2 (EMC Update) v0.29.5" xfId="828"/>
    <cellStyle name="%_NRA_model_for_NEMO2 (EMC Update) v0.20_NRA_model_for_NEMO2 (EMC Update) v0.22_NRA_model_for_NEMO2 (EMC Update) v0.25_NRA_model_for_NEMO2 (EMC Update) v0.29.2_NRA_model_for_NEMO2 (EMC Update) v0.29.5_NRA_model_for_NEMO2 (EMC Update) v0 30 1" xfId="829"/>
    <cellStyle name="%_NRA_model_for_NEMO2 (EMC Update) v0.20_NRA_model_for_NEMO2 (EMC Update) v0.22_NRA_model_for_NEMO2 (EMC Update) v0.25_NRA_model_for_NEMO2 (EMC Update) v0.29.3" xfId="831"/>
    <cellStyle name="%_NRA_model_for_NEMO2 (EMC Update) v0.20_NRA_model_for_NEMO2 (EMC Update) v0.22_NRA_model_for_NEMO2 (EMC Update) v0.25_NRA_model_for_NEMO2 (EMC Update) v0.29.3_NRA_model_for_NEMO2 (EMC Update) v0 30 1" xfId="834"/>
    <cellStyle name="%_NRA_model_for_NEMO2 (EMC Update) v0.20_NRA_model_for_NEMO2 (EMC Update) v0.22_NRA_model_for_NEMO2 (EMC Update) v0.25_NRA_model_for_NEMO2 (EMC Update) v0.29.3_NRA_model_for_NEMO2 (EMC Update) v0.29.5" xfId="832"/>
    <cellStyle name="%_NRA_model_for_NEMO2 (EMC Update) v0.20_NRA_model_for_NEMO2 (EMC Update) v0.22_NRA_model_for_NEMO2 (EMC Update) v0.25_NRA_model_for_NEMO2 (EMC Update) v0.29.3_NRA_model_for_NEMO2 (EMC Update) v0.29.5_NRA_model_for_NEMO2 (EMC Update) v0 30 1" xfId="833"/>
    <cellStyle name="%_NRA_model_for_NEMO2 (EMC Update) v0.20_NRA_model_for_NEMO2 (EMC Update) v0.22_NRA_model_for_NEMO2 (EMC Update) v0.25_NRA_model_for_NEMO2 (EMC Update) v0.29.4" xfId="835"/>
    <cellStyle name="%_NRA_model_for_NEMO2 (EMC Update) v0.20_NRA_model_for_NEMO2 (EMC Update) v0.22_NRA_model_for_NEMO2 (EMC Update) v0.25_NRA_model_for_NEMO2 (EMC Update) v0.29.4_NRA_model_for_NEMO2 (EMC Update) v0 30 1" xfId="838"/>
    <cellStyle name="%_NRA_model_for_NEMO2 (EMC Update) v0.20_NRA_model_for_NEMO2 (EMC Update) v0.22_NRA_model_for_NEMO2 (EMC Update) v0.25_NRA_model_for_NEMO2 (EMC Update) v0.29.4_NRA_model_for_NEMO2 (EMC Update) v0.29.5" xfId="836"/>
    <cellStyle name="%_NRA_model_for_NEMO2 (EMC Update) v0.20_NRA_model_for_NEMO2 (EMC Update) v0.22_NRA_model_for_NEMO2 (EMC Update) v0.25_NRA_model_for_NEMO2 (EMC Update) v0.29.4_NRA_model_for_NEMO2 (EMC Update) v0.29.5_NRA_model_for_NEMO2 (EMC Update) v0 30 1" xfId="837"/>
    <cellStyle name="%_NRA_model_for_NEMO2 (EMC Update) v0.20_NRA_model_for_NEMO2 (EMC Update) v0.22_NRA_model_for_NEMO2 (EMC Update) v0.25_NRA_model_for_NEMO2 (EMC Update) v0.29.5" xfId="839"/>
    <cellStyle name="%_NRA_model_for_NEMO2 (EMC Update) v0.20_NRA_model_for_NEMO2 (EMC Update) v0.22_NRA_model_for_NEMO2 (EMC Update) v0.25_NRA_model_for_NEMO2 (EMC Update) v0.29.5_NRA_model_for_NEMO2 (EMC Update) v0 30 1" xfId="840"/>
    <cellStyle name="%_NRA_model_for_NEMO2 (EMC Update) v0.20_NRA_model_for_NEMO2 (EMC Update) v0.22_NRA_model_for_NEMO2 (EMC Update) v0.25_NRA_model_for_NEMO2 (EMC Update) v0.29_NRA_model_for_NEMO2 (EMC Update) v0 30 1" xfId="854"/>
    <cellStyle name="%_NRA_model_for_NEMO2 (EMC Update) v0.20_NRA_model_for_NEMO2 (EMC Update) v0.22_NRA_model_for_NEMO2 (EMC Update) v0.25_NRA_model_for_NEMO2 (EMC Update) v0.29_NRA_model_for_NEMO2 (EMC Update) v0.29.2" xfId="841"/>
    <cellStyle name="%_NRA_model_for_NEMO2 (EMC Update) v0.20_NRA_model_for_NEMO2 (EMC Update) v0.22_NRA_model_for_NEMO2 (EMC Update) v0.25_NRA_model_for_NEMO2 (EMC Update) v0.29_NRA_model_for_NEMO2 (EMC Update) v0.29.2_NRA_model_for_NEMO2 (EMC Update) v0 30 1" xfId="845"/>
    <cellStyle name="%_NRA_model_for_NEMO2 (EMC Update) v0.20_NRA_model_for_NEMO2 (EMC Update) v0.22_NRA_model_for_NEMO2 (EMC Update) v0.25_NRA_model_for_NEMO2 (EMC Update) v0.29_NRA_model_for_NEMO2 (EMC Update) v0.29.2_NRA_model_for_NEMO2 (EMC Update) v0.29.3" xfId="842"/>
    <cellStyle name="%_NRA_model_for_NEMO2 (EMC Update) v0.20_NRA_model_for_NEMO2 (EMC Update) v0.22_NRA_model_for_NEMO2 (EMC Update) v0.25_NRA_model_for_NEMO2 (EMC Update) v0.29_NRA_model_for_NEMO2 (EMC Update) v0.29.2_NRA_model_for_NEMO2 (EMC Update) v0.29.4" xfId="843"/>
    <cellStyle name="%_NRA_model_for_NEMO2 (EMC Update) v0.20_NRA_model_for_NEMO2 (EMC Update) v0.22_NRA_model_for_NEMO2 (EMC Update) v0.25_NRA_model_for_NEMO2 (EMC Update) v0.29_NRA_model_for_NEMO2 (EMC Update) v0.29.2_NRA_model_for_NEMO2 (EMC Update) v0.29.5" xfId="844"/>
    <cellStyle name="%_NRA_model_for_NEMO2 (EMC Update) v0.20_NRA_model_for_NEMO2 (EMC Update) v0.22_NRA_model_for_NEMO2 (EMC Update) v0.25_NRA_model_for_NEMO2 (EMC Update) v0.29_NRA_model_for_NEMO2 (EMC Update) v0.29.3" xfId="846"/>
    <cellStyle name="%_NRA_model_for_NEMO2 (EMC Update) v0.20_NRA_model_for_NEMO2 (EMC Update) v0.22_NRA_model_for_NEMO2 (EMC Update) v0.25_NRA_model_for_NEMO2 (EMC Update) v0.29_NRA_model_for_NEMO2 (EMC Update) v0.29.3_NRA_model_for_NEMO2 (EMC Update) v0 30 1" xfId="848"/>
    <cellStyle name="%_NRA_model_for_NEMO2 (EMC Update) v0.20_NRA_model_for_NEMO2 (EMC Update) v0.22_NRA_model_for_NEMO2 (EMC Update) v0.25_NRA_model_for_NEMO2 (EMC Update) v0.29_NRA_model_for_NEMO2 (EMC Update) v0.29.3_NRA_model_for_NEMO2 (EMC Update) v0.29.5" xfId="847"/>
    <cellStyle name="%_NRA_model_for_NEMO2 (EMC Update) v0.20_NRA_model_for_NEMO2 (EMC Update) v0.22_NRA_model_for_NEMO2 (EMC Update) v0.25_NRA_model_for_NEMO2 (EMC Update) v0.29_NRA_model_for_NEMO2 (EMC Update) v0.29.4" xfId="849"/>
    <cellStyle name="%_NRA_model_for_NEMO2 (EMC Update) v0.20_NRA_model_for_NEMO2 (EMC Update) v0.22_NRA_model_for_NEMO2 (EMC Update) v0.25_NRA_model_for_NEMO2 (EMC Update) v0.29_NRA_model_for_NEMO2 (EMC Update) v0.29.4_NRA_model_for_NEMO2 (EMC Update) v0 30 1" xfId="851"/>
    <cellStyle name="%_NRA_model_for_NEMO2 (EMC Update) v0.20_NRA_model_for_NEMO2 (EMC Update) v0.22_NRA_model_for_NEMO2 (EMC Update) v0.25_NRA_model_for_NEMO2 (EMC Update) v0.29_NRA_model_for_NEMO2 (EMC Update) v0.29.4_NRA_model_for_NEMO2 (EMC Update) v0.29.5" xfId="850"/>
    <cellStyle name="%_NRA_model_for_NEMO2 (EMC Update) v0.20_NRA_model_for_NEMO2 (EMC Update) v0.22_NRA_model_for_NEMO2 (EMC Update) v0.25_NRA_model_for_NEMO2 (EMC Update) v0.29_NRA_model_for_NEMO2 (EMC Update) v0.29.5" xfId="852"/>
    <cellStyle name="%_NRA_model_for_NEMO2 (EMC Update) v0.20_NRA_model_for_NEMO2 (EMC Update) v0.22_NRA_model_for_NEMO2 (EMC Update) v0.25_NRA_model_for_NEMO2 (EMC Update) v0.29_NRA_model_for_NEMO2 (EMC Update) v0.29.5_NRA_model_for_NEMO2 (EMC Update) v0 30 1" xfId="853"/>
    <cellStyle name="%_NRA_model_for_NEMO2 (EMC Update) v0.20_NRA_model_for_NEMO2 (EMC Update) v0.22_NRA_model_for_NEMO2 (EMC Update) v0.26" xfId="856"/>
    <cellStyle name="%_NRA_model_for_NEMO2 (EMC Update) v0.20_NRA_model_for_NEMO2 (EMC Update) v0.22_NRA_model_for_NEMO2 (EMC Update) v0.26_NRA_model_for_NEMO2 (EMC Update) v0 30 1" xfId="892"/>
    <cellStyle name="%_NRA_model_for_NEMO2 (EMC Update) v0.20_NRA_model_for_NEMO2 (EMC Update) v0.22_NRA_model_for_NEMO2 (EMC Update) v0.26_NRA_model_for_NEMO2 (EMC Update) v0.29" xfId="857"/>
    <cellStyle name="%_NRA_model_for_NEMO2 (EMC Update) v0.20_NRA_model_for_NEMO2 (EMC Update) v0.22_NRA_model_for_NEMO2 (EMC Update) v0.26_NRA_model_for_NEMO2 (EMC Update) v0.29.2" xfId="858"/>
    <cellStyle name="%_NRA_model_for_NEMO2 (EMC Update) v0.20_NRA_model_for_NEMO2 (EMC Update) v0.22_NRA_model_for_NEMO2 (EMC Update) v0.26_NRA_model_for_NEMO2 (EMC Update) v0.29.2_NRA_model_for_NEMO2 (EMC Update) v0 30 1" xfId="867"/>
    <cellStyle name="%_NRA_model_for_NEMO2 (EMC Update) v0.20_NRA_model_for_NEMO2 (EMC Update) v0.22_NRA_model_for_NEMO2 (EMC Update) v0.26_NRA_model_for_NEMO2 (EMC Update) v0.29.2_NRA_model_for_NEMO2 (EMC Update) v0.29.3" xfId="859"/>
    <cellStyle name="%_NRA_model_for_NEMO2 (EMC Update) v0.20_NRA_model_for_NEMO2 (EMC Update) v0.22_NRA_model_for_NEMO2 (EMC Update) v0.26_NRA_model_for_NEMO2 (EMC Update) v0.29.2_NRA_model_for_NEMO2 (EMC Update) v0.29.3_NRA_model_for_NEMO2 (EMC Update) v0 30 1" xfId="861"/>
    <cellStyle name="%_NRA_model_for_NEMO2 (EMC Update) v0.20_NRA_model_for_NEMO2 (EMC Update) v0.22_NRA_model_for_NEMO2 (EMC Update) v0.26_NRA_model_for_NEMO2 (EMC Update) v0.29.2_NRA_model_for_NEMO2 (EMC Update) v0.29.3_NRA_model_for_NEMO2 (EMC Update) v0.29.5" xfId="860"/>
    <cellStyle name="%_NRA_model_for_NEMO2 (EMC Update) v0.20_NRA_model_for_NEMO2 (EMC Update) v0.22_NRA_model_for_NEMO2 (EMC Update) v0.26_NRA_model_for_NEMO2 (EMC Update) v0.29.2_NRA_model_for_NEMO2 (EMC Update) v0.29.4" xfId="862"/>
    <cellStyle name="%_NRA_model_for_NEMO2 (EMC Update) v0.20_NRA_model_for_NEMO2 (EMC Update) v0.22_NRA_model_for_NEMO2 (EMC Update) v0.26_NRA_model_for_NEMO2 (EMC Update) v0.29.2_NRA_model_for_NEMO2 (EMC Update) v0.29.4_NRA_model_for_NEMO2 (EMC Update) v0 30 1" xfId="864"/>
    <cellStyle name="%_NRA_model_for_NEMO2 (EMC Update) v0.20_NRA_model_for_NEMO2 (EMC Update) v0.22_NRA_model_for_NEMO2 (EMC Update) v0.26_NRA_model_for_NEMO2 (EMC Update) v0.29.2_NRA_model_for_NEMO2 (EMC Update) v0.29.4_NRA_model_for_NEMO2 (EMC Update) v0.29.5" xfId="863"/>
    <cellStyle name="%_NRA_model_for_NEMO2 (EMC Update) v0.20_NRA_model_for_NEMO2 (EMC Update) v0.22_NRA_model_for_NEMO2 (EMC Update) v0.26_NRA_model_for_NEMO2 (EMC Update) v0.29.2_NRA_model_for_NEMO2 (EMC Update) v0.29.5" xfId="865"/>
    <cellStyle name="%_NRA_model_for_NEMO2 (EMC Update) v0.20_NRA_model_for_NEMO2 (EMC Update) v0.22_NRA_model_for_NEMO2 (EMC Update) v0.26_NRA_model_for_NEMO2 (EMC Update) v0.29.2_NRA_model_for_NEMO2 (EMC Update) v0.29.5_NRA_model_for_NEMO2 (EMC Update) v0 30 1" xfId="866"/>
    <cellStyle name="%_NRA_model_for_NEMO2 (EMC Update) v0.20_NRA_model_for_NEMO2 (EMC Update) v0.22_NRA_model_for_NEMO2 (EMC Update) v0.26_NRA_model_for_NEMO2 (EMC Update) v0.29.3" xfId="868"/>
    <cellStyle name="%_NRA_model_for_NEMO2 (EMC Update) v0.20_NRA_model_for_NEMO2 (EMC Update) v0.22_NRA_model_for_NEMO2 (EMC Update) v0.26_NRA_model_for_NEMO2 (EMC Update) v0.29.3_NRA_model_for_NEMO2 (EMC Update) v0 30 1" xfId="871"/>
    <cellStyle name="%_NRA_model_for_NEMO2 (EMC Update) v0.20_NRA_model_for_NEMO2 (EMC Update) v0.22_NRA_model_for_NEMO2 (EMC Update) v0.26_NRA_model_for_NEMO2 (EMC Update) v0.29.3_NRA_model_for_NEMO2 (EMC Update) v0.29.5" xfId="869"/>
    <cellStyle name="%_NRA_model_for_NEMO2 (EMC Update) v0.20_NRA_model_for_NEMO2 (EMC Update) v0.22_NRA_model_for_NEMO2 (EMC Update) v0.26_NRA_model_for_NEMO2 (EMC Update) v0.29.3_NRA_model_for_NEMO2 (EMC Update) v0.29.5_NRA_model_for_NEMO2 (EMC Update) v0 30 1" xfId="870"/>
    <cellStyle name="%_NRA_model_for_NEMO2 (EMC Update) v0.20_NRA_model_for_NEMO2 (EMC Update) v0.22_NRA_model_for_NEMO2 (EMC Update) v0.26_NRA_model_for_NEMO2 (EMC Update) v0.29.4" xfId="872"/>
    <cellStyle name="%_NRA_model_for_NEMO2 (EMC Update) v0.20_NRA_model_for_NEMO2 (EMC Update) v0.22_NRA_model_for_NEMO2 (EMC Update) v0.26_NRA_model_for_NEMO2 (EMC Update) v0.29.4_NRA_model_for_NEMO2 (EMC Update) v0 30 1" xfId="875"/>
    <cellStyle name="%_NRA_model_for_NEMO2 (EMC Update) v0.20_NRA_model_for_NEMO2 (EMC Update) v0.22_NRA_model_for_NEMO2 (EMC Update) v0.26_NRA_model_for_NEMO2 (EMC Update) v0.29.4_NRA_model_for_NEMO2 (EMC Update) v0.29.5" xfId="873"/>
    <cellStyle name="%_NRA_model_for_NEMO2 (EMC Update) v0.20_NRA_model_for_NEMO2 (EMC Update) v0.22_NRA_model_for_NEMO2 (EMC Update) v0.26_NRA_model_for_NEMO2 (EMC Update) v0.29.4_NRA_model_for_NEMO2 (EMC Update) v0.29.5_NRA_model_for_NEMO2 (EMC Update) v0 30 1" xfId="874"/>
    <cellStyle name="%_NRA_model_for_NEMO2 (EMC Update) v0.20_NRA_model_for_NEMO2 (EMC Update) v0.22_NRA_model_for_NEMO2 (EMC Update) v0.26_NRA_model_for_NEMO2 (EMC Update) v0.29.5" xfId="876"/>
    <cellStyle name="%_NRA_model_for_NEMO2 (EMC Update) v0.20_NRA_model_for_NEMO2 (EMC Update) v0.22_NRA_model_for_NEMO2 (EMC Update) v0.26_NRA_model_for_NEMO2 (EMC Update) v0.29.5_NRA_model_for_NEMO2 (EMC Update) v0 30 1" xfId="877"/>
    <cellStyle name="%_NRA_model_for_NEMO2 (EMC Update) v0.20_NRA_model_for_NEMO2 (EMC Update) v0.22_NRA_model_for_NEMO2 (EMC Update) v0.26_NRA_model_for_NEMO2 (EMC Update) v0.29_NRA_model_for_NEMO2 (EMC Update) v0 30 1" xfId="891"/>
    <cellStyle name="%_NRA_model_for_NEMO2 (EMC Update) v0.20_NRA_model_for_NEMO2 (EMC Update) v0.22_NRA_model_for_NEMO2 (EMC Update) v0.26_NRA_model_for_NEMO2 (EMC Update) v0.29_NRA_model_for_NEMO2 (EMC Update) v0.29.2" xfId="878"/>
    <cellStyle name="%_NRA_model_for_NEMO2 (EMC Update) v0.20_NRA_model_for_NEMO2 (EMC Update) v0.22_NRA_model_for_NEMO2 (EMC Update) v0.26_NRA_model_for_NEMO2 (EMC Update) v0.29_NRA_model_for_NEMO2 (EMC Update) v0.29.2_NRA_model_for_NEMO2 (EMC Update) v0 30 1" xfId="882"/>
    <cellStyle name="%_NRA_model_for_NEMO2 (EMC Update) v0.20_NRA_model_for_NEMO2 (EMC Update) v0.22_NRA_model_for_NEMO2 (EMC Update) v0.26_NRA_model_for_NEMO2 (EMC Update) v0.29_NRA_model_for_NEMO2 (EMC Update) v0.29.2_NRA_model_for_NEMO2 (EMC Update) v0.29.3" xfId="879"/>
    <cellStyle name="%_NRA_model_for_NEMO2 (EMC Update) v0.20_NRA_model_for_NEMO2 (EMC Update) v0.22_NRA_model_for_NEMO2 (EMC Update) v0.26_NRA_model_for_NEMO2 (EMC Update) v0.29_NRA_model_for_NEMO2 (EMC Update) v0.29.2_NRA_model_for_NEMO2 (EMC Update) v0.29.4" xfId="880"/>
    <cellStyle name="%_NRA_model_for_NEMO2 (EMC Update) v0.20_NRA_model_for_NEMO2 (EMC Update) v0.22_NRA_model_for_NEMO2 (EMC Update) v0.26_NRA_model_for_NEMO2 (EMC Update) v0.29_NRA_model_for_NEMO2 (EMC Update) v0.29.2_NRA_model_for_NEMO2 (EMC Update) v0.29.5" xfId="881"/>
    <cellStyle name="%_NRA_model_for_NEMO2 (EMC Update) v0.20_NRA_model_for_NEMO2 (EMC Update) v0.22_NRA_model_for_NEMO2 (EMC Update) v0.26_NRA_model_for_NEMO2 (EMC Update) v0.29_NRA_model_for_NEMO2 (EMC Update) v0.29.3" xfId="883"/>
    <cellStyle name="%_NRA_model_for_NEMO2 (EMC Update) v0.20_NRA_model_for_NEMO2 (EMC Update) v0.22_NRA_model_for_NEMO2 (EMC Update) v0.26_NRA_model_for_NEMO2 (EMC Update) v0.29_NRA_model_for_NEMO2 (EMC Update) v0.29.3_NRA_model_for_NEMO2 (EMC Update) v0 30 1" xfId="885"/>
    <cellStyle name="%_NRA_model_for_NEMO2 (EMC Update) v0.20_NRA_model_for_NEMO2 (EMC Update) v0.22_NRA_model_for_NEMO2 (EMC Update) v0.26_NRA_model_for_NEMO2 (EMC Update) v0.29_NRA_model_for_NEMO2 (EMC Update) v0.29.3_NRA_model_for_NEMO2 (EMC Update) v0.29.5" xfId="884"/>
    <cellStyle name="%_NRA_model_for_NEMO2 (EMC Update) v0.20_NRA_model_for_NEMO2 (EMC Update) v0.22_NRA_model_for_NEMO2 (EMC Update) v0.26_NRA_model_for_NEMO2 (EMC Update) v0.29_NRA_model_for_NEMO2 (EMC Update) v0.29.4" xfId="886"/>
    <cellStyle name="%_NRA_model_for_NEMO2 (EMC Update) v0.20_NRA_model_for_NEMO2 (EMC Update) v0.22_NRA_model_for_NEMO2 (EMC Update) v0.26_NRA_model_for_NEMO2 (EMC Update) v0.29_NRA_model_for_NEMO2 (EMC Update) v0.29.4_NRA_model_for_NEMO2 (EMC Update) v0 30 1" xfId="888"/>
    <cellStyle name="%_NRA_model_for_NEMO2 (EMC Update) v0.20_NRA_model_for_NEMO2 (EMC Update) v0.22_NRA_model_for_NEMO2 (EMC Update) v0.26_NRA_model_for_NEMO2 (EMC Update) v0.29_NRA_model_for_NEMO2 (EMC Update) v0.29.4_NRA_model_for_NEMO2 (EMC Update) v0.29.5" xfId="887"/>
    <cellStyle name="%_NRA_model_for_NEMO2 (EMC Update) v0.20_NRA_model_for_NEMO2 (EMC Update) v0.22_NRA_model_for_NEMO2 (EMC Update) v0.26_NRA_model_for_NEMO2 (EMC Update) v0.29_NRA_model_for_NEMO2 (EMC Update) v0.29.5" xfId="889"/>
    <cellStyle name="%_NRA_model_for_NEMO2 (EMC Update) v0.20_NRA_model_for_NEMO2 (EMC Update) v0.22_NRA_model_for_NEMO2 (EMC Update) v0.26_NRA_model_for_NEMO2 (EMC Update) v0.29_NRA_model_for_NEMO2 (EMC Update) v0.29.5_NRA_model_for_NEMO2 (EMC Update) v0 30 1" xfId="890"/>
    <cellStyle name="%_NRA_model_for_NEMO2 (EMC Update) v0.20_NRA_model_for_NEMO2 (EMC Update) v0.22_NRA_model_for_NEMO2 (EMC Update) v0.29" xfId="893"/>
    <cellStyle name="%_NRA_model_for_NEMO2 (EMC Update) v0.20_NRA_model_for_NEMO2 (EMC Update) v0.22_NRA_model_for_NEMO2 (EMC Update) v0.29.2" xfId="894"/>
    <cellStyle name="%_NRA_model_for_NEMO2 (EMC Update) v0.20_NRA_model_for_NEMO2 (EMC Update) v0.22_NRA_model_for_NEMO2 (EMC Update) v0.29.2_NRA_model_for_NEMO2 (EMC Update) v0 30 1" xfId="905"/>
    <cellStyle name="%_NRA_model_for_NEMO2 (EMC Update) v0.20_NRA_model_for_NEMO2 (EMC Update) v0.22_NRA_model_for_NEMO2 (EMC Update) v0.29.2_NRA_model_for_NEMO2 (EMC Update) v0.29.3" xfId="895"/>
    <cellStyle name="%_NRA_model_for_NEMO2 (EMC Update) v0.20_NRA_model_for_NEMO2 (EMC Update) v0.22_NRA_model_for_NEMO2 (EMC Update) v0.29.2_NRA_model_for_NEMO2 (EMC Update) v0.29.3_NRA_model_for_NEMO2 (EMC Update) v0 30 1" xfId="898"/>
    <cellStyle name="%_NRA_model_for_NEMO2 (EMC Update) v0.20_NRA_model_for_NEMO2 (EMC Update) v0.22_NRA_model_for_NEMO2 (EMC Update) v0.29.2_NRA_model_for_NEMO2 (EMC Update) v0.29.3_NRA_model_for_NEMO2 (EMC Update) v0.29.5" xfId="896"/>
    <cellStyle name="%_NRA_model_for_NEMO2 (EMC Update) v0.20_NRA_model_for_NEMO2 (EMC Update) v0.22_NRA_model_for_NEMO2 (EMC Update) v0.29.2_NRA_model_for_NEMO2 (EMC Update) v0.29.3_NRA_model_for_NEMO2 (EMC Update) v0.29.5_NRA_model_for_NEMO2 (EMC Update) v0 30 1" xfId="897"/>
    <cellStyle name="%_NRA_model_for_NEMO2 (EMC Update) v0.20_NRA_model_for_NEMO2 (EMC Update) v0.22_NRA_model_for_NEMO2 (EMC Update) v0.29.2_NRA_model_for_NEMO2 (EMC Update) v0.29.4" xfId="899"/>
    <cellStyle name="%_NRA_model_for_NEMO2 (EMC Update) v0.20_NRA_model_for_NEMO2 (EMC Update) v0.22_NRA_model_for_NEMO2 (EMC Update) v0.29.2_NRA_model_for_NEMO2 (EMC Update) v0.29.4_NRA_model_for_NEMO2 (EMC Update) v0 30 1" xfId="902"/>
    <cellStyle name="%_NRA_model_for_NEMO2 (EMC Update) v0.20_NRA_model_for_NEMO2 (EMC Update) v0.22_NRA_model_for_NEMO2 (EMC Update) v0.29.2_NRA_model_for_NEMO2 (EMC Update) v0.29.4_NRA_model_for_NEMO2 (EMC Update) v0.29.5" xfId="900"/>
    <cellStyle name="%_NRA_model_for_NEMO2 (EMC Update) v0.20_NRA_model_for_NEMO2 (EMC Update) v0.22_NRA_model_for_NEMO2 (EMC Update) v0.29.2_NRA_model_for_NEMO2 (EMC Update) v0.29.4_NRA_model_for_NEMO2 (EMC Update) v0.29.5_NRA_model_for_NEMO2 (EMC Update) v0 30 1" xfId="901"/>
    <cellStyle name="%_NRA_model_for_NEMO2 (EMC Update) v0.20_NRA_model_for_NEMO2 (EMC Update) v0.22_NRA_model_for_NEMO2 (EMC Update) v0.29.2_NRA_model_for_NEMO2 (EMC Update) v0.29.5" xfId="903"/>
    <cellStyle name="%_NRA_model_for_NEMO2 (EMC Update) v0.20_NRA_model_for_NEMO2 (EMC Update) v0.22_NRA_model_for_NEMO2 (EMC Update) v0.29.2_NRA_model_for_NEMO2 (EMC Update) v0.29.5_NRA_model_for_NEMO2 (EMC Update) v0 30 1" xfId="904"/>
    <cellStyle name="%_NRA_model_for_NEMO2 (EMC Update) v0.20_NRA_model_for_NEMO2 (EMC Update) v0.22_NRA_model_for_NEMO2 (EMC Update) v0.29.3" xfId="906"/>
    <cellStyle name="%_NRA_model_for_NEMO2 (EMC Update) v0.20_NRA_model_for_NEMO2 (EMC Update) v0.22_NRA_model_for_NEMO2 (EMC Update) v0.29.3_NRA_model_for_NEMO2 (EMC Update) v0 30 1" xfId="909"/>
    <cellStyle name="%_NRA_model_for_NEMO2 (EMC Update) v0.20_NRA_model_for_NEMO2 (EMC Update) v0.22_NRA_model_for_NEMO2 (EMC Update) v0.29.3_NRA_model_for_NEMO2 (EMC Update) v0.29.5" xfId="907"/>
    <cellStyle name="%_NRA_model_for_NEMO2 (EMC Update) v0.20_NRA_model_for_NEMO2 (EMC Update) v0.22_NRA_model_for_NEMO2 (EMC Update) v0.29.3_NRA_model_for_NEMO2 (EMC Update) v0.29.5_NRA_model_for_NEMO2 (EMC Update) v0 30 1" xfId="908"/>
    <cellStyle name="%_NRA_model_for_NEMO2 (EMC Update) v0.20_NRA_model_for_NEMO2 (EMC Update) v0.22_NRA_model_for_NEMO2 (EMC Update) v0.29.4" xfId="910"/>
    <cellStyle name="%_NRA_model_for_NEMO2 (EMC Update) v0.20_NRA_model_for_NEMO2 (EMC Update) v0.22_NRA_model_for_NEMO2 (EMC Update) v0.29.4_NRA_model_for_NEMO2 (EMC Update) v0 30 1" xfId="913"/>
    <cellStyle name="%_NRA_model_for_NEMO2 (EMC Update) v0.20_NRA_model_for_NEMO2 (EMC Update) v0.22_NRA_model_for_NEMO2 (EMC Update) v0.29.4_NRA_model_for_NEMO2 (EMC Update) v0.29.5" xfId="911"/>
    <cellStyle name="%_NRA_model_for_NEMO2 (EMC Update) v0.20_NRA_model_for_NEMO2 (EMC Update) v0.22_NRA_model_for_NEMO2 (EMC Update) v0.29.4_NRA_model_for_NEMO2 (EMC Update) v0.29.5_NRA_model_for_NEMO2 (EMC Update) v0 30 1" xfId="912"/>
    <cellStyle name="%_NRA_model_for_NEMO2 (EMC Update) v0.20_NRA_model_for_NEMO2 (EMC Update) v0.22_NRA_model_for_NEMO2 (EMC Update) v0.29.5" xfId="914"/>
    <cellStyle name="%_NRA_model_for_NEMO2 (EMC Update) v0.20_NRA_model_for_NEMO2 (EMC Update) v0.22_NRA_model_for_NEMO2 (EMC Update) v0.29.5_NRA_model_for_NEMO2 (EMC Update) v0 30 1" xfId="915"/>
    <cellStyle name="%_NRA_model_for_NEMO2 (EMC Update) v0.20_NRA_model_for_NEMO2 (EMC Update) v0.22_NRA_model_for_NEMO2 (EMC Update) v0.29_NRA_model_for_NEMO2 (EMC Update) v0 30 1" xfId="936"/>
    <cellStyle name="%_NRA_model_for_NEMO2 (EMC Update) v0.20_NRA_model_for_NEMO2 (EMC Update) v0.22_NRA_model_for_NEMO2 (EMC Update) v0.29_NRA_model_for_NEMO2 (EMC Update) v0.29.2" xfId="916"/>
    <cellStyle name="%_NRA_model_for_NEMO2 (EMC Update) v0.20_NRA_model_for_NEMO2 (EMC Update) v0.22_NRA_model_for_NEMO2 (EMC Update) v0.29_NRA_model_for_NEMO2 (EMC Update) v0.29.2_NRA_model_for_NEMO2 (EMC Update) v0 30 1" xfId="925"/>
    <cellStyle name="%_NRA_model_for_NEMO2 (EMC Update) v0.20_NRA_model_for_NEMO2 (EMC Update) v0.22_NRA_model_for_NEMO2 (EMC Update) v0.29_NRA_model_for_NEMO2 (EMC Update) v0.29.2_NRA_model_for_NEMO2 (EMC Update) v0.29.3" xfId="917"/>
    <cellStyle name="%_NRA_model_for_NEMO2 (EMC Update) v0.20_NRA_model_for_NEMO2 (EMC Update) v0.22_NRA_model_for_NEMO2 (EMC Update) v0.29_NRA_model_for_NEMO2 (EMC Update) v0.29.2_NRA_model_for_NEMO2 (EMC Update) v0.29.3_NRA_model_for_NEMO2 (EMC Update) v0 30 1" xfId="919"/>
    <cellStyle name="%_NRA_model_for_NEMO2 (EMC Update) v0.20_NRA_model_for_NEMO2 (EMC Update) v0.22_NRA_model_for_NEMO2 (EMC Update) v0.29_NRA_model_for_NEMO2 (EMC Update) v0.29.2_NRA_model_for_NEMO2 (EMC Update) v0.29.3_NRA_model_for_NEMO2 (EMC Update) v0.29.5" xfId="918"/>
    <cellStyle name="%_NRA_model_for_NEMO2 (EMC Update) v0.20_NRA_model_for_NEMO2 (EMC Update) v0.22_NRA_model_for_NEMO2 (EMC Update) v0.29_NRA_model_for_NEMO2 (EMC Update) v0.29.2_NRA_model_for_NEMO2 (EMC Update) v0.29.4" xfId="920"/>
    <cellStyle name="%_NRA_model_for_NEMO2 (EMC Update) v0.20_NRA_model_for_NEMO2 (EMC Update) v0.22_NRA_model_for_NEMO2 (EMC Update) v0.29_NRA_model_for_NEMO2 (EMC Update) v0.29.2_NRA_model_for_NEMO2 (EMC Update) v0.29.4_NRA_model_for_NEMO2 (EMC Update) v0 30 1" xfId="922"/>
    <cellStyle name="%_NRA_model_for_NEMO2 (EMC Update) v0.20_NRA_model_for_NEMO2 (EMC Update) v0.22_NRA_model_for_NEMO2 (EMC Update) v0.29_NRA_model_for_NEMO2 (EMC Update) v0.29.2_NRA_model_for_NEMO2 (EMC Update) v0.29.4_NRA_model_for_NEMO2 (EMC Update) v0.29.5" xfId="921"/>
    <cellStyle name="%_NRA_model_for_NEMO2 (EMC Update) v0.20_NRA_model_for_NEMO2 (EMC Update) v0.22_NRA_model_for_NEMO2 (EMC Update) v0.29_NRA_model_for_NEMO2 (EMC Update) v0.29.2_NRA_model_for_NEMO2 (EMC Update) v0.29.5" xfId="923"/>
    <cellStyle name="%_NRA_model_for_NEMO2 (EMC Update) v0.20_NRA_model_for_NEMO2 (EMC Update) v0.22_NRA_model_for_NEMO2 (EMC Update) v0.29_NRA_model_for_NEMO2 (EMC Update) v0.29.2_NRA_model_for_NEMO2 (EMC Update) v0.29.5_NRA_model_for_NEMO2 (EMC Update) v0 30 1" xfId="924"/>
    <cellStyle name="%_NRA_model_for_NEMO2 (EMC Update) v0.20_NRA_model_for_NEMO2 (EMC Update) v0.22_NRA_model_for_NEMO2 (EMC Update) v0.29_NRA_model_for_NEMO2 (EMC Update) v0.29.3" xfId="926"/>
    <cellStyle name="%_NRA_model_for_NEMO2 (EMC Update) v0.20_NRA_model_for_NEMO2 (EMC Update) v0.22_NRA_model_for_NEMO2 (EMC Update) v0.29_NRA_model_for_NEMO2 (EMC Update) v0.29.3_NRA_model_for_NEMO2 (EMC Update) v0 30 1" xfId="929"/>
    <cellStyle name="%_NRA_model_for_NEMO2 (EMC Update) v0.20_NRA_model_for_NEMO2 (EMC Update) v0.22_NRA_model_for_NEMO2 (EMC Update) v0.29_NRA_model_for_NEMO2 (EMC Update) v0.29.3_NRA_model_for_NEMO2 (EMC Update) v0.29.5" xfId="927"/>
    <cellStyle name="%_NRA_model_for_NEMO2 (EMC Update) v0.20_NRA_model_for_NEMO2 (EMC Update) v0.22_NRA_model_for_NEMO2 (EMC Update) v0.29_NRA_model_for_NEMO2 (EMC Update) v0.29.3_NRA_model_for_NEMO2 (EMC Update) v0.29.5_NRA_model_for_NEMO2 (EMC Update) v0 30 1" xfId="928"/>
    <cellStyle name="%_NRA_model_for_NEMO2 (EMC Update) v0.20_NRA_model_for_NEMO2 (EMC Update) v0.22_NRA_model_for_NEMO2 (EMC Update) v0.29_NRA_model_for_NEMO2 (EMC Update) v0.29.4" xfId="930"/>
    <cellStyle name="%_NRA_model_for_NEMO2 (EMC Update) v0.20_NRA_model_for_NEMO2 (EMC Update) v0.22_NRA_model_for_NEMO2 (EMC Update) v0.29_NRA_model_for_NEMO2 (EMC Update) v0.29.4_NRA_model_for_NEMO2 (EMC Update) v0 30 1" xfId="933"/>
    <cellStyle name="%_NRA_model_for_NEMO2 (EMC Update) v0.20_NRA_model_for_NEMO2 (EMC Update) v0.22_NRA_model_for_NEMO2 (EMC Update) v0.29_NRA_model_for_NEMO2 (EMC Update) v0.29.4_NRA_model_for_NEMO2 (EMC Update) v0.29.5" xfId="931"/>
    <cellStyle name="%_NRA_model_for_NEMO2 (EMC Update) v0.20_NRA_model_for_NEMO2 (EMC Update) v0.22_NRA_model_for_NEMO2 (EMC Update) v0.29_NRA_model_for_NEMO2 (EMC Update) v0.29.4_NRA_model_for_NEMO2 (EMC Update) v0.29.5_NRA_model_for_NEMO2 (EMC Update) v0 30 1" xfId="932"/>
    <cellStyle name="%_NRA_model_for_NEMO2 (EMC Update) v0.20_NRA_model_for_NEMO2 (EMC Update) v0.22_NRA_model_for_NEMO2 (EMC Update) v0.29_NRA_model_for_NEMO2 (EMC Update) v0.29.5" xfId="934"/>
    <cellStyle name="%_NRA_model_for_NEMO2 (EMC Update) v0.20_NRA_model_for_NEMO2 (EMC Update) v0.22_NRA_model_for_NEMO2 (EMC Update) v0.29_NRA_model_for_NEMO2 (EMC Update) v0.29.5_NRA_model_for_NEMO2 (EMC Update) v0 30 1" xfId="935"/>
    <cellStyle name="%_NRA_model_for_NEMO2 (EMC Update) v0.20_NRA_model_for_NEMO2 (EMC Update) v0.25" xfId="938"/>
    <cellStyle name="%_NRA_model_for_NEMO2 (EMC Update) v0.20_NRA_model_for_NEMO2 (EMC Update) v0.25_NRA_model_for_NEMO2 (EMC Update) v0 30 1" xfId="1020"/>
    <cellStyle name="%_NRA_model_for_NEMO2 (EMC Update) v0.20_NRA_model_for_NEMO2 (EMC Update) v0.25_NRA_model_for_NEMO2 (EMC Update) v0.26" xfId="939"/>
    <cellStyle name="%_NRA_model_for_NEMO2 (EMC Update) v0.20_NRA_model_for_NEMO2 (EMC Update) v0.25_NRA_model_for_NEMO2 (EMC Update) v0.26_NRA_model_for_NEMO2 (EMC Update) v0 30 1" xfId="975"/>
    <cellStyle name="%_NRA_model_for_NEMO2 (EMC Update) v0.20_NRA_model_for_NEMO2 (EMC Update) v0.25_NRA_model_for_NEMO2 (EMC Update) v0.26_NRA_model_for_NEMO2 (EMC Update) v0.29" xfId="940"/>
    <cellStyle name="%_NRA_model_for_NEMO2 (EMC Update) v0.20_NRA_model_for_NEMO2 (EMC Update) v0.25_NRA_model_for_NEMO2 (EMC Update) v0.26_NRA_model_for_NEMO2 (EMC Update) v0.29.2" xfId="941"/>
    <cellStyle name="%_NRA_model_for_NEMO2 (EMC Update) v0.20_NRA_model_for_NEMO2 (EMC Update) v0.25_NRA_model_for_NEMO2 (EMC Update) v0.26_NRA_model_for_NEMO2 (EMC Update) v0.29.2_NRA_model_for_NEMO2 (EMC Update) v0 30 1" xfId="950"/>
    <cellStyle name="%_NRA_model_for_NEMO2 (EMC Update) v0.20_NRA_model_for_NEMO2 (EMC Update) v0.25_NRA_model_for_NEMO2 (EMC Update) v0.26_NRA_model_for_NEMO2 (EMC Update) v0.29.2_NRA_model_for_NEMO2 (EMC Update) v0.29.3" xfId="942"/>
    <cellStyle name="%_NRA_model_for_NEMO2 (EMC Update) v0.20_NRA_model_for_NEMO2 (EMC Update) v0.25_NRA_model_for_NEMO2 (EMC Update) v0.26_NRA_model_for_NEMO2 (EMC Update) v0.29.2_NRA_model_for_NEMO2 (EMC Update) v0.29.3_NRA_model_for_NEMO2 (EMC Update) v0 30 1" xfId="944"/>
    <cellStyle name="%_NRA_model_for_NEMO2 (EMC Update) v0.20_NRA_model_for_NEMO2 (EMC Update) v0.25_NRA_model_for_NEMO2 (EMC Update) v0.26_NRA_model_for_NEMO2 (EMC Update) v0.29.2_NRA_model_for_NEMO2 (EMC Update) v0.29.3_NRA_model_for_NEMO2 (EMC Update) v0.29.5" xfId="943"/>
    <cellStyle name="%_NRA_model_for_NEMO2 (EMC Update) v0.20_NRA_model_for_NEMO2 (EMC Update) v0.25_NRA_model_for_NEMO2 (EMC Update) v0.26_NRA_model_for_NEMO2 (EMC Update) v0.29.2_NRA_model_for_NEMO2 (EMC Update) v0.29.4" xfId="945"/>
    <cellStyle name="%_NRA_model_for_NEMO2 (EMC Update) v0.20_NRA_model_for_NEMO2 (EMC Update) v0.25_NRA_model_for_NEMO2 (EMC Update) v0.26_NRA_model_for_NEMO2 (EMC Update) v0.29.2_NRA_model_for_NEMO2 (EMC Update) v0.29.4_NRA_model_for_NEMO2 (EMC Update) v0 30 1" xfId="947"/>
    <cellStyle name="%_NRA_model_for_NEMO2 (EMC Update) v0.20_NRA_model_for_NEMO2 (EMC Update) v0.25_NRA_model_for_NEMO2 (EMC Update) v0.26_NRA_model_for_NEMO2 (EMC Update) v0.29.2_NRA_model_for_NEMO2 (EMC Update) v0.29.4_NRA_model_for_NEMO2 (EMC Update) v0.29.5" xfId="946"/>
    <cellStyle name="%_NRA_model_for_NEMO2 (EMC Update) v0.20_NRA_model_for_NEMO2 (EMC Update) v0.25_NRA_model_for_NEMO2 (EMC Update) v0.26_NRA_model_for_NEMO2 (EMC Update) v0.29.2_NRA_model_for_NEMO2 (EMC Update) v0.29.5" xfId="948"/>
    <cellStyle name="%_NRA_model_for_NEMO2 (EMC Update) v0.20_NRA_model_for_NEMO2 (EMC Update) v0.25_NRA_model_for_NEMO2 (EMC Update) v0.26_NRA_model_for_NEMO2 (EMC Update) v0.29.2_NRA_model_for_NEMO2 (EMC Update) v0.29.5_NRA_model_for_NEMO2 (EMC Update) v0 30 1" xfId="949"/>
    <cellStyle name="%_NRA_model_for_NEMO2 (EMC Update) v0.20_NRA_model_for_NEMO2 (EMC Update) v0.25_NRA_model_for_NEMO2 (EMC Update) v0.26_NRA_model_for_NEMO2 (EMC Update) v0.29.3" xfId="951"/>
    <cellStyle name="%_NRA_model_for_NEMO2 (EMC Update) v0.20_NRA_model_for_NEMO2 (EMC Update) v0.25_NRA_model_for_NEMO2 (EMC Update) v0.26_NRA_model_for_NEMO2 (EMC Update) v0.29.3_NRA_model_for_NEMO2 (EMC Update) v0 30 1" xfId="954"/>
    <cellStyle name="%_NRA_model_for_NEMO2 (EMC Update) v0.20_NRA_model_for_NEMO2 (EMC Update) v0.25_NRA_model_for_NEMO2 (EMC Update) v0.26_NRA_model_for_NEMO2 (EMC Update) v0.29.3_NRA_model_for_NEMO2 (EMC Update) v0.29.5" xfId="952"/>
    <cellStyle name="%_NRA_model_for_NEMO2 (EMC Update) v0.20_NRA_model_for_NEMO2 (EMC Update) v0.25_NRA_model_for_NEMO2 (EMC Update) v0.26_NRA_model_for_NEMO2 (EMC Update) v0.29.3_NRA_model_for_NEMO2 (EMC Update) v0.29.5_NRA_model_for_NEMO2 (EMC Update) v0 30 1" xfId="953"/>
    <cellStyle name="%_NRA_model_for_NEMO2 (EMC Update) v0.20_NRA_model_for_NEMO2 (EMC Update) v0.25_NRA_model_for_NEMO2 (EMC Update) v0.26_NRA_model_for_NEMO2 (EMC Update) v0.29.4" xfId="955"/>
    <cellStyle name="%_NRA_model_for_NEMO2 (EMC Update) v0.20_NRA_model_for_NEMO2 (EMC Update) v0.25_NRA_model_for_NEMO2 (EMC Update) v0.26_NRA_model_for_NEMO2 (EMC Update) v0.29.4_NRA_model_for_NEMO2 (EMC Update) v0 30 1" xfId="958"/>
    <cellStyle name="%_NRA_model_for_NEMO2 (EMC Update) v0.20_NRA_model_for_NEMO2 (EMC Update) v0.25_NRA_model_for_NEMO2 (EMC Update) v0.26_NRA_model_for_NEMO2 (EMC Update) v0.29.4_NRA_model_for_NEMO2 (EMC Update) v0.29.5" xfId="956"/>
    <cellStyle name="%_NRA_model_for_NEMO2 (EMC Update) v0.20_NRA_model_for_NEMO2 (EMC Update) v0.25_NRA_model_for_NEMO2 (EMC Update) v0.26_NRA_model_for_NEMO2 (EMC Update) v0.29.4_NRA_model_for_NEMO2 (EMC Update) v0.29.5_NRA_model_for_NEMO2 (EMC Update) v0 30 1" xfId="957"/>
    <cellStyle name="%_NRA_model_for_NEMO2 (EMC Update) v0.20_NRA_model_for_NEMO2 (EMC Update) v0.25_NRA_model_for_NEMO2 (EMC Update) v0.26_NRA_model_for_NEMO2 (EMC Update) v0.29.5" xfId="959"/>
    <cellStyle name="%_NRA_model_for_NEMO2 (EMC Update) v0.20_NRA_model_for_NEMO2 (EMC Update) v0.25_NRA_model_for_NEMO2 (EMC Update) v0.26_NRA_model_for_NEMO2 (EMC Update) v0.29.5_NRA_model_for_NEMO2 (EMC Update) v0 30 1" xfId="960"/>
    <cellStyle name="%_NRA_model_for_NEMO2 (EMC Update) v0.20_NRA_model_for_NEMO2 (EMC Update) v0.25_NRA_model_for_NEMO2 (EMC Update) v0.26_NRA_model_for_NEMO2 (EMC Update) v0.29_NRA_model_for_NEMO2 (EMC Update) v0 30 1" xfId="974"/>
    <cellStyle name="%_NRA_model_for_NEMO2 (EMC Update) v0.20_NRA_model_for_NEMO2 (EMC Update) v0.25_NRA_model_for_NEMO2 (EMC Update) v0.26_NRA_model_for_NEMO2 (EMC Update) v0.29_NRA_model_for_NEMO2 (EMC Update) v0.29.2" xfId="961"/>
    <cellStyle name="%_NRA_model_for_NEMO2 (EMC Update) v0.20_NRA_model_for_NEMO2 (EMC Update) v0.25_NRA_model_for_NEMO2 (EMC Update) v0.26_NRA_model_for_NEMO2 (EMC Update) v0.29_NRA_model_for_NEMO2 (EMC Update) v0.29.2_NRA_model_for_NEMO2 (EMC Update) v0 30 1" xfId="965"/>
    <cellStyle name="%_NRA_model_for_NEMO2 (EMC Update) v0.20_NRA_model_for_NEMO2 (EMC Update) v0.25_NRA_model_for_NEMO2 (EMC Update) v0.26_NRA_model_for_NEMO2 (EMC Update) v0.29_NRA_model_for_NEMO2 (EMC Update) v0.29.2_NRA_model_for_NEMO2 (EMC Update) v0.29.3" xfId="962"/>
    <cellStyle name="%_NRA_model_for_NEMO2 (EMC Update) v0.20_NRA_model_for_NEMO2 (EMC Update) v0.25_NRA_model_for_NEMO2 (EMC Update) v0.26_NRA_model_for_NEMO2 (EMC Update) v0.29_NRA_model_for_NEMO2 (EMC Update) v0.29.2_NRA_model_for_NEMO2 (EMC Update) v0.29.4" xfId="963"/>
    <cellStyle name="%_NRA_model_for_NEMO2 (EMC Update) v0.20_NRA_model_for_NEMO2 (EMC Update) v0.25_NRA_model_for_NEMO2 (EMC Update) v0.26_NRA_model_for_NEMO2 (EMC Update) v0.29_NRA_model_for_NEMO2 (EMC Update) v0.29.2_NRA_model_for_NEMO2 (EMC Update) v0.29.5" xfId="964"/>
    <cellStyle name="%_NRA_model_for_NEMO2 (EMC Update) v0.20_NRA_model_for_NEMO2 (EMC Update) v0.25_NRA_model_for_NEMO2 (EMC Update) v0.26_NRA_model_for_NEMO2 (EMC Update) v0.29_NRA_model_for_NEMO2 (EMC Update) v0.29.3" xfId="966"/>
    <cellStyle name="%_NRA_model_for_NEMO2 (EMC Update) v0.20_NRA_model_for_NEMO2 (EMC Update) v0.25_NRA_model_for_NEMO2 (EMC Update) v0.26_NRA_model_for_NEMO2 (EMC Update) v0.29_NRA_model_for_NEMO2 (EMC Update) v0.29.3_NRA_model_for_NEMO2 (EMC Update) v0 30 1" xfId="968"/>
    <cellStyle name="%_NRA_model_for_NEMO2 (EMC Update) v0.20_NRA_model_for_NEMO2 (EMC Update) v0.25_NRA_model_for_NEMO2 (EMC Update) v0.26_NRA_model_for_NEMO2 (EMC Update) v0.29_NRA_model_for_NEMO2 (EMC Update) v0.29.3_NRA_model_for_NEMO2 (EMC Update) v0.29.5" xfId="967"/>
    <cellStyle name="%_NRA_model_for_NEMO2 (EMC Update) v0.20_NRA_model_for_NEMO2 (EMC Update) v0.25_NRA_model_for_NEMO2 (EMC Update) v0.26_NRA_model_for_NEMO2 (EMC Update) v0.29_NRA_model_for_NEMO2 (EMC Update) v0.29.4" xfId="969"/>
    <cellStyle name="%_NRA_model_for_NEMO2 (EMC Update) v0.20_NRA_model_for_NEMO2 (EMC Update) v0.25_NRA_model_for_NEMO2 (EMC Update) v0.26_NRA_model_for_NEMO2 (EMC Update) v0.29_NRA_model_for_NEMO2 (EMC Update) v0.29.4_NRA_model_for_NEMO2 (EMC Update) v0 30 1" xfId="971"/>
    <cellStyle name="%_NRA_model_for_NEMO2 (EMC Update) v0.20_NRA_model_for_NEMO2 (EMC Update) v0.25_NRA_model_for_NEMO2 (EMC Update) v0.26_NRA_model_for_NEMO2 (EMC Update) v0.29_NRA_model_for_NEMO2 (EMC Update) v0.29.4_NRA_model_for_NEMO2 (EMC Update) v0.29.5" xfId="970"/>
    <cellStyle name="%_NRA_model_for_NEMO2 (EMC Update) v0.20_NRA_model_for_NEMO2 (EMC Update) v0.25_NRA_model_for_NEMO2 (EMC Update) v0.26_NRA_model_for_NEMO2 (EMC Update) v0.29_NRA_model_for_NEMO2 (EMC Update) v0.29.5" xfId="972"/>
    <cellStyle name="%_NRA_model_for_NEMO2 (EMC Update) v0.20_NRA_model_for_NEMO2 (EMC Update) v0.25_NRA_model_for_NEMO2 (EMC Update) v0.26_NRA_model_for_NEMO2 (EMC Update) v0.29_NRA_model_for_NEMO2 (EMC Update) v0.29.5_NRA_model_for_NEMO2 (EMC Update) v0 30 1" xfId="973"/>
    <cellStyle name="%_NRA_model_for_NEMO2 (EMC Update) v0.20_NRA_model_for_NEMO2 (EMC Update) v0.25_NRA_model_for_NEMO2 (EMC Update) v0.29" xfId="976"/>
    <cellStyle name="%_NRA_model_for_NEMO2 (EMC Update) v0.20_NRA_model_for_NEMO2 (EMC Update) v0.25_NRA_model_for_NEMO2 (EMC Update) v0.29.2" xfId="977"/>
    <cellStyle name="%_NRA_model_for_NEMO2 (EMC Update) v0.20_NRA_model_for_NEMO2 (EMC Update) v0.25_NRA_model_for_NEMO2 (EMC Update) v0.29.2_NRA_model_for_NEMO2 (EMC Update) v0 30 1" xfId="988"/>
    <cellStyle name="%_NRA_model_for_NEMO2 (EMC Update) v0.20_NRA_model_for_NEMO2 (EMC Update) v0.25_NRA_model_for_NEMO2 (EMC Update) v0.29.2_NRA_model_for_NEMO2 (EMC Update) v0.29.3" xfId="978"/>
    <cellStyle name="%_NRA_model_for_NEMO2 (EMC Update) v0.20_NRA_model_for_NEMO2 (EMC Update) v0.25_NRA_model_for_NEMO2 (EMC Update) v0.29.2_NRA_model_for_NEMO2 (EMC Update) v0.29.3_NRA_model_for_NEMO2 (EMC Update) v0 30 1" xfId="981"/>
    <cellStyle name="%_NRA_model_for_NEMO2 (EMC Update) v0.20_NRA_model_for_NEMO2 (EMC Update) v0.25_NRA_model_for_NEMO2 (EMC Update) v0.29.2_NRA_model_for_NEMO2 (EMC Update) v0.29.3_NRA_model_for_NEMO2 (EMC Update) v0.29.5" xfId="979"/>
    <cellStyle name="%_NRA_model_for_NEMO2 (EMC Update) v0.20_NRA_model_for_NEMO2 (EMC Update) v0.25_NRA_model_for_NEMO2 (EMC Update) v0.29.2_NRA_model_for_NEMO2 (EMC Update) v0.29.3_NRA_model_for_NEMO2 (EMC Update) v0.29.5_NRA_model_for_NEMO2 (EMC Update) v0 30 1" xfId="980"/>
    <cellStyle name="%_NRA_model_for_NEMO2 (EMC Update) v0.20_NRA_model_for_NEMO2 (EMC Update) v0.25_NRA_model_for_NEMO2 (EMC Update) v0.29.2_NRA_model_for_NEMO2 (EMC Update) v0.29.4" xfId="982"/>
    <cellStyle name="%_NRA_model_for_NEMO2 (EMC Update) v0.20_NRA_model_for_NEMO2 (EMC Update) v0.25_NRA_model_for_NEMO2 (EMC Update) v0.29.2_NRA_model_for_NEMO2 (EMC Update) v0.29.4_NRA_model_for_NEMO2 (EMC Update) v0 30 1" xfId="985"/>
    <cellStyle name="%_NRA_model_for_NEMO2 (EMC Update) v0.20_NRA_model_for_NEMO2 (EMC Update) v0.25_NRA_model_for_NEMO2 (EMC Update) v0.29.2_NRA_model_for_NEMO2 (EMC Update) v0.29.4_NRA_model_for_NEMO2 (EMC Update) v0.29.5" xfId="983"/>
    <cellStyle name="%_NRA_model_for_NEMO2 (EMC Update) v0.20_NRA_model_for_NEMO2 (EMC Update) v0.25_NRA_model_for_NEMO2 (EMC Update) v0.29.2_NRA_model_for_NEMO2 (EMC Update) v0.29.4_NRA_model_for_NEMO2 (EMC Update) v0.29.5_NRA_model_for_NEMO2 (EMC Update) v0 30 1" xfId="984"/>
    <cellStyle name="%_NRA_model_for_NEMO2 (EMC Update) v0.20_NRA_model_for_NEMO2 (EMC Update) v0.25_NRA_model_for_NEMO2 (EMC Update) v0.29.2_NRA_model_for_NEMO2 (EMC Update) v0.29.5" xfId="986"/>
    <cellStyle name="%_NRA_model_for_NEMO2 (EMC Update) v0.20_NRA_model_for_NEMO2 (EMC Update) v0.25_NRA_model_for_NEMO2 (EMC Update) v0.29.2_NRA_model_for_NEMO2 (EMC Update) v0.29.5_NRA_model_for_NEMO2 (EMC Update) v0 30 1" xfId="987"/>
    <cellStyle name="%_NRA_model_for_NEMO2 (EMC Update) v0.20_NRA_model_for_NEMO2 (EMC Update) v0.25_NRA_model_for_NEMO2 (EMC Update) v0.29.3" xfId="989"/>
    <cellStyle name="%_NRA_model_for_NEMO2 (EMC Update) v0.20_NRA_model_for_NEMO2 (EMC Update) v0.25_NRA_model_for_NEMO2 (EMC Update) v0.29.3_NRA_model_for_NEMO2 (EMC Update) v0 30 1" xfId="992"/>
    <cellStyle name="%_NRA_model_for_NEMO2 (EMC Update) v0.20_NRA_model_for_NEMO2 (EMC Update) v0.25_NRA_model_for_NEMO2 (EMC Update) v0.29.3_NRA_model_for_NEMO2 (EMC Update) v0.29.5" xfId="990"/>
    <cellStyle name="%_NRA_model_for_NEMO2 (EMC Update) v0.20_NRA_model_for_NEMO2 (EMC Update) v0.25_NRA_model_for_NEMO2 (EMC Update) v0.29.3_NRA_model_for_NEMO2 (EMC Update) v0.29.5_NRA_model_for_NEMO2 (EMC Update) v0 30 1" xfId="991"/>
    <cellStyle name="%_NRA_model_for_NEMO2 (EMC Update) v0.20_NRA_model_for_NEMO2 (EMC Update) v0.25_NRA_model_for_NEMO2 (EMC Update) v0.29.4" xfId="993"/>
    <cellStyle name="%_NRA_model_for_NEMO2 (EMC Update) v0.20_NRA_model_for_NEMO2 (EMC Update) v0.25_NRA_model_for_NEMO2 (EMC Update) v0.29.4_NRA_model_for_NEMO2 (EMC Update) v0 30 1" xfId="996"/>
    <cellStyle name="%_NRA_model_for_NEMO2 (EMC Update) v0.20_NRA_model_for_NEMO2 (EMC Update) v0.25_NRA_model_for_NEMO2 (EMC Update) v0.29.4_NRA_model_for_NEMO2 (EMC Update) v0.29.5" xfId="994"/>
    <cellStyle name="%_NRA_model_for_NEMO2 (EMC Update) v0.20_NRA_model_for_NEMO2 (EMC Update) v0.25_NRA_model_for_NEMO2 (EMC Update) v0.29.4_NRA_model_for_NEMO2 (EMC Update) v0.29.5_NRA_model_for_NEMO2 (EMC Update) v0 30 1" xfId="995"/>
    <cellStyle name="%_NRA_model_for_NEMO2 (EMC Update) v0.20_NRA_model_for_NEMO2 (EMC Update) v0.25_NRA_model_for_NEMO2 (EMC Update) v0.29.5" xfId="997"/>
    <cellStyle name="%_NRA_model_for_NEMO2 (EMC Update) v0.20_NRA_model_for_NEMO2 (EMC Update) v0.25_NRA_model_for_NEMO2 (EMC Update) v0.29.5_NRA_model_for_NEMO2 (EMC Update) v0 30 1" xfId="998"/>
    <cellStyle name="%_NRA_model_for_NEMO2 (EMC Update) v0.20_NRA_model_for_NEMO2 (EMC Update) v0.25_NRA_model_for_NEMO2 (EMC Update) v0.29_NRA_model_for_NEMO2 (EMC Update) v0 30 1" xfId="1019"/>
    <cellStyle name="%_NRA_model_for_NEMO2 (EMC Update) v0.20_NRA_model_for_NEMO2 (EMC Update) v0.25_NRA_model_for_NEMO2 (EMC Update) v0.29_NRA_model_for_NEMO2 (EMC Update) v0.29.2" xfId="999"/>
    <cellStyle name="%_NRA_model_for_NEMO2 (EMC Update) v0.20_NRA_model_for_NEMO2 (EMC Update) v0.25_NRA_model_for_NEMO2 (EMC Update) v0.29_NRA_model_for_NEMO2 (EMC Update) v0.29.2_NRA_model_for_NEMO2 (EMC Update) v0 30 1" xfId="1008"/>
    <cellStyle name="%_NRA_model_for_NEMO2 (EMC Update) v0.20_NRA_model_for_NEMO2 (EMC Update) v0.25_NRA_model_for_NEMO2 (EMC Update) v0.29_NRA_model_for_NEMO2 (EMC Update) v0.29.2_NRA_model_for_NEMO2 (EMC Update) v0.29.3" xfId="1000"/>
    <cellStyle name="%_NRA_model_for_NEMO2 (EMC Update) v0.20_NRA_model_for_NEMO2 (EMC Update) v0.25_NRA_model_for_NEMO2 (EMC Update) v0.29_NRA_model_for_NEMO2 (EMC Update) v0.29.2_NRA_model_for_NEMO2 (EMC Update) v0.29.3_NRA_model_for_NEMO2 (EMC Update) v0 30 1" xfId="1002"/>
    <cellStyle name="%_NRA_model_for_NEMO2 (EMC Update) v0.20_NRA_model_for_NEMO2 (EMC Update) v0.25_NRA_model_for_NEMO2 (EMC Update) v0.29_NRA_model_for_NEMO2 (EMC Update) v0.29.2_NRA_model_for_NEMO2 (EMC Update) v0.29.3_NRA_model_for_NEMO2 (EMC Update) v0.29.5" xfId="1001"/>
    <cellStyle name="%_NRA_model_for_NEMO2 (EMC Update) v0.20_NRA_model_for_NEMO2 (EMC Update) v0.25_NRA_model_for_NEMO2 (EMC Update) v0.29_NRA_model_for_NEMO2 (EMC Update) v0.29.2_NRA_model_for_NEMO2 (EMC Update) v0.29.4" xfId="1003"/>
    <cellStyle name="%_NRA_model_for_NEMO2 (EMC Update) v0.20_NRA_model_for_NEMO2 (EMC Update) v0.25_NRA_model_for_NEMO2 (EMC Update) v0.29_NRA_model_for_NEMO2 (EMC Update) v0.29.2_NRA_model_for_NEMO2 (EMC Update) v0.29.4_NRA_model_for_NEMO2 (EMC Update) v0 30 1" xfId="1005"/>
    <cellStyle name="%_NRA_model_for_NEMO2 (EMC Update) v0.20_NRA_model_for_NEMO2 (EMC Update) v0.25_NRA_model_for_NEMO2 (EMC Update) v0.29_NRA_model_for_NEMO2 (EMC Update) v0.29.2_NRA_model_for_NEMO2 (EMC Update) v0.29.4_NRA_model_for_NEMO2 (EMC Update) v0.29.5" xfId="1004"/>
    <cellStyle name="%_NRA_model_for_NEMO2 (EMC Update) v0.20_NRA_model_for_NEMO2 (EMC Update) v0.25_NRA_model_for_NEMO2 (EMC Update) v0.29_NRA_model_for_NEMO2 (EMC Update) v0.29.2_NRA_model_for_NEMO2 (EMC Update) v0.29.5" xfId="1006"/>
    <cellStyle name="%_NRA_model_for_NEMO2 (EMC Update) v0.20_NRA_model_for_NEMO2 (EMC Update) v0.25_NRA_model_for_NEMO2 (EMC Update) v0.29_NRA_model_for_NEMO2 (EMC Update) v0.29.2_NRA_model_for_NEMO2 (EMC Update) v0.29.5_NRA_model_for_NEMO2 (EMC Update) v0 30 1" xfId="1007"/>
    <cellStyle name="%_NRA_model_for_NEMO2 (EMC Update) v0.20_NRA_model_for_NEMO2 (EMC Update) v0.25_NRA_model_for_NEMO2 (EMC Update) v0.29_NRA_model_for_NEMO2 (EMC Update) v0.29.3" xfId="1009"/>
    <cellStyle name="%_NRA_model_for_NEMO2 (EMC Update) v0.20_NRA_model_for_NEMO2 (EMC Update) v0.25_NRA_model_for_NEMO2 (EMC Update) v0.29_NRA_model_for_NEMO2 (EMC Update) v0.29.3_NRA_model_for_NEMO2 (EMC Update) v0 30 1" xfId="1012"/>
    <cellStyle name="%_NRA_model_for_NEMO2 (EMC Update) v0.20_NRA_model_for_NEMO2 (EMC Update) v0.25_NRA_model_for_NEMO2 (EMC Update) v0.29_NRA_model_for_NEMO2 (EMC Update) v0.29.3_NRA_model_for_NEMO2 (EMC Update) v0.29.5" xfId="1010"/>
    <cellStyle name="%_NRA_model_for_NEMO2 (EMC Update) v0.20_NRA_model_for_NEMO2 (EMC Update) v0.25_NRA_model_for_NEMO2 (EMC Update) v0.29_NRA_model_for_NEMO2 (EMC Update) v0.29.3_NRA_model_for_NEMO2 (EMC Update) v0.29.5_NRA_model_for_NEMO2 (EMC Update) v0 30 1" xfId="1011"/>
    <cellStyle name="%_NRA_model_for_NEMO2 (EMC Update) v0.20_NRA_model_for_NEMO2 (EMC Update) v0.25_NRA_model_for_NEMO2 (EMC Update) v0.29_NRA_model_for_NEMO2 (EMC Update) v0.29.4" xfId="1013"/>
    <cellStyle name="%_NRA_model_for_NEMO2 (EMC Update) v0.20_NRA_model_for_NEMO2 (EMC Update) v0.25_NRA_model_for_NEMO2 (EMC Update) v0.29_NRA_model_for_NEMO2 (EMC Update) v0.29.4_NRA_model_for_NEMO2 (EMC Update) v0 30 1" xfId="1016"/>
    <cellStyle name="%_NRA_model_for_NEMO2 (EMC Update) v0.20_NRA_model_for_NEMO2 (EMC Update) v0.25_NRA_model_for_NEMO2 (EMC Update) v0.29_NRA_model_for_NEMO2 (EMC Update) v0.29.4_NRA_model_for_NEMO2 (EMC Update) v0.29.5" xfId="1014"/>
    <cellStyle name="%_NRA_model_for_NEMO2 (EMC Update) v0.20_NRA_model_for_NEMO2 (EMC Update) v0.25_NRA_model_for_NEMO2 (EMC Update) v0.29_NRA_model_for_NEMO2 (EMC Update) v0.29.4_NRA_model_for_NEMO2 (EMC Update) v0.29.5_NRA_model_for_NEMO2 (EMC Update) v0 30 1" xfId="1015"/>
    <cellStyle name="%_NRA_model_for_NEMO2 (EMC Update) v0.20_NRA_model_for_NEMO2 (EMC Update) v0.25_NRA_model_for_NEMO2 (EMC Update) v0.29_NRA_model_for_NEMO2 (EMC Update) v0.29.5" xfId="1017"/>
    <cellStyle name="%_NRA_model_for_NEMO2 (EMC Update) v0.20_NRA_model_for_NEMO2 (EMC Update) v0.25_NRA_model_for_NEMO2 (EMC Update) v0.29_NRA_model_for_NEMO2 (EMC Update) v0.29.5_NRA_model_for_NEMO2 (EMC Update) v0 30 1" xfId="1018"/>
    <cellStyle name="%_NRA_model_for_NEMO2 (EMC Update) v0.20_NRA_model_for_NEMO2 (EMC Update) v0.26" xfId="1021"/>
    <cellStyle name="%_NRA_model_for_NEMO2 (EMC Update) v0.20_NRA_model_for_NEMO2 (EMC Update) v0.26_NRA_model_for_NEMO2 (EMC Update) v0 30 1" xfId="1066"/>
    <cellStyle name="%_NRA_model_for_NEMO2 (EMC Update) v0.20_NRA_model_for_NEMO2 (EMC Update) v0.26_NRA_model_for_NEMO2 (EMC Update) v0.29" xfId="1022"/>
    <cellStyle name="%_NRA_model_for_NEMO2 (EMC Update) v0.20_NRA_model_for_NEMO2 (EMC Update) v0.26_NRA_model_for_NEMO2 (EMC Update) v0.29.2" xfId="1023"/>
    <cellStyle name="%_NRA_model_for_NEMO2 (EMC Update) v0.20_NRA_model_for_NEMO2 (EMC Update) v0.26_NRA_model_for_NEMO2 (EMC Update) v0.29.2_NRA_model_for_NEMO2 (EMC Update) v0 30 1" xfId="1034"/>
    <cellStyle name="%_NRA_model_for_NEMO2 (EMC Update) v0.20_NRA_model_for_NEMO2 (EMC Update) v0.26_NRA_model_for_NEMO2 (EMC Update) v0.29.2_NRA_model_for_NEMO2 (EMC Update) v0.29.3" xfId="1024"/>
    <cellStyle name="%_NRA_model_for_NEMO2 (EMC Update) v0.20_NRA_model_for_NEMO2 (EMC Update) v0.26_NRA_model_for_NEMO2 (EMC Update) v0.29.2_NRA_model_for_NEMO2 (EMC Update) v0.29.3_NRA_model_for_NEMO2 (EMC Update) v0 30 1" xfId="1027"/>
    <cellStyle name="%_NRA_model_for_NEMO2 (EMC Update) v0.20_NRA_model_for_NEMO2 (EMC Update) v0.26_NRA_model_for_NEMO2 (EMC Update) v0.29.2_NRA_model_for_NEMO2 (EMC Update) v0.29.3_NRA_model_for_NEMO2 (EMC Update) v0.29.5" xfId="1025"/>
    <cellStyle name="%_NRA_model_for_NEMO2 (EMC Update) v0.20_NRA_model_for_NEMO2 (EMC Update) v0.26_NRA_model_for_NEMO2 (EMC Update) v0.29.2_NRA_model_for_NEMO2 (EMC Update) v0.29.3_NRA_model_for_NEMO2 (EMC Update) v0.29.5_NRA_model_for_NEMO2 (EMC Update) v0 30 1" xfId="1026"/>
    <cellStyle name="%_NRA_model_for_NEMO2 (EMC Update) v0.20_NRA_model_for_NEMO2 (EMC Update) v0.26_NRA_model_for_NEMO2 (EMC Update) v0.29.2_NRA_model_for_NEMO2 (EMC Update) v0.29.4" xfId="1028"/>
    <cellStyle name="%_NRA_model_for_NEMO2 (EMC Update) v0.20_NRA_model_for_NEMO2 (EMC Update) v0.26_NRA_model_for_NEMO2 (EMC Update) v0.29.2_NRA_model_for_NEMO2 (EMC Update) v0.29.4_NRA_model_for_NEMO2 (EMC Update) v0 30 1" xfId="1031"/>
    <cellStyle name="%_NRA_model_for_NEMO2 (EMC Update) v0.20_NRA_model_for_NEMO2 (EMC Update) v0.26_NRA_model_for_NEMO2 (EMC Update) v0.29.2_NRA_model_for_NEMO2 (EMC Update) v0.29.4_NRA_model_for_NEMO2 (EMC Update) v0.29.5" xfId="1029"/>
    <cellStyle name="%_NRA_model_for_NEMO2 (EMC Update) v0.20_NRA_model_for_NEMO2 (EMC Update) v0.26_NRA_model_for_NEMO2 (EMC Update) v0.29.2_NRA_model_for_NEMO2 (EMC Update) v0.29.4_NRA_model_for_NEMO2 (EMC Update) v0.29.5_NRA_model_for_NEMO2 (EMC Update) v0 30 1" xfId="1030"/>
    <cellStyle name="%_NRA_model_for_NEMO2 (EMC Update) v0.20_NRA_model_for_NEMO2 (EMC Update) v0.26_NRA_model_for_NEMO2 (EMC Update) v0.29.2_NRA_model_for_NEMO2 (EMC Update) v0.29.5" xfId="1032"/>
    <cellStyle name="%_NRA_model_for_NEMO2 (EMC Update) v0.20_NRA_model_for_NEMO2 (EMC Update) v0.26_NRA_model_for_NEMO2 (EMC Update) v0.29.2_NRA_model_for_NEMO2 (EMC Update) v0.29.5_NRA_model_for_NEMO2 (EMC Update) v0 30 1" xfId="1033"/>
    <cellStyle name="%_NRA_model_for_NEMO2 (EMC Update) v0.20_NRA_model_for_NEMO2 (EMC Update) v0.26_NRA_model_for_NEMO2 (EMC Update) v0.29.3" xfId="1035"/>
    <cellStyle name="%_NRA_model_for_NEMO2 (EMC Update) v0.20_NRA_model_for_NEMO2 (EMC Update) v0.26_NRA_model_for_NEMO2 (EMC Update) v0.29.3_NRA_model_for_NEMO2 (EMC Update) v0 30 1" xfId="1038"/>
    <cellStyle name="%_NRA_model_for_NEMO2 (EMC Update) v0.20_NRA_model_for_NEMO2 (EMC Update) v0.26_NRA_model_for_NEMO2 (EMC Update) v0.29.3_NRA_model_for_NEMO2 (EMC Update) v0.29.5" xfId="1036"/>
    <cellStyle name="%_NRA_model_for_NEMO2 (EMC Update) v0.20_NRA_model_for_NEMO2 (EMC Update) v0.26_NRA_model_for_NEMO2 (EMC Update) v0.29.3_NRA_model_for_NEMO2 (EMC Update) v0.29.5_NRA_model_for_NEMO2 (EMC Update) v0 30 1" xfId="1037"/>
    <cellStyle name="%_NRA_model_for_NEMO2 (EMC Update) v0.20_NRA_model_for_NEMO2 (EMC Update) v0.26_NRA_model_for_NEMO2 (EMC Update) v0.29.4" xfId="1039"/>
    <cellStyle name="%_NRA_model_for_NEMO2 (EMC Update) v0.20_NRA_model_for_NEMO2 (EMC Update) v0.26_NRA_model_for_NEMO2 (EMC Update) v0.29.4_NRA_model_for_NEMO2 (EMC Update) v0 30 1" xfId="1042"/>
    <cellStyle name="%_NRA_model_for_NEMO2 (EMC Update) v0.20_NRA_model_for_NEMO2 (EMC Update) v0.26_NRA_model_for_NEMO2 (EMC Update) v0.29.4_NRA_model_for_NEMO2 (EMC Update) v0.29.5" xfId="1040"/>
    <cellStyle name="%_NRA_model_for_NEMO2 (EMC Update) v0.20_NRA_model_for_NEMO2 (EMC Update) v0.26_NRA_model_for_NEMO2 (EMC Update) v0.29.4_NRA_model_for_NEMO2 (EMC Update) v0.29.5_NRA_model_for_NEMO2 (EMC Update) v0 30 1" xfId="1041"/>
    <cellStyle name="%_NRA_model_for_NEMO2 (EMC Update) v0.20_NRA_model_for_NEMO2 (EMC Update) v0.26_NRA_model_for_NEMO2 (EMC Update) v0.29.5" xfId="1043"/>
    <cellStyle name="%_NRA_model_for_NEMO2 (EMC Update) v0.20_NRA_model_for_NEMO2 (EMC Update) v0.26_NRA_model_for_NEMO2 (EMC Update) v0.29.5_NRA_model_for_NEMO2 (EMC Update) v0 30 1" xfId="1044"/>
    <cellStyle name="%_NRA_model_for_NEMO2 (EMC Update) v0.20_NRA_model_for_NEMO2 (EMC Update) v0.26_NRA_model_for_NEMO2 (EMC Update) v0.29_NRA_model_for_NEMO2 (EMC Update) v0 30 1" xfId="1065"/>
    <cellStyle name="%_NRA_model_for_NEMO2 (EMC Update) v0.20_NRA_model_for_NEMO2 (EMC Update) v0.26_NRA_model_for_NEMO2 (EMC Update) v0.29_NRA_model_for_NEMO2 (EMC Update) v0.29.2" xfId="1045"/>
    <cellStyle name="%_NRA_model_for_NEMO2 (EMC Update) v0.20_NRA_model_for_NEMO2 (EMC Update) v0.26_NRA_model_for_NEMO2 (EMC Update) v0.29_NRA_model_for_NEMO2 (EMC Update) v0.29.2_NRA_model_for_NEMO2 (EMC Update) v0 30 1" xfId="1054"/>
    <cellStyle name="%_NRA_model_for_NEMO2 (EMC Update) v0.20_NRA_model_for_NEMO2 (EMC Update) v0.26_NRA_model_for_NEMO2 (EMC Update) v0.29_NRA_model_for_NEMO2 (EMC Update) v0.29.2_NRA_model_for_NEMO2 (EMC Update) v0.29.3" xfId="1046"/>
    <cellStyle name="%_NRA_model_for_NEMO2 (EMC Update) v0.20_NRA_model_for_NEMO2 (EMC Update) v0.26_NRA_model_for_NEMO2 (EMC Update) v0.29_NRA_model_for_NEMO2 (EMC Update) v0.29.2_NRA_model_for_NEMO2 (EMC Update) v0.29.3_NRA_model_for_NEMO2 (EMC Update) v0 30 1" xfId="1048"/>
    <cellStyle name="%_NRA_model_for_NEMO2 (EMC Update) v0.20_NRA_model_for_NEMO2 (EMC Update) v0.26_NRA_model_for_NEMO2 (EMC Update) v0.29_NRA_model_for_NEMO2 (EMC Update) v0.29.2_NRA_model_for_NEMO2 (EMC Update) v0.29.3_NRA_model_for_NEMO2 (EMC Update) v0.29.5" xfId="1047"/>
    <cellStyle name="%_NRA_model_for_NEMO2 (EMC Update) v0.20_NRA_model_for_NEMO2 (EMC Update) v0.26_NRA_model_for_NEMO2 (EMC Update) v0.29_NRA_model_for_NEMO2 (EMC Update) v0.29.2_NRA_model_for_NEMO2 (EMC Update) v0.29.4" xfId="1049"/>
    <cellStyle name="%_NRA_model_for_NEMO2 (EMC Update) v0.20_NRA_model_for_NEMO2 (EMC Update) v0.26_NRA_model_for_NEMO2 (EMC Update) v0.29_NRA_model_for_NEMO2 (EMC Update) v0.29.2_NRA_model_for_NEMO2 (EMC Update) v0.29.4_NRA_model_for_NEMO2 (EMC Update) v0 30 1" xfId="1051"/>
    <cellStyle name="%_NRA_model_for_NEMO2 (EMC Update) v0.20_NRA_model_for_NEMO2 (EMC Update) v0.26_NRA_model_for_NEMO2 (EMC Update) v0.29_NRA_model_for_NEMO2 (EMC Update) v0.29.2_NRA_model_for_NEMO2 (EMC Update) v0.29.4_NRA_model_for_NEMO2 (EMC Update) v0.29.5" xfId="1050"/>
    <cellStyle name="%_NRA_model_for_NEMO2 (EMC Update) v0.20_NRA_model_for_NEMO2 (EMC Update) v0.26_NRA_model_for_NEMO2 (EMC Update) v0.29_NRA_model_for_NEMO2 (EMC Update) v0.29.2_NRA_model_for_NEMO2 (EMC Update) v0.29.5" xfId="1052"/>
    <cellStyle name="%_NRA_model_for_NEMO2 (EMC Update) v0.20_NRA_model_for_NEMO2 (EMC Update) v0.26_NRA_model_for_NEMO2 (EMC Update) v0.29_NRA_model_for_NEMO2 (EMC Update) v0.29.2_NRA_model_for_NEMO2 (EMC Update) v0.29.5_NRA_model_for_NEMO2 (EMC Update) v0 30 1" xfId="1053"/>
    <cellStyle name="%_NRA_model_for_NEMO2 (EMC Update) v0.20_NRA_model_for_NEMO2 (EMC Update) v0.26_NRA_model_for_NEMO2 (EMC Update) v0.29_NRA_model_for_NEMO2 (EMC Update) v0.29.3" xfId="1055"/>
    <cellStyle name="%_NRA_model_for_NEMO2 (EMC Update) v0.20_NRA_model_for_NEMO2 (EMC Update) v0.26_NRA_model_for_NEMO2 (EMC Update) v0.29_NRA_model_for_NEMO2 (EMC Update) v0.29.3_NRA_model_for_NEMO2 (EMC Update) v0 30 1" xfId="1058"/>
    <cellStyle name="%_NRA_model_for_NEMO2 (EMC Update) v0.20_NRA_model_for_NEMO2 (EMC Update) v0.26_NRA_model_for_NEMO2 (EMC Update) v0.29_NRA_model_for_NEMO2 (EMC Update) v0.29.3_NRA_model_for_NEMO2 (EMC Update) v0.29.5" xfId="1056"/>
    <cellStyle name="%_NRA_model_for_NEMO2 (EMC Update) v0.20_NRA_model_for_NEMO2 (EMC Update) v0.26_NRA_model_for_NEMO2 (EMC Update) v0.29_NRA_model_for_NEMO2 (EMC Update) v0.29.3_NRA_model_for_NEMO2 (EMC Update) v0.29.5_NRA_model_for_NEMO2 (EMC Update) v0 30 1" xfId="1057"/>
    <cellStyle name="%_NRA_model_for_NEMO2 (EMC Update) v0.20_NRA_model_for_NEMO2 (EMC Update) v0.26_NRA_model_for_NEMO2 (EMC Update) v0.29_NRA_model_for_NEMO2 (EMC Update) v0.29.4" xfId="1059"/>
    <cellStyle name="%_NRA_model_for_NEMO2 (EMC Update) v0.20_NRA_model_for_NEMO2 (EMC Update) v0.26_NRA_model_for_NEMO2 (EMC Update) v0.29_NRA_model_for_NEMO2 (EMC Update) v0.29.4_NRA_model_for_NEMO2 (EMC Update) v0 30 1" xfId="1062"/>
    <cellStyle name="%_NRA_model_for_NEMO2 (EMC Update) v0.20_NRA_model_for_NEMO2 (EMC Update) v0.26_NRA_model_for_NEMO2 (EMC Update) v0.29_NRA_model_for_NEMO2 (EMC Update) v0.29.4_NRA_model_for_NEMO2 (EMC Update) v0.29.5" xfId="1060"/>
    <cellStyle name="%_NRA_model_for_NEMO2 (EMC Update) v0.20_NRA_model_for_NEMO2 (EMC Update) v0.26_NRA_model_for_NEMO2 (EMC Update) v0.29_NRA_model_for_NEMO2 (EMC Update) v0.29.4_NRA_model_for_NEMO2 (EMC Update) v0.29.5_NRA_model_for_NEMO2 (EMC Update) v0 30 1" xfId="1061"/>
    <cellStyle name="%_NRA_model_for_NEMO2 (EMC Update) v0.20_NRA_model_for_NEMO2 (EMC Update) v0.26_NRA_model_for_NEMO2 (EMC Update) v0.29_NRA_model_for_NEMO2 (EMC Update) v0.29.5" xfId="1063"/>
    <cellStyle name="%_NRA_model_for_NEMO2 (EMC Update) v0.20_NRA_model_for_NEMO2 (EMC Update) v0.26_NRA_model_for_NEMO2 (EMC Update) v0.29_NRA_model_for_NEMO2 (EMC Update) v0.29.5_NRA_model_for_NEMO2 (EMC Update) v0 30 1" xfId="1064"/>
    <cellStyle name="%_NRA_model_for_NEMO2 (EMC Update) v0.20_NRA_model_for_NEMO2 (EMC Update) v0.29" xfId="1067"/>
    <cellStyle name="%_NRA_model_for_NEMO2 (EMC Update) v0.20_NRA_model_for_NEMO2 (EMC Update) v0.29.2" xfId="1068"/>
    <cellStyle name="%_NRA_model_for_NEMO2 (EMC Update) v0.20_NRA_model_for_NEMO2 (EMC Update) v0.29.2_NRA_model_for_NEMO2 (EMC Update) v0 30 1" xfId="1079"/>
    <cellStyle name="%_NRA_model_for_NEMO2 (EMC Update) v0.20_NRA_model_for_NEMO2 (EMC Update) v0.29.2_NRA_model_for_NEMO2 (EMC Update) v0.29.3" xfId="1069"/>
    <cellStyle name="%_NRA_model_for_NEMO2 (EMC Update) v0.20_NRA_model_for_NEMO2 (EMC Update) v0.29.2_NRA_model_for_NEMO2 (EMC Update) v0.29.3_NRA_model_for_NEMO2 (EMC Update) v0 30 1" xfId="1072"/>
    <cellStyle name="%_NRA_model_for_NEMO2 (EMC Update) v0.20_NRA_model_for_NEMO2 (EMC Update) v0.29.2_NRA_model_for_NEMO2 (EMC Update) v0.29.3_NRA_model_for_NEMO2 (EMC Update) v0.29.5" xfId="1070"/>
    <cellStyle name="%_NRA_model_for_NEMO2 (EMC Update) v0.20_NRA_model_for_NEMO2 (EMC Update) v0.29.2_NRA_model_for_NEMO2 (EMC Update) v0.29.3_NRA_model_for_NEMO2 (EMC Update) v0.29.5_NRA_model_for_NEMO2 (EMC Update) v0 30 1" xfId="1071"/>
    <cellStyle name="%_NRA_model_for_NEMO2 (EMC Update) v0.20_NRA_model_for_NEMO2 (EMC Update) v0.29.2_NRA_model_for_NEMO2 (EMC Update) v0.29.4" xfId="1073"/>
    <cellStyle name="%_NRA_model_for_NEMO2 (EMC Update) v0.20_NRA_model_for_NEMO2 (EMC Update) v0.29.2_NRA_model_for_NEMO2 (EMC Update) v0.29.4_NRA_model_for_NEMO2 (EMC Update) v0 30 1" xfId="1076"/>
    <cellStyle name="%_NRA_model_for_NEMO2 (EMC Update) v0.20_NRA_model_for_NEMO2 (EMC Update) v0.29.2_NRA_model_for_NEMO2 (EMC Update) v0.29.4_NRA_model_for_NEMO2 (EMC Update) v0.29.5" xfId="1074"/>
    <cellStyle name="%_NRA_model_for_NEMO2 (EMC Update) v0.20_NRA_model_for_NEMO2 (EMC Update) v0.29.2_NRA_model_for_NEMO2 (EMC Update) v0.29.4_NRA_model_for_NEMO2 (EMC Update) v0.29.5_NRA_model_for_NEMO2 (EMC Update) v0 30 1" xfId="1075"/>
    <cellStyle name="%_NRA_model_for_NEMO2 (EMC Update) v0.20_NRA_model_for_NEMO2 (EMC Update) v0.29.2_NRA_model_for_NEMO2 (EMC Update) v0.29.5" xfId="1077"/>
    <cellStyle name="%_NRA_model_for_NEMO2 (EMC Update) v0.20_NRA_model_for_NEMO2 (EMC Update) v0.29.2_NRA_model_for_NEMO2 (EMC Update) v0.29.5_NRA_model_for_NEMO2 (EMC Update) v0 30 1" xfId="1078"/>
    <cellStyle name="%_NRA_model_for_NEMO2 (EMC Update) v0.20_NRA_model_for_NEMO2 (EMC Update) v0.29.3" xfId="1080"/>
    <cellStyle name="%_NRA_model_for_NEMO2 (EMC Update) v0.20_NRA_model_for_NEMO2 (EMC Update) v0.29.3_NRA_model_for_NEMO2 (EMC Update) v0 30 1" xfId="1083"/>
    <cellStyle name="%_NRA_model_for_NEMO2 (EMC Update) v0.20_NRA_model_for_NEMO2 (EMC Update) v0.29.3_NRA_model_for_NEMO2 (EMC Update) v0.29.5" xfId="1081"/>
    <cellStyle name="%_NRA_model_for_NEMO2 (EMC Update) v0.20_NRA_model_for_NEMO2 (EMC Update) v0.29.3_NRA_model_for_NEMO2 (EMC Update) v0.29.5_NRA_model_for_NEMO2 (EMC Update) v0 30 1" xfId="1082"/>
    <cellStyle name="%_NRA_model_for_NEMO2 (EMC Update) v0.20_NRA_model_for_NEMO2 (EMC Update) v0.29.4" xfId="1084"/>
    <cellStyle name="%_NRA_model_for_NEMO2 (EMC Update) v0.20_NRA_model_for_NEMO2 (EMC Update) v0.29.4_NRA_model_for_NEMO2 (EMC Update) v0 30 1" xfId="1087"/>
    <cellStyle name="%_NRA_model_for_NEMO2 (EMC Update) v0.20_NRA_model_for_NEMO2 (EMC Update) v0.29.4_NRA_model_for_NEMO2 (EMC Update) v0.29.5" xfId="1085"/>
    <cellStyle name="%_NRA_model_for_NEMO2 (EMC Update) v0.20_NRA_model_for_NEMO2 (EMC Update) v0.29.4_NRA_model_for_NEMO2 (EMC Update) v0.29.5_NRA_model_for_NEMO2 (EMC Update) v0 30 1" xfId="1086"/>
    <cellStyle name="%_NRA_model_for_NEMO2 (EMC Update) v0.20_NRA_model_for_NEMO2 (EMC Update) v0.29.5" xfId="1088"/>
    <cellStyle name="%_NRA_model_for_NEMO2 (EMC Update) v0.20_NRA_model_for_NEMO2 (EMC Update) v0.29.5_NRA_model_for_NEMO2 (EMC Update) v0 30 1" xfId="1089"/>
    <cellStyle name="%_NRA_model_for_NEMO2 (EMC Update) v0.20_NRA_model_for_NEMO2 (EMC Update) v0.29_NRA_model_for_NEMO2 (EMC Update) v0 30 1" xfId="1112"/>
    <cellStyle name="%_NRA_model_for_NEMO2 (EMC Update) v0.20_NRA_model_for_NEMO2 (EMC Update) v0.29_NRA_model_for_NEMO2 (EMC Update) v0.29.2" xfId="1090"/>
    <cellStyle name="%_NRA_model_for_NEMO2 (EMC Update) v0.20_NRA_model_for_NEMO2 (EMC Update) v0.29_NRA_model_for_NEMO2 (EMC Update) v0.29.2_NRA_model_for_NEMO2 (EMC Update) v0 30 1" xfId="1101"/>
    <cellStyle name="%_NRA_model_for_NEMO2 (EMC Update) v0.20_NRA_model_for_NEMO2 (EMC Update) v0.29_NRA_model_for_NEMO2 (EMC Update) v0.29.2_NRA_model_for_NEMO2 (EMC Update) v0.29.3" xfId="1091"/>
    <cellStyle name="%_NRA_model_for_NEMO2 (EMC Update) v0.20_NRA_model_for_NEMO2 (EMC Update) v0.29_NRA_model_for_NEMO2 (EMC Update) v0.29.2_NRA_model_for_NEMO2 (EMC Update) v0.29.3_NRA_model_for_NEMO2 (EMC Update) v0 30 1" xfId="1094"/>
    <cellStyle name="%_NRA_model_for_NEMO2 (EMC Update) v0.20_NRA_model_for_NEMO2 (EMC Update) v0.29_NRA_model_for_NEMO2 (EMC Update) v0.29.2_NRA_model_for_NEMO2 (EMC Update) v0.29.3_NRA_model_for_NEMO2 (EMC Update) v0.29.5" xfId="1092"/>
    <cellStyle name="%_NRA_model_for_NEMO2 (EMC Update) v0.20_NRA_model_for_NEMO2 (EMC Update) v0.29_NRA_model_for_NEMO2 (EMC Update) v0.29.2_NRA_model_for_NEMO2 (EMC Update) v0.29.3_NRA_model_for_NEMO2 (EMC Update) v0.29.5_NRA_model_for_NEMO2 (EMC Update) v0 30 1" xfId="1093"/>
    <cellStyle name="%_NRA_model_for_NEMO2 (EMC Update) v0.20_NRA_model_for_NEMO2 (EMC Update) v0.29_NRA_model_for_NEMO2 (EMC Update) v0.29.2_NRA_model_for_NEMO2 (EMC Update) v0.29.4" xfId="1095"/>
    <cellStyle name="%_NRA_model_for_NEMO2 (EMC Update) v0.20_NRA_model_for_NEMO2 (EMC Update) v0.29_NRA_model_for_NEMO2 (EMC Update) v0.29.2_NRA_model_for_NEMO2 (EMC Update) v0.29.4_NRA_model_for_NEMO2 (EMC Update) v0 30 1" xfId="1098"/>
    <cellStyle name="%_NRA_model_for_NEMO2 (EMC Update) v0.20_NRA_model_for_NEMO2 (EMC Update) v0.29_NRA_model_for_NEMO2 (EMC Update) v0.29.2_NRA_model_for_NEMO2 (EMC Update) v0.29.4_NRA_model_for_NEMO2 (EMC Update) v0.29.5" xfId="1096"/>
    <cellStyle name="%_NRA_model_for_NEMO2 (EMC Update) v0.20_NRA_model_for_NEMO2 (EMC Update) v0.29_NRA_model_for_NEMO2 (EMC Update) v0.29.2_NRA_model_for_NEMO2 (EMC Update) v0.29.4_NRA_model_for_NEMO2 (EMC Update) v0.29.5_NRA_model_for_NEMO2 (EMC Update) v0 30 1" xfId="1097"/>
    <cellStyle name="%_NRA_model_for_NEMO2 (EMC Update) v0.20_NRA_model_for_NEMO2 (EMC Update) v0.29_NRA_model_for_NEMO2 (EMC Update) v0.29.2_NRA_model_for_NEMO2 (EMC Update) v0.29.5" xfId="1099"/>
    <cellStyle name="%_NRA_model_for_NEMO2 (EMC Update) v0.20_NRA_model_for_NEMO2 (EMC Update) v0.29_NRA_model_for_NEMO2 (EMC Update) v0.29.2_NRA_model_for_NEMO2 (EMC Update) v0.29.5_NRA_model_for_NEMO2 (EMC Update) v0 30 1" xfId="1100"/>
    <cellStyle name="%_NRA_model_for_NEMO2 (EMC Update) v0.20_NRA_model_for_NEMO2 (EMC Update) v0.29_NRA_model_for_NEMO2 (EMC Update) v0.29.3" xfId="1102"/>
    <cellStyle name="%_NRA_model_for_NEMO2 (EMC Update) v0.20_NRA_model_for_NEMO2 (EMC Update) v0.29_NRA_model_for_NEMO2 (EMC Update) v0.29.3_NRA_model_for_NEMO2 (EMC Update) v0 30 1" xfId="1105"/>
    <cellStyle name="%_NRA_model_for_NEMO2 (EMC Update) v0.20_NRA_model_for_NEMO2 (EMC Update) v0.29_NRA_model_for_NEMO2 (EMC Update) v0.29.3_NRA_model_for_NEMO2 (EMC Update) v0.29.5" xfId="1103"/>
    <cellStyle name="%_NRA_model_for_NEMO2 (EMC Update) v0.20_NRA_model_for_NEMO2 (EMC Update) v0.29_NRA_model_for_NEMO2 (EMC Update) v0.29.3_NRA_model_for_NEMO2 (EMC Update) v0.29.5_NRA_model_for_NEMO2 (EMC Update) v0 30 1" xfId="1104"/>
    <cellStyle name="%_NRA_model_for_NEMO2 (EMC Update) v0.20_NRA_model_for_NEMO2 (EMC Update) v0.29_NRA_model_for_NEMO2 (EMC Update) v0.29.4" xfId="1106"/>
    <cellStyle name="%_NRA_model_for_NEMO2 (EMC Update) v0.20_NRA_model_for_NEMO2 (EMC Update) v0.29_NRA_model_for_NEMO2 (EMC Update) v0.29.4_NRA_model_for_NEMO2 (EMC Update) v0 30 1" xfId="1109"/>
    <cellStyle name="%_NRA_model_for_NEMO2 (EMC Update) v0.20_NRA_model_for_NEMO2 (EMC Update) v0.29_NRA_model_for_NEMO2 (EMC Update) v0.29.4_NRA_model_for_NEMO2 (EMC Update) v0.29.5" xfId="1107"/>
    <cellStyle name="%_NRA_model_for_NEMO2 (EMC Update) v0.20_NRA_model_for_NEMO2 (EMC Update) v0.29_NRA_model_for_NEMO2 (EMC Update) v0.29.4_NRA_model_for_NEMO2 (EMC Update) v0.29.5_NRA_model_for_NEMO2 (EMC Update) v0 30 1" xfId="1108"/>
    <cellStyle name="%_NRA_model_for_NEMO2 (EMC Update) v0.20_NRA_model_for_NEMO2 (EMC Update) v0.29_NRA_model_for_NEMO2 (EMC Update) v0.29.5" xfId="1110"/>
    <cellStyle name="%_NRA_model_for_NEMO2 (EMC Update) v0.20_NRA_model_for_NEMO2 (EMC Update) v0.29_NRA_model_for_NEMO2 (EMC Update) v0.29.5_NRA_model_for_NEMO2 (EMC Update) v0 30 1" xfId="1111"/>
    <cellStyle name="%_NRA_model_for_NEMO2 (EMC Update) v0.21" xfId="1114"/>
    <cellStyle name="%_NRA_model_for_NEMO2 (EMC Update) v0.21_NRA_model_for_NEMO2 (EMC Update) v0 30 1" xfId="1431"/>
    <cellStyle name="%_NRA_model_for_NEMO2 (EMC Update) v0.21_NRA_model_for_NEMO2 (EMC Update) v0.22" xfId="1115"/>
    <cellStyle name="%_NRA_model_for_NEMO2 (EMC Update) v0.21_NRA_model_for_NEMO2 (EMC Update) v0.22_NRA_model_for_NEMO2 (EMC Update) v0 30 1" xfId="1255"/>
    <cellStyle name="%_NRA_model_for_NEMO2 (EMC Update) v0.21_NRA_model_for_NEMO2 (EMC Update) v0.22_NRA_model_for_NEMO2 (EMC Update) v0.25" xfId="1116"/>
    <cellStyle name="%_NRA_model_for_NEMO2 (EMC Update) v0.21_NRA_model_for_NEMO2 (EMC Update) v0.22_NRA_model_for_NEMO2 (EMC Update) v0.25_NRA_model_for_NEMO2 (EMC Update) v0 30 1" xfId="1173"/>
    <cellStyle name="%_NRA_model_for_NEMO2 (EMC Update) v0.21_NRA_model_for_NEMO2 (EMC Update) v0.22_NRA_model_for_NEMO2 (EMC Update) v0.25_NRA_model_for_NEMO2 (EMC Update) v0.26" xfId="1117"/>
    <cellStyle name="%_NRA_model_for_NEMO2 (EMC Update) v0.21_NRA_model_for_NEMO2 (EMC Update) v0.22_NRA_model_for_NEMO2 (EMC Update) v0.25_NRA_model_for_NEMO2 (EMC Update) v0.26_NRA_model_for_NEMO2 (EMC Update) v0 30 1" xfId="1137"/>
    <cellStyle name="%_NRA_model_for_NEMO2 (EMC Update) v0.21_NRA_model_for_NEMO2 (EMC Update) v0.22_NRA_model_for_NEMO2 (EMC Update) v0.25_NRA_model_for_NEMO2 (EMC Update) v0.26_NRA_model_for_NEMO2 (EMC Update) v0.29" xfId="1118"/>
    <cellStyle name="%_NRA_model_for_NEMO2 (EMC Update) v0.21_NRA_model_for_NEMO2 (EMC Update) v0.22_NRA_model_for_NEMO2 (EMC Update) v0.25_NRA_model_for_NEMO2 (EMC Update) v0.26_NRA_model_for_NEMO2 (EMC Update) v0.29.2" xfId="1119"/>
    <cellStyle name="%_NRA_model_for_NEMO2 (EMC Update) v0.21_NRA_model_for_NEMO2 (EMC Update) v0.22_NRA_model_for_NEMO2 (EMC Update) v0.25_NRA_model_for_NEMO2 (EMC Update) v0.26_NRA_model_for_NEMO2 (EMC Update) v0.29.2_NRA_model_for_NEMO2 (EMC Update) v0 30 1" xfId="1123"/>
    <cellStyle name="%_NRA_model_for_NEMO2 (EMC Update) v0.21_NRA_model_for_NEMO2 (EMC Update) v0.22_NRA_model_for_NEMO2 (EMC Update) v0.25_NRA_model_for_NEMO2 (EMC Update) v0.26_NRA_model_for_NEMO2 (EMC Update) v0.29.2_NRA_model_for_NEMO2 (EMC Update) v0.29.3" xfId="1120"/>
    <cellStyle name="%_NRA_model_for_NEMO2 (EMC Update) v0.21_NRA_model_for_NEMO2 (EMC Update) v0.22_NRA_model_for_NEMO2 (EMC Update) v0.25_NRA_model_for_NEMO2 (EMC Update) v0.26_NRA_model_for_NEMO2 (EMC Update) v0.29.2_NRA_model_for_NEMO2 (EMC Update) v0.29.4" xfId="1121"/>
    <cellStyle name="%_NRA_model_for_NEMO2 (EMC Update) v0.21_NRA_model_for_NEMO2 (EMC Update) v0.22_NRA_model_for_NEMO2 (EMC Update) v0.25_NRA_model_for_NEMO2 (EMC Update) v0.26_NRA_model_for_NEMO2 (EMC Update) v0.29.2_NRA_model_for_NEMO2 (EMC Update) v0.29.5" xfId="1122"/>
    <cellStyle name="%_NRA_model_for_NEMO2 (EMC Update) v0.21_NRA_model_for_NEMO2 (EMC Update) v0.22_NRA_model_for_NEMO2 (EMC Update) v0.25_NRA_model_for_NEMO2 (EMC Update) v0.26_NRA_model_for_NEMO2 (EMC Update) v0.29.3" xfId="1124"/>
    <cellStyle name="%_NRA_model_for_NEMO2 (EMC Update) v0.21_NRA_model_for_NEMO2 (EMC Update) v0.22_NRA_model_for_NEMO2 (EMC Update) v0.25_NRA_model_for_NEMO2 (EMC Update) v0.26_NRA_model_for_NEMO2 (EMC Update) v0.29.3_NRA_model_for_NEMO2 (EMC Update) v0 30 1" xfId="1126"/>
    <cellStyle name="%_NRA_model_for_NEMO2 (EMC Update) v0.21_NRA_model_for_NEMO2 (EMC Update) v0.22_NRA_model_for_NEMO2 (EMC Update) v0.25_NRA_model_for_NEMO2 (EMC Update) v0.26_NRA_model_for_NEMO2 (EMC Update) v0.29.3_NRA_model_for_NEMO2 (EMC Update) v0.29.5" xfId="1125"/>
    <cellStyle name="%_NRA_model_for_NEMO2 (EMC Update) v0.21_NRA_model_for_NEMO2 (EMC Update) v0.22_NRA_model_for_NEMO2 (EMC Update) v0.25_NRA_model_for_NEMO2 (EMC Update) v0.26_NRA_model_for_NEMO2 (EMC Update) v0.29.4" xfId="1127"/>
    <cellStyle name="%_NRA_model_for_NEMO2 (EMC Update) v0.21_NRA_model_for_NEMO2 (EMC Update) v0.22_NRA_model_for_NEMO2 (EMC Update) v0.25_NRA_model_for_NEMO2 (EMC Update) v0.26_NRA_model_for_NEMO2 (EMC Update) v0.29.4_NRA_model_for_NEMO2 (EMC Update) v0 30 1" xfId="1129"/>
    <cellStyle name="%_NRA_model_for_NEMO2 (EMC Update) v0.21_NRA_model_for_NEMO2 (EMC Update) v0.22_NRA_model_for_NEMO2 (EMC Update) v0.25_NRA_model_for_NEMO2 (EMC Update) v0.26_NRA_model_for_NEMO2 (EMC Update) v0.29.4_NRA_model_for_NEMO2 (EMC Update) v0.29.5" xfId="1128"/>
    <cellStyle name="%_NRA_model_for_NEMO2 (EMC Update) v0.21_NRA_model_for_NEMO2 (EMC Update) v0.22_NRA_model_for_NEMO2 (EMC Update) v0.25_NRA_model_for_NEMO2 (EMC Update) v0.26_NRA_model_for_NEMO2 (EMC Update) v0.29.5" xfId="1130"/>
    <cellStyle name="%_NRA_model_for_NEMO2 (EMC Update) v0.21_NRA_model_for_NEMO2 (EMC Update) v0.22_NRA_model_for_NEMO2 (EMC Update) v0.25_NRA_model_for_NEMO2 (EMC Update) v0.26_NRA_model_for_NEMO2 (EMC Update) v0.29.5_NRA_model_for_NEMO2 (EMC Update) v0 30 1" xfId="1131"/>
    <cellStyle name="%_NRA_model_for_NEMO2 (EMC Update) v0.21_NRA_model_for_NEMO2 (EMC Update) v0.22_NRA_model_for_NEMO2 (EMC Update) v0.25_NRA_model_for_NEMO2 (EMC Update) v0.26_NRA_model_for_NEMO2 (EMC Update) v0.29_NRA_model_for_NEMO2 (EMC Update) v0 30 1" xfId="1136"/>
    <cellStyle name="%_NRA_model_for_NEMO2 (EMC Update) v0.21_NRA_model_for_NEMO2 (EMC Update) v0.22_NRA_model_for_NEMO2 (EMC Update) v0.25_NRA_model_for_NEMO2 (EMC Update) v0.26_NRA_model_for_NEMO2 (EMC Update) v0.29_NRA_model_for_NEMO2 (EMC Update) v0.29.2" xfId="1132"/>
    <cellStyle name="%_NRA_model_for_NEMO2 (EMC Update) v0.21_NRA_model_for_NEMO2 (EMC Update) v0.22_NRA_model_for_NEMO2 (EMC Update) v0.25_NRA_model_for_NEMO2 (EMC Update) v0.26_NRA_model_for_NEMO2 (EMC Update) v0.29_NRA_model_for_NEMO2 (EMC Update) v0.29.3" xfId="1133"/>
    <cellStyle name="%_NRA_model_for_NEMO2 (EMC Update) v0.21_NRA_model_for_NEMO2 (EMC Update) v0.22_NRA_model_for_NEMO2 (EMC Update) v0.25_NRA_model_for_NEMO2 (EMC Update) v0.26_NRA_model_for_NEMO2 (EMC Update) v0.29_NRA_model_for_NEMO2 (EMC Update) v0.29.4" xfId="1134"/>
    <cellStyle name="%_NRA_model_for_NEMO2 (EMC Update) v0.21_NRA_model_for_NEMO2 (EMC Update) v0.22_NRA_model_for_NEMO2 (EMC Update) v0.25_NRA_model_for_NEMO2 (EMC Update) v0.26_NRA_model_for_NEMO2 (EMC Update) v0.29_NRA_model_for_NEMO2 (EMC Update) v0.29.5" xfId="1135"/>
    <cellStyle name="%_NRA_model_for_NEMO2 (EMC Update) v0.21_NRA_model_for_NEMO2 (EMC Update) v0.22_NRA_model_for_NEMO2 (EMC Update) v0.25_NRA_model_for_NEMO2 (EMC Update) v0.29" xfId="1138"/>
    <cellStyle name="%_NRA_model_for_NEMO2 (EMC Update) v0.21_NRA_model_for_NEMO2 (EMC Update) v0.22_NRA_model_for_NEMO2 (EMC Update) v0.25_NRA_model_for_NEMO2 (EMC Update) v0.29.2" xfId="1139"/>
    <cellStyle name="%_NRA_model_for_NEMO2 (EMC Update) v0.21_NRA_model_for_NEMO2 (EMC Update) v0.22_NRA_model_for_NEMO2 (EMC Update) v0.25_NRA_model_for_NEMO2 (EMC Update) v0.29.2_NRA_model_for_NEMO2 (EMC Update) v0 30 1" xfId="1148"/>
    <cellStyle name="%_NRA_model_for_NEMO2 (EMC Update) v0.21_NRA_model_for_NEMO2 (EMC Update) v0.22_NRA_model_for_NEMO2 (EMC Update) v0.25_NRA_model_for_NEMO2 (EMC Update) v0.29.2_NRA_model_for_NEMO2 (EMC Update) v0.29.3" xfId="1140"/>
    <cellStyle name="%_NRA_model_for_NEMO2 (EMC Update) v0.21_NRA_model_for_NEMO2 (EMC Update) v0.22_NRA_model_for_NEMO2 (EMC Update) v0.25_NRA_model_for_NEMO2 (EMC Update) v0.29.2_NRA_model_for_NEMO2 (EMC Update) v0.29.3_NRA_model_for_NEMO2 (EMC Update) v0 30 1" xfId="1142"/>
    <cellStyle name="%_NRA_model_for_NEMO2 (EMC Update) v0.21_NRA_model_for_NEMO2 (EMC Update) v0.22_NRA_model_for_NEMO2 (EMC Update) v0.25_NRA_model_for_NEMO2 (EMC Update) v0.29.2_NRA_model_for_NEMO2 (EMC Update) v0.29.3_NRA_model_for_NEMO2 (EMC Update) v0.29.5" xfId="1141"/>
    <cellStyle name="%_NRA_model_for_NEMO2 (EMC Update) v0.21_NRA_model_for_NEMO2 (EMC Update) v0.22_NRA_model_for_NEMO2 (EMC Update) v0.25_NRA_model_for_NEMO2 (EMC Update) v0.29.2_NRA_model_for_NEMO2 (EMC Update) v0.29.4" xfId="1143"/>
    <cellStyle name="%_NRA_model_for_NEMO2 (EMC Update) v0.21_NRA_model_for_NEMO2 (EMC Update) v0.22_NRA_model_for_NEMO2 (EMC Update) v0.25_NRA_model_for_NEMO2 (EMC Update) v0.29.2_NRA_model_for_NEMO2 (EMC Update) v0.29.4_NRA_model_for_NEMO2 (EMC Update) v0 30 1" xfId="1145"/>
    <cellStyle name="%_NRA_model_for_NEMO2 (EMC Update) v0.21_NRA_model_for_NEMO2 (EMC Update) v0.22_NRA_model_for_NEMO2 (EMC Update) v0.25_NRA_model_for_NEMO2 (EMC Update) v0.29.2_NRA_model_for_NEMO2 (EMC Update) v0.29.4_NRA_model_for_NEMO2 (EMC Update) v0.29.5" xfId="1144"/>
    <cellStyle name="%_NRA_model_for_NEMO2 (EMC Update) v0.21_NRA_model_for_NEMO2 (EMC Update) v0.22_NRA_model_for_NEMO2 (EMC Update) v0.25_NRA_model_for_NEMO2 (EMC Update) v0.29.2_NRA_model_for_NEMO2 (EMC Update) v0.29.5" xfId="1146"/>
    <cellStyle name="%_NRA_model_for_NEMO2 (EMC Update) v0.21_NRA_model_for_NEMO2 (EMC Update) v0.22_NRA_model_for_NEMO2 (EMC Update) v0.25_NRA_model_for_NEMO2 (EMC Update) v0.29.2_NRA_model_for_NEMO2 (EMC Update) v0.29.5_NRA_model_for_NEMO2 (EMC Update) v0 30 1" xfId="1147"/>
    <cellStyle name="%_NRA_model_for_NEMO2 (EMC Update) v0.21_NRA_model_for_NEMO2 (EMC Update) v0.22_NRA_model_for_NEMO2 (EMC Update) v0.25_NRA_model_for_NEMO2 (EMC Update) v0.29.3" xfId="1149"/>
    <cellStyle name="%_NRA_model_for_NEMO2 (EMC Update) v0.21_NRA_model_for_NEMO2 (EMC Update) v0.22_NRA_model_for_NEMO2 (EMC Update) v0.25_NRA_model_for_NEMO2 (EMC Update) v0.29.3_NRA_model_for_NEMO2 (EMC Update) v0 30 1" xfId="1152"/>
    <cellStyle name="%_NRA_model_for_NEMO2 (EMC Update) v0.21_NRA_model_for_NEMO2 (EMC Update) v0.22_NRA_model_for_NEMO2 (EMC Update) v0.25_NRA_model_for_NEMO2 (EMC Update) v0.29.3_NRA_model_for_NEMO2 (EMC Update) v0.29.5" xfId="1150"/>
    <cellStyle name="%_NRA_model_for_NEMO2 (EMC Update) v0.21_NRA_model_for_NEMO2 (EMC Update) v0.22_NRA_model_for_NEMO2 (EMC Update) v0.25_NRA_model_for_NEMO2 (EMC Update) v0.29.3_NRA_model_for_NEMO2 (EMC Update) v0.29.5_NRA_model_for_NEMO2 (EMC Update) v0 30 1" xfId="1151"/>
    <cellStyle name="%_NRA_model_for_NEMO2 (EMC Update) v0.21_NRA_model_for_NEMO2 (EMC Update) v0.22_NRA_model_for_NEMO2 (EMC Update) v0.25_NRA_model_for_NEMO2 (EMC Update) v0.29.4" xfId="1153"/>
    <cellStyle name="%_NRA_model_for_NEMO2 (EMC Update) v0.21_NRA_model_for_NEMO2 (EMC Update) v0.22_NRA_model_for_NEMO2 (EMC Update) v0.25_NRA_model_for_NEMO2 (EMC Update) v0.29.4_NRA_model_for_NEMO2 (EMC Update) v0 30 1" xfId="1156"/>
    <cellStyle name="%_NRA_model_for_NEMO2 (EMC Update) v0.21_NRA_model_for_NEMO2 (EMC Update) v0.22_NRA_model_for_NEMO2 (EMC Update) v0.25_NRA_model_for_NEMO2 (EMC Update) v0.29.4_NRA_model_for_NEMO2 (EMC Update) v0.29.5" xfId="1154"/>
    <cellStyle name="%_NRA_model_for_NEMO2 (EMC Update) v0.21_NRA_model_for_NEMO2 (EMC Update) v0.22_NRA_model_for_NEMO2 (EMC Update) v0.25_NRA_model_for_NEMO2 (EMC Update) v0.29.4_NRA_model_for_NEMO2 (EMC Update) v0.29.5_NRA_model_for_NEMO2 (EMC Update) v0 30 1" xfId="1155"/>
    <cellStyle name="%_NRA_model_for_NEMO2 (EMC Update) v0.21_NRA_model_for_NEMO2 (EMC Update) v0.22_NRA_model_for_NEMO2 (EMC Update) v0.25_NRA_model_for_NEMO2 (EMC Update) v0.29.5" xfId="1157"/>
    <cellStyle name="%_NRA_model_for_NEMO2 (EMC Update) v0.21_NRA_model_for_NEMO2 (EMC Update) v0.22_NRA_model_for_NEMO2 (EMC Update) v0.25_NRA_model_for_NEMO2 (EMC Update) v0.29.5_NRA_model_for_NEMO2 (EMC Update) v0 30 1" xfId="1158"/>
    <cellStyle name="%_NRA_model_for_NEMO2 (EMC Update) v0.21_NRA_model_for_NEMO2 (EMC Update) v0.22_NRA_model_for_NEMO2 (EMC Update) v0.25_NRA_model_for_NEMO2 (EMC Update) v0.29_NRA_model_for_NEMO2 (EMC Update) v0 30 1" xfId="1172"/>
    <cellStyle name="%_NRA_model_for_NEMO2 (EMC Update) v0.21_NRA_model_for_NEMO2 (EMC Update) v0.22_NRA_model_for_NEMO2 (EMC Update) v0.25_NRA_model_for_NEMO2 (EMC Update) v0.29_NRA_model_for_NEMO2 (EMC Update) v0.29.2" xfId="1159"/>
    <cellStyle name="%_NRA_model_for_NEMO2 (EMC Update) v0.21_NRA_model_for_NEMO2 (EMC Update) v0.22_NRA_model_for_NEMO2 (EMC Update) v0.25_NRA_model_for_NEMO2 (EMC Update) v0.29_NRA_model_for_NEMO2 (EMC Update) v0.29.2_NRA_model_for_NEMO2 (EMC Update) v0 30 1" xfId="1163"/>
    <cellStyle name="%_NRA_model_for_NEMO2 (EMC Update) v0.21_NRA_model_for_NEMO2 (EMC Update) v0.22_NRA_model_for_NEMO2 (EMC Update) v0.25_NRA_model_for_NEMO2 (EMC Update) v0.29_NRA_model_for_NEMO2 (EMC Update) v0.29.2_NRA_model_for_NEMO2 (EMC Update) v0.29.3" xfId="1160"/>
    <cellStyle name="%_NRA_model_for_NEMO2 (EMC Update) v0.21_NRA_model_for_NEMO2 (EMC Update) v0.22_NRA_model_for_NEMO2 (EMC Update) v0.25_NRA_model_for_NEMO2 (EMC Update) v0.29_NRA_model_for_NEMO2 (EMC Update) v0.29.2_NRA_model_for_NEMO2 (EMC Update) v0.29.4" xfId="1161"/>
    <cellStyle name="%_NRA_model_for_NEMO2 (EMC Update) v0.21_NRA_model_for_NEMO2 (EMC Update) v0.22_NRA_model_for_NEMO2 (EMC Update) v0.25_NRA_model_for_NEMO2 (EMC Update) v0.29_NRA_model_for_NEMO2 (EMC Update) v0.29.2_NRA_model_for_NEMO2 (EMC Update) v0.29.5" xfId="1162"/>
    <cellStyle name="%_NRA_model_for_NEMO2 (EMC Update) v0.21_NRA_model_for_NEMO2 (EMC Update) v0.22_NRA_model_for_NEMO2 (EMC Update) v0.25_NRA_model_for_NEMO2 (EMC Update) v0.29_NRA_model_for_NEMO2 (EMC Update) v0.29.3" xfId="1164"/>
    <cellStyle name="%_NRA_model_for_NEMO2 (EMC Update) v0.21_NRA_model_for_NEMO2 (EMC Update) v0.22_NRA_model_for_NEMO2 (EMC Update) v0.25_NRA_model_for_NEMO2 (EMC Update) v0.29_NRA_model_for_NEMO2 (EMC Update) v0.29.3_NRA_model_for_NEMO2 (EMC Update) v0 30 1" xfId="1166"/>
    <cellStyle name="%_NRA_model_for_NEMO2 (EMC Update) v0.21_NRA_model_for_NEMO2 (EMC Update) v0.22_NRA_model_for_NEMO2 (EMC Update) v0.25_NRA_model_for_NEMO2 (EMC Update) v0.29_NRA_model_for_NEMO2 (EMC Update) v0.29.3_NRA_model_for_NEMO2 (EMC Update) v0.29.5" xfId="1165"/>
    <cellStyle name="%_NRA_model_for_NEMO2 (EMC Update) v0.21_NRA_model_for_NEMO2 (EMC Update) v0.22_NRA_model_for_NEMO2 (EMC Update) v0.25_NRA_model_for_NEMO2 (EMC Update) v0.29_NRA_model_for_NEMO2 (EMC Update) v0.29.4" xfId="1167"/>
    <cellStyle name="%_NRA_model_for_NEMO2 (EMC Update) v0.21_NRA_model_for_NEMO2 (EMC Update) v0.22_NRA_model_for_NEMO2 (EMC Update) v0.25_NRA_model_for_NEMO2 (EMC Update) v0.29_NRA_model_for_NEMO2 (EMC Update) v0.29.4_NRA_model_for_NEMO2 (EMC Update) v0 30 1" xfId="1169"/>
    <cellStyle name="%_NRA_model_for_NEMO2 (EMC Update) v0.21_NRA_model_for_NEMO2 (EMC Update) v0.22_NRA_model_for_NEMO2 (EMC Update) v0.25_NRA_model_for_NEMO2 (EMC Update) v0.29_NRA_model_for_NEMO2 (EMC Update) v0.29.4_NRA_model_for_NEMO2 (EMC Update) v0.29.5" xfId="1168"/>
    <cellStyle name="%_NRA_model_for_NEMO2 (EMC Update) v0.21_NRA_model_for_NEMO2 (EMC Update) v0.22_NRA_model_for_NEMO2 (EMC Update) v0.25_NRA_model_for_NEMO2 (EMC Update) v0.29_NRA_model_for_NEMO2 (EMC Update) v0.29.5" xfId="1170"/>
    <cellStyle name="%_NRA_model_for_NEMO2 (EMC Update) v0.21_NRA_model_for_NEMO2 (EMC Update) v0.22_NRA_model_for_NEMO2 (EMC Update) v0.25_NRA_model_for_NEMO2 (EMC Update) v0.29_NRA_model_for_NEMO2 (EMC Update) v0.29.5_NRA_model_for_NEMO2 (EMC Update) v0 30 1" xfId="1171"/>
    <cellStyle name="%_NRA_model_for_NEMO2 (EMC Update) v0.21_NRA_model_for_NEMO2 (EMC Update) v0.22_NRA_model_for_NEMO2 (EMC Update) v0.26" xfId="1174"/>
    <cellStyle name="%_NRA_model_for_NEMO2 (EMC Update) v0.21_NRA_model_for_NEMO2 (EMC Update) v0.22_NRA_model_for_NEMO2 (EMC Update) v0.26_NRA_model_for_NEMO2 (EMC Update) v0 30 1" xfId="1210"/>
    <cellStyle name="%_NRA_model_for_NEMO2 (EMC Update) v0.21_NRA_model_for_NEMO2 (EMC Update) v0.22_NRA_model_for_NEMO2 (EMC Update) v0.26_NRA_model_for_NEMO2 (EMC Update) v0.29" xfId="1175"/>
    <cellStyle name="%_NRA_model_for_NEMO2 (EMC Update) v0.21_NRA_model_for_NEMO2 (EMC Update) v0.22_NRA_model_for_NEMO2 (EMC Update) v0.26_NRA_model_for_NEMO2 (EMC Update) v0.29.2" xfId="1176"/>
    <cellStyle name="%_NRA_model_for_NEMO2 (EMC Update) v0.21_NRA_model_for_NEMO2 (EMC Update) v0.22_NRA_model_for_NEMO2 (EMC Update) v0.26_NRA_model_for_NEMO2 (EMC Update) v0.29.2_NRA_model_for_NEMO2 (EMC Update) v0 30 1" xfId="1185"/>
    <cellStyle name="%_NRA_model_for_NEMO2 (EMC Update) v0.21_NRA_model_for_NEMO2 (EMC Update) v0.22_NRA_model_for_NEMO2 (EMC Update) v0.26_NRA_model_for_NEMO2 (EMC Update) v0.29.2_NRA_model_for_NEMO2 (EMC Update) v0.29.3" xfId="1177"/>
    <cellStyle name="%_NRA_model_for_NEMO2 (EMC Update) v0.21_NRA_model_for_NEMO2 (EMC Update) v0.22_NRA_model_for_NEMO2 (EMC Update) v0.26_NRA_model_for_NEMO2 (EMC Update) v0.29.2_NRA_model_for_NEMO2 (EMC Update) v0.29.3_NRA_model_for_NEMO2 (EMC Update) v0 30 1" xfId="1179"/>
    <cellStyle name="%_NRA_model_for_NEMO2 (EMC Update) v0.21_NRA_model_for_NEMO2 (EMC Update) v0.22_NRA_model_for_NEMO2 (EMC Update) v0.26_NRA_model_for_NEMO2 (EMC Update) v0.29.2_NRA_model_for_NEMO2 (EMC Update) v0.29.3_NRA_model_for_NEMO2 (EMC Update) v0.29.5" xfId="1178"/>
    <cellStyle name="%_NRA_model_for_NEMO2 (EMC Update) v0.21_NRA_model_for_NEMO2 (EMC Update) v0.22_NRA_model_for_NEMO2 (EMC Update) v0.26_NRA_model_for_NEMO2 (EMC Update) v0.29.2_NRA_model_for_NEMO2 (EMC Update) v0.29.4" xfId="1180"/>
    <cellStyle name="%_NRA_model_for_NEMO2 (EMC Update) v0.21_NRA_model_for_NEMO2 (EMC Update) v0.22_NRA_model_for_NEMO2 (EMC Update) v0.26_NRA_model_for_NEMO2 (EMC Update) v0.29.2_NRA_model_for_NEMO2 (EMC Update) v0.29.4_NRA_model_for_NEMO2 (EMC Update) v0 30 1" xfId="1182"/>
    <cellStyle name="%_NRA_model_for_NEMO2 (EMC Update) v0.21_NRA_model_for_NEMO2 (EMC Update) v0.22_NRA_model_for_NEMO2 (EMC Update) v0.26_NRA_model_for_NEMO2 (EMC Update) v0.29.2_NRA_model_for_NEMO2 (EMC Update) v0.29.4_NRA_model_for_NEMO2 (EMC Update) v0.29.5" xfId="1181"/>
    <cellStyle name="%_NRA_model_for_NEMO2 (EMC Update) v0.21_NRA_model_for_NEMO2 (EMC Update) v0.22_NRA_model_for_NEMO2 (EMC Update) v0.26_NRA_model_for_NEMO2 (EMC Update) v0.29.2_NRA_model_for_NEMO2 (EMC Update) v0.29.5" xfId="1183"/>
    <cellStyle name="%_NRA_model_for_NEMO2 (EMC Update) v0.21_NRA_model_for_NEMO2 (EMC Update) v0.22_NRA_model_for_NEMO2 (EMC Update) v0.26_NRA_model_for_NEMO2 (EMC Update) v0.29.2_NRA_model_for_NEMO2 (EMC Update) v0.29.5_NRA_model_for_NEMO2 (EMC Update) v0 30 1" xfId="1184"/>
    <cellStyle name="%_NRA_model_for_NEMO2 (EMC Update) v0.21_NRA_model_for_NEMO2 (EMC Update) v0.22_NRA_model_for_NEMO2 (EMC Update) v0.26_NRA_model_for_NEMO2 (EMC Update) v0.29.3" xfId="1186"/>
    <cellStyle name="%_NRA_model_for_NEMO2 (EMC Update) v0.21_NRA_model_for_NEMO2 (EMC Update) v0.22_NRA_model_for_NEMO2 (EMC Update) v0.26_NRA_model_for_NEMO2 (EMC Update) v0.29.3_NRA_model_for_NEMO2 (EMC Update) v0 30 1" xfId="1189"/>
    <cellStyle name="%_NRA_model_for_NEMO2 (EMC Update) v0.21_NRA_model_for_NEMO2 (EMC Update) v0.22_NRA_model_for_NEMO2 (EMC Update) v0.26_NRA_model_for_NEMO2 (EMC Update) v0.29.3_NRA_model_for_NEMO2 (EMC Update) v0.29.5" xfId="1187"/>
    <cellStyle name="%_NRA_model_for_NEMO2 (EMC Update) v0.21_NRA_model_for_NEMO2 (EMC Update) v0.22_NRA_model_for_NEMO2 (EMC Update) v0.26_NRA_model_for_NEMO2 (EMC Update) v0.29.3_NRA_model_for_NEMO2 (EMC Update) v0.29.5_NRA_model_for_NEMO2 (EMC Update) v0 30 1" xfId="1188"/>
    <cellStyle name="%_NRA_model_for_NEMO2 (EMC Update) v0.21_NRA_model_for_NEMO2 (EMC Update) v0.22_NRA_model_for_NEMO2 (EMC Update) v0.26_NRA_model_for_NEMO2 (EMC Update) v0.29.4" xfId="1190"/>
    <cellStyle name="%_NRA_model_for_NEMO2 (EMC Update) v0.21_NRA_model_for_NEMO2 (EMC Update) v0.22_NRA_model_for_NEMO2 (EMC Update) v0.26_NRA_model_for_NEMO2 (EMC Update) v0.29.4_NRA_model_for_NEMO2 (EMC Update) v0 30 1" xfId="1193"/>
    <cellStyle name="%_NRA_model_for_NEMO2 (EMC Update) v0.21_NRA_model_for_NEMO2 (EMC Update) v0.22_NRA_model_for_NEMO2 (EMC Update) v0.26_NRA_model_for_NEMO2 (EMC Update) v0.29.4_NRA_model_for_NEMO2 (EMC Update) v0.29.5" xfId="1191"/>
    <cellStyle name="%_NRA_model_for_NEMO2 (EMC Update) v0.21_NRA_model_for_NEMO2 (EMC Update) v0.22_NRA_model_for_NEMO2 (EMC Update) v0.26_NRA_model_for_NEMO2 (EMC Update) v0.29.4_NRA_model_for_NEMO2 (EMC Update) v0.29.5_NRA_model_for_NEMO2 (EMC Update) v0 30 1" xfId="1192"/>
    <cellStyle name="%_NRA_model_for_NEMO2 (EMC Update) v0.21_NRA_model_for_NEMO2 (EMC Update) v0.22_NRA_model_for_NEMO2 (EMC Update) v0.26_NRA_model_for_NEMO2 (EMC Update) v0.29.5" xfId="1194"/>
    <cellStyle name="%_NRA_model_for_NEMO2 (EMC Update) v0.21_NRA_model_for_NEMO2 (EMC Update) v0.22_NRA_model_for_NEMO2 (EMC Update) v0.26_NRA_model_for_NEMO2 (EMC Update) v0.29.5_NRA_model_for_NEMO2 (EMC Update) v0 30 1" xfId="1195"/>
    <cellStyle name="%_NRA_model_for_NEMO2 (EMC Update) v0.21_NRA_model_for_NEMO2 (EMC Update) v0.22_NRA_model_for_NEMO2 (EMC Update) v0.26_NRA_model_for_NEMO2 (EMC Update) v0.29_NRA_model_for_NEMO2 (EMC Update) v0 30 1" xfId="1209"/>
    <cellStyle name="%_NRA_model_for_NEMO2 (EMC Update) v0.21_NRA_model_for_NEMO2 (EMC Update) v0.22_NRA_model_for_NEMO2 (EMC Update) v0.26_NRA_model_for_NEMO2 (EMC Update) v0.29_NRA_model_for_NEMO2 (EMC Update) v0.29.2" xfId="1196"/>
    <cellStyle name="%_NRA_model_for_NEMO2 (EMC Update) v0.21_NRA_model_for_NEMO2 (EMC Update) v0.22_NRA_model_for_NEMO2 (EMC Update) v0.26_NRA_model_for_NEMO2 (EMC Update) v0.29_NRA_model_for_NEMO2 (EMC Update) v0.29.2_NRA_model_for_NEMO2 (EMC Update) v0 30 1" xfId="1200"/>
    <cellStyle name="%_NRA_model_for_NEMO2 (EMC Update) v0.21_NRA_model_for_NEMO2 (EMC Update) v0.22_NRA_model_for_NEMO2 (EMC Update) v0.26_NRA_model_for_NEMO2 (EMC Update) v0.29_NRA_model_for_NEMO2 (EMC Update) v0.29.2_NRA_model_for_NEMO2 (EMC Update) v0.29.3" xfId="1197"/>
    <cellStyle name="%_NRA_model_for_NEMO2 (EMC Update) v0.21_NRA_model_for_NEMO2 (EMC Update) v0.22_NRA_model_for_NEMO2 (EMC Update) v0.26_NRA_model_for_NEMO2 (EMC Update) v0.29_NRA_model_for_NEMO2 (EMC Update) v0.29.2_NRA_model_for_NEMO2 (EMC Update) v0.29.4" xfId="1198"/>
    <cellStyle name="%_NRA_model_for_NEMO2 (EMC Update) v0.21_NRA_model_for_NEMO2 (EMC Update) v0.22_NRA_model_for_NEMO2 (EMC Update) v0.26_NRA_model_for_NEMO2 (EMC Update) v0.29_NRA_model_for_NEMO2 (EMC Update) v0.29.2_NRA_model_for_NEMO2 (EMC Update) v0.29.5" xfId="1199"/>
    <cellStyle name="%_NRA_model_for_NEMO2 (EMC Update) v0.21_NRA_model_for_NEMO2 (EMC Update) v0.22_NRA_model_for_NEMO2 (EMC Update) v0.26_NRA_model_for_NEMO2 (EMC Update) v0.29_NRA_model_for_NEMO2 (EMC Update) v0.29.3" xfId="1201"/>
    <cellStyle name="%_NRA_model_for_NEMO2 (EMC Update) v0.21_NRA_model_for_NEMO2 (EMC Update) v0.22_NRA_model_for_NEMO2 (EMC Update) v0.26_NRA_model_for_NEMO2 (EMC Update) v0.29_NRA_model_for_NEMO2 (EMC Update) v0.29.3_NRA_model_for_NEMO2 (EMC Update) v0 30 1" xfId="1203"/>
    <cellStyle name="%_NRA_model_for_NEMO2 (EMC Update) v0.21_NRA_model_for_NEMO2 (EMC Update) v0.22_NRA_model_for_NEMO2 (EMC Update) v0.26_NRA_model_for_NEMO2 (EMC Update) v0.29_NRA_model_for_NEMO2 (EMC Update) v0.29.3_NRA_model_for_NEMO2 (EMC Update) v0.29.5" xfId="1202"/>
    <cellStyle name="%_NRA_model_for_NEMO2 (EMC Update) v0.21_NRA_model_for_NEMO2 (EMC Update) v0.22_NRA_model_for_NEMO2 (EMC Update) v0.26_NRA_model_for_NEMO2 (EMC Update) v0.29_NRA_model_for_NEMO2 (EMC Update) v0.29.4" xfId="1204"/>
    <cellStyle name="%_NRA_model_for_NEMO2 (EMC Update) v0.21_NRA_model_for_NEMO2 (EMC Update) v0.22_NRA_model_for_NEMO2 (EMC Update) v0.26_NRA_model_for_NEMO2 (EMC Update) v0.29_NRA_model_for_NEMO2 (EMC Update) v0.29.4_NRA_model_for_NEMO2 (EMC Update) v0 30 1" xfId="1206"/>
    <cellStyle name="%_NRA_model_for_NEMO2 (EMC Update) v0.21_NRA_model_for_NEMO2 (EMC Update) v0.22_NRA_model_for_NEMO2 (EMC Update) v0.26_NRA_model_for_NEMO2 (EMC Update) v0.29_NRA_model_for_NEMO2 (EMC Update) v0.29.4_NRA_model_for_NEMO2 (EMC Update) v0.29.5" xfId="1205"/>
    <cellStyle name="%_NRA_model_for_NEMO2 (EMC Update) v0.21_NRA_model_for_NEMO2 (EMC Update) v0.22_NRA_model_for_NEMO2 (EMC Update) v0.26_NRA_model_for_NEMO2 (EMC Update) v0.29_NRA_model_for_NEMO2 (EMC Update) v0.29.5" xfId="1207"/>
    <cellStyle name="%_NRA_model_for_NEMO2 (EMC Update) v0.21_NRA_model_for_NEMO2 (EMC Update) v0.22_NRA_model_for_NEMO2 (EMC Update) v0.26_NRA_model_for_NEMO2 (EMC Update) v0.29_NRA_model_for_NEMO2 (EMC Update) v0.29.5_NRA_model_for_NEMO2 (EMC Update) v0 30 1" xfId="1208"/>
    <cellStyle name="%_NRA_model_for_NEMO2 (EMC Update) v0.21_NRA_model_for_NEMO2 (EMC Update) v0.22_NRA_model_for_NEMO2 (EMC Update) v0.29" xfId="1211"/>
    <cellStyle name="%_NRA_model_for_NEMO2 (EMC Update) v0.21_NRA_model_for_NEMO2 (EMC Update) v0.22_NRA_model_for_NEMO2 (EMC Update) v0.29.2" xfId="1212"/>
    <cellStyle name="%_NRA_model_for_NEMO2 (EMC Update) v0.21_NRA_model_for_NEMO2 (EMC Update) v0.22_NRA_model_for_NEMO2 (EMC Update) v0.29.2_NRA_model_for_NEMO2 (EMC Update) v0 30 1" xfId="1223"/>
    <cellStyle name="%_NRA_model_for_NEMO2 (EMC Update) v0.21_NRA_model_for_NEMO2 (EMC Update) v0.22_NRA_model_for_NEMO2 (EMC Update) v0.29.2_NRA_model_for_NEMO2 (EMC Update) v0.29.3" xfId="1213"/>
    <cellStyle name="%_NRA_model_for_NEMO2 (EMC Update) v0.21_NRA_model_for_NEMO2 (EMC Update) v0.22_NRA_model_for_NEMO2 (EMC Update) v0.29.2_NRA_model_for_NEMO2 (EMC Update) v0.29.3_NRA_model_for_NEMO2 (EMC Update) v0 30 1" xfId="1216"/>
    <cellStyle name="%_NRA_model_for_NEMO2 (EMC Update) v0.21_NRA_model_for_NEMO2 (EMC Update) v0.22_NRA_model_for_NEMO2 (EMC Update) v0.29.2_NRA_model_for_NEMO2 (EMC Update) v0.29.3_NRA_model_for_NEMO2 (EMC Update) v0.29.5" xfId="1214"/>
    <cellStyle name="%_NRA_model_for_NEMO2 (EMC Update) v0.21_NRA_model_for_NEMO2 (EMC Update) v0.22_NRA_model_for_NEMO2 (EMC Update) v0.29.2_NRA_model_for_NEMO2 (EMC Update) v0.29.3_NRA_model_for_NEMO2 (EMC Update) v0.29.5_NRA_model_for_NEMO2 (EMC Update) v0 30 1" xfId="1215"/>
    <cellStyle name="%_NRA_model_for_NEMO2 (EMC Update) v0.21_NRA_model_for_NEMO2 (EMC Update) v0.22_NRA_model_for_NEMO2 (EMC Update) v0.29.2_NRA_model_for_NEMO2 (EMC Update) v0.29.4" xfId="1217"/>
    <cellStyle name="%_NRA_model_for_NEMO2 (EMC Update) v0.21_NRA_model_for_NEMO2 (EMC Update) v0.22_NRA_model_for_NEMO2 (EMC Update) v0.29.2_NRA_model_for_NEMO2 (EMC Update) v0.29.4_NRA_model_for_NEMO2 (EMC Update) v0 30 1" xfId="1220"/>
    <cellStyle name="%_NRA_model_for_NEMO2 (EMC Update) v0.21_NRA_model_for_NEMO2 (EMC Update) v0.22_NRA_model_for_NEMO2 (EMC Update) v0.29.2_NRA_model_for_NEMO2 (EMC Update) v0.29.4_NRA_model_for_NEMO2 (EMC Update) v0.29.5" xfId="1218"/>
    <cellStyle name="%_NRA_model_for_NEMO2 (EMC Update) v0.21_NRA_model_for_NEMO2 (EMC Update) v0.22_NRA_model_for_NEMO2 (EMC Update) v0.29.2_NRA_model_for_NEMO2 (EMC Update) v0.29.4_NRA_model_for_NEMO2 (EMC Update) v0.29.5_NRA_model_for_NEMO2 (EMC Update) v0 30 1" xfId="1219"/>
    <cellStyle name="%_NRA_model_for_NEMO2 (EMC Update) v0.21_NRA_model_for_NEMO2 (EMC Update) v0.22_NRA_model_for_NEMO2 (EMC Update) v0.29.2_NRA_model_for_NEMO2 (EMC Update) v0.29.5" xfId="1221"/>
    <cellStyle name="%_NRA_model_for_NEMO2 (EMC Update) v0.21_NRA_model_for_NEMO2 (EMC Update) v0.22_NRA_model_for_NEMO2 (EMC Update) v0.29.2_NRA_model_for_NEMO2 (EMC Update) v0.29.5_NRA_model_for_NEMO2 (EMC Update) v0 30 1" xfId="1222"/>
    <cellStyle name="%_NRA_model_for_NEMO2 (EMC Update) v0.21_NRA_model_for_NEMO2 (EMC Update) v0.22_NRA_model_for_NEMO2 (EMC Update) v0.29.3" xfId="1224"/>
    <cellStyle name="%_NRA_model_for_NEMO2 (EMC Update) v0.21_NRA_model_for_NEMO2 (EMC Update) v0.22_NRA_model_for_NEMO2 (EMC Update) v0.29.3_NRA_model_for_NEMO2 (EMC Update) v0 30 1" xfId="1227"/>
    <cellStyle name="%_NRA_model_for_NEMO2 (EMC Update) v0.21_NRA_model_for_NEMO2 (EMC Update) v0.22_NRA_model_for_NEMO2 (EMC Update) v0.29.3_NRA_model_for_NEMO2 (EMC Update) v0.29.5" xfId="1225"/>
    <cellStyle name="%_NRA_model_for_NEMO2 (EMC Update) v0.21_NRA_model_for_NEMO2 (EMC Update) v0.22_NRA_model_for_NEMO2 (EMC Update) v0.29.3_NRA_model_for_NEMO2 (EMC Update) v0.29.5_NRA_model_for_NEMO2 (EMC Update) v0 30 1" xfId="1226"/>
    <cellStyle name="%_NRA_model_for_NEMO2 (EMC Update) v0.21_NRA_model_for_NEMO2 (EMC Update) v0.22_NRA_model_for_NEMO2 (EMC Update) v0.29.4" xfId="1228"/>
    <cellStyle name="%_NRA_model_for_NEMO2 (EMC Update) v0.21_NRA_model_for_NEMO2 (EMC Update) v0.22_NRA_model_for_NEMO2 (EMC Update) v0.29.4_NRA_model_for_NEMO2 (EMC Update) v0 30 1" xfId="1231"/>
    <cellStyle name="%_NRA_model_for_NEMO2 (EMC Update) v0.21_NRA_model_for_NEMO2 (EMC Update) v0.22_NRA_model_for_NEMO2 (EMC Update) v0.29.4_NRA_model_for_NEMO2 (EMC Update) v0.29.5" xfId="1229"/>
    <cellStyle name="%_NRA_model_for_NEMO2 (EMC Update) v0.21_NRA_model_for_NEMO2 (EMC Update) v0.22_NRA_model_for_NEMO2 (EMC Update) v0.29.4_NRA_model_for_NEMO2 (EMC Update) v0.29.5_NRA_model_for_NEMO2 (EMC Update) v0 30 1" xfId="1230"/>
    <cellStyle name="%_NRA_model_for_NEMO2 (EMC Update) v0.21_NRA_model_for_NEMO2 (EMC Update) v0.22_NRA_model_for_NEMO2 (EMC Update) v0.29.5" xfId="1232"/>
    <cellStyle name="%_NRA_model_for_NEMO2 (EMC Update) v0.21_NRA_model_for_NEMO2 (EMC Update) v0.22_NRA_model_for_NEMO2 (EMC Update) v0.29.5_NRA_model_for_NEMO2 (EMC Update) v0 30 1" xfId="1233"/>
    <cellStyle name="%_NRA_model_for_NEMO2 (EMC Update) v0.21_NRA_model_for_NEMO2 (EMC Update) v0.22_NRA_model_for_NEMO2 (EMC Update) v0.29_NRA_model_for_NEMO2 (EMC Update) v0 30 1" xfId="1254"/>
    <cellStyle name="%_NRA_model_for_NEMO2 (EMC Update) v0.21_NRA_model_for_NEMO2 (EMC Update) v0.22_NRA_model_for_NEMO2 (EMC Update) v0.29_NRA_model_for_NEMO2 (EMC Update) v0.29.2" xfId="1234"/>
    <cellStyle name="%_NRA_model_for_NEMO2 (EMC Update) v0.21_NRA_model_for_NEMO2 (EMC Update) v0.22_NRA_model_for_NEMO2 (EMC Update) v0.29_NRA_model_for_NEMO2 (EMC Update) v0.29.2_NRA_model_for_NEMO2 (EMC Update) v0 30 1" xfId="1243"/>
    <cellStyle name="%_NRA_model_for_NEMO2 (EMC Update) v0.21_NRA_model_for_NEMO2 (EMC Update) v0.22_NRA_model_for_NEMO2 (EMC Update) v0.29_NRA_model_for_NEMO2 (EMC Update) v0.29.2_NRA_model_for_NEMO2 (EMC Update) v0.29.3" xfId="1235"/>
    <cellStyle name="%_NRA_model_for_NEMO2 (EMC Update) v0.21_NRA_model_for_NEMO2 (EMC Update) v0.22_NRA_model_for_NEMO2 (EMC Update) v0.29_NRA_model_for_NEMO2 (EMC Update) v0.29.2_NRA_model_for_NEMO2 (EMC Update) v0.29.3_NRA_model_for_NEMO2 (EMC Update) v0 30 1" xfId="1237"/>
    <cellStyle name="%_NRA_model_for_NEMO2 (EMC Update) v0.21_NRA_model_for_NEMO2 (EMC Update) v0.22_NRA_model_for_NEMO2 (EMC Update) v0.29_NRA_model_for_NEMO2 (EMC Update) v0.29.2_NRA_model_for_NEMO2 (EMC Update) v0.29.3_NRA_model_for_NEMO2 (EMC Update) v0.29.5" xfId="1236"/>
    <cellStyle name="%_NRA_model_for_NEMO2 (EMC Update) v0.21_NRA_model_for_NEMO2 (EMC Update) v0.22_NRA_model_for_NEMO2 (EMC Update) v0.29_NRA_model_for_NEMO2 (EMC Update) v0.29.2_NRA_model_for_NEMO2 (EMC Update) v0.29.4" xfId="1238"/>
    <cellStyle name="%_NRA_model_for_NEMO2 (EMC Update) v0.21_NRA_model_for_NEMO2 (EMC Update) v0.22_NRA_model_for_NEMO2 (EMC Update) v0.29_NRA_model_for_NEMO2 (EMC Update) v0.29.2_NRA_model_for_NEMO2 (EMC Update) v0.29.4_NRA_model_for_NEMO2 (EMC Update) v0 30 1" xfId="1240"/>
    <cellStyle name="%_NRA_model_for_NEMO2 (EMC Update) v0.21_NRA_model_for_NEMO2 (EMC Update) v0.22_NRA_model_for_NEMO2 (EMC Update) v0.29_NRA_model_for_NEMO2 (EMC Update) v0.29.2_NRA_model_for_NEMO2 (EMC Update) v0.29.4_NRA_model_for_NEMO2 (EMC Update) v0.29.5" xfId="1239"/>
    <cellStyle name="%_NRA_model_for_NEMO2 (EMC Update) v0.21_NRA_model_for_NEMO2 (EMC Update) v0.22_NRA_model_for_NEMO2 (EMC Update) v0.29_NRA_model_for_NEMO2 (EMC Update) v0.29.2_NRA_model_for_NEMO2 (EMC Update) v0.29.5" xfId="1241"/>
    <cellStyle name="%_NRA_model_for_NEMO2 (EMC Update) v0.21_NRA_model_for_NEMO2 (EMC Update) v0.22_NRA_model_for_NEMO2 (EMC Update) v0.29_NRA_model_for_NEMO2 (EMC Update) v0.29.2_NRA_model_for_NEMO2 (EMC Update) v0.29.5_NRA_model_for_NEMO2 (EMC Update) v0 30 1" xfId="1242"/>
    <cellStyle name="%_NRA_model_for_NEMO2 (EMC Update) v0.21_NRA_model_for_NEMO2 (EMC Update) v0.22_NRA_model_for_NEMO2 (EMC Update) v0.29_NRA_model_for_NEMO2 (EMC Update) v0.29.3" xfId="1244"/>
    <cellStyle name="%_NRA_model_for_NEMO2 (EMC Update) v0.21_NRA_model_for_NEMO2 (EMC Update) v0.22_NRA_model_for_NEMO2 (EMC Update) v0.29_NRA_model_for_NEMO2 (EMC Update) v0.29.3_NRA_model_for_NEMO2 (EMC Update) v0 30 1" xfId="1247"/>
    <cellStyle name="%_NRA_model_for_NEMO2 (EMC Update) v0.21_NRA_model_for_NEMO2 (EMC Update) v0.22_NRA_model_for_NEMO2 (EMC Update) v0.29_NRA_model_for_NEMO2 (EMC Update) v0.29.3_NRA_model_for_NEMO2 (EMC Update) v0.29.5" xfId="1245"/>
    <cellStyle name="%_NRA_model_for_NEMO2 (EMC Update) v0.21_NRA_model_for_NEMO2 (EMC Update) v0.22_NRA_model_for_NEMO2 (EMC Update) v0.29_NRA_model_for_NEMO2 (EMC Update) v0.29.3_NRA_model_for_NEMO2 (EMC Update) v0.29.5_NRA_model_for_NEMO2 (EMC Update) v0 30 1" xfId="1246"/>
    <cellStyle name="%_NRA_model_for_NEMO2 (EMC Update) v0.21_NRA_model_for_NEMO2 (EMC Update) v0.22_NRA_model_for_NEMO2 (EMC Update) v0.29_NRA_model_for_NEMO2 (EMC Update) v0.29.4" xfId="1248"/>
    <cellStyle name="%_NRA_model_for_NEMO2 (EMC Update) v0.21_NRA_model_for_NEMO2 (EMC Update) v0.22_NRA_model_for_NEMO2 (EMC Update) v0.29_NRA_model_for_NEMO2 (EMC Update) v0.29.4_NRA_model_for_NEMO2 (EMC Update) v0 30 1" xfId="1251"/>
    <cellStyle name="%_NRA_model_for_NEMO2 (EMC Update) v0.21_NRA_model_for_NEMO2 (EMC Update) v0.22_NRA_model_for_NEMO2 (EMC Update) v0.29_NRA_model_for_NEMO2 (EMC Update) v0.29.4_NRA_model_for_NEMO2 (EMC Update) v0.29.5" xfId="1249"/>
    <cellStyle name="%_NRA_model_for_NEMO2 (EMC Update) v0.21_NRA_model_for_NEMO2 (EMC Update) v0.22_NRA_model_for_NEMO2 (EMC Update) v0.29_NRA_model_for_NEMO2 (EMC Update) v0.29.4_NRA_model_for_NEMO2 (EMC Update) v0.29.5_NRA_model_for_NEMO2 (EMC Update) v0 30 1" xfId="1250"/>
    <cellStyle name="%_NRA_model_for_NEMO2 (EMC Update) v0.21_NRA_model_for_NEMO2 (EMC Update) v0.22_NRA_model_for_NEMO2 (EMC Update) v0.29_NRA_model_for_NEMO2 (EMC Update) v0.29.5" xfId="1252"/>
    <cellStyle name="%_NRA_model_for_NEMO2 (EMC Update) v0.21_NRA_model_for_NEMO2 (EMC Update) v0.22_NRA_model_for_NEMO2 (EMC Update) v0.29_NRA_model_for_NEMO2 (EMC Update) v0.29.5_NRA_model_for_NEMO2 (EMC Update) v0 30 1" xfId="1253"/>
    <cellStyle name="%_NRA_model_for_NEMO2 (EMC Update) v0.21_NRA_model_for_NEMO2 (EMC Update) v0.25" xfId="1256"/>
    <cellStyle name="%_NRA_model_for_NEMO2 (EMC Update) v0.21_NRA_model_for_NEMO2 (EMC Update) v0.25_NRA_model_for_NEMO2 (EMC Update) v0 30 1" xfId="1338"/>
    <cellStyle name="%_NRA_model_for_NEMO2 (EMC Update) v0.21_NRA_model_for_NEMO2 (EMC Update) v0.25_NRA_model_for_NEMO2 (EMC Update) v0.26" xfId="1257"/>
    <cellStyle name="%_NRA_model_for_NEMO2 (EMC Update) v0.21_NRA_model_for_NEMO2 (EMC Update) v0.25_NRA_model_for_NEMO2 (EMC Update) v0.26_NRA_model_for_NEMO2 (EMC Update) v0 30 1" xfId="1293"/>
    <cellStyle name="%_NRA_model_for_NEMO2 (EMC Update) v0.21_NRA_model_for_NEMO2 (EMC Update) v0.25_NRA_model_for_NEMO2 (EMC Update) v0.26_NRA_model_for_NEMO2 (EMC Update) v0.29" xfId="1258"/>
    <cellStyle name="%_NRA_model_for_NEMO2 (EMC Update) v0.21_NRA_model_for_NEMO2 (EMC Update) v0.25_NRA_model_for_NEMO2 (EMC Update) v0.26_NRA_model_for_NEMO2 (EMC Update) v0.29.2" xfId="1259"/>
    <cellStyle name="%_NRA_model_for_NEMO2 (EMC Update) v0.21_NRA_model_for_NEMO2 (EMC Update) v0.25_NRA_model_for_NEMO2 (EMC Update) v0.26_NRA_model_for_NEMO2 (EMC Update) v0.29.2_NRA_model_for_NEMO2 (EMC Update) v0 30 1" xfId="1268"/>
    <cellStyle name="%_NRA_model_for_NEMO2 (EMC Update) v0.21_NRA_model_for_NEMO2 (EMC Update) v0.25_NRA_model_for_NEMO2 (EMC Update) v0.26_NRA_model_for_NEMO2 (EMC Update) v0.29.2_NRA_model_for_NEMO2 (EMC Update) v0.29.3" xfId="1260"/>
    <cellStyle name="%_NRA_model_for_NEMO2 (EMC Update) v0.21_NRA_model_for_NEMO2 (EMC Update) v0.25_NRA_model_for_NEMO2 (EMC Update) v0.26_NRA_model_for_NEMO2 (EMC Update) v0.29.2_NRA_model_for_NEMO2 (EMC Update) v0.29.3_NRA_model_for_NEMO2 (EMC Update) v0 30 1" xfId="1262"/>
    <cellStyle name="%_NRA_model_for_NEMO2 (EMC Update) v0.21_NRA_model_for_NEMO2 (EMC Update) v0.25_NRA_model_for_NEMO2 (EMC Update) v0.26_NRA_model_for_NEMO2 (EMC Update) v0.29.2_NRA_model_for_NEMO2 (EMC Update) v0.29.3_NRA_model_for_NEMO2 (EMC Update) v0.29.5" xfId="1261"/>
    <cellStyle name="%_NRA_model_for_NEMO2 (EMC Update) v0.21_NRA_model_for_NEMO2 (EMC Update) v0.25_NRA_model_for_NEMO2 (EMC Update) v0.26_NRA_model_for_NEMO2 (EMC Update) v0.29.2_NRA_model_for_NEMO2 (EMC Update) v0.29.4" xfId="1263"/>
    <cellStyle name="%_NRA_model_for_NEMO2 (EMC Update) v0.21_NRA_model_for_NEMO2 (EMC Update) v0.25_NRA_model_for_NEMO2 (EMC Update) v0.26_NRA_model_for_NEMO2 (EMC Update) v0.29.2_NRA_model_for_NEMO2 (EMC Update) v0.29.4_NRA_model_for_NEMO2 (EMC Update) v0 30 1" xfId="1265"/>
    <cellStyle name="%_NRA_model_for_NEMO2 (EMC Update) v0.21_NRA_model_for_NEMO2 (EMC Update) v0.25_NRA_model_for_NEMO2 (EMC Update) v0.26_NRA_model_for_NEMO2 (EMC Update) v0.29.2_NRA_model_for_NEMO2 (EMC Update) v0.29.4_NRA_model_for_NEMO2 (EMC Update) v0.29.5" xfId="1264"/>
    <cellStyle name="%_NRA_model_for_NEMO2 (EMC Update) v0.21_NRA_model_for_NEMO2 (EMC Update) v0.25_NRA_model_for_NEMO2 (EMC Update) v0.26_NRA_model_for_NEMO2 (EMC Update) v0.29.2_NRA_model_for_NEMO2 (EMC Update) v0.29.5" xfId="1266"/>
    <cellStyle name="%_NRA_model_for_NEMO2 (EMC Update) v0.21_NRA_model_for_NEMO2 (EMC Update) v0.25_NRA_model_for_NEMO2 (EMC Update) v0.26_NRA_model_for_NEMO2 (EMC Update) v0.29.2_NRA_model_for_NEMO2 (EMC Update) v0.29.5_NRA_model_for_NEMO2 (EMC Update) v0 30 1" xfId="1267"/>
    <cellStyle name="%_NRA_model_for_NEMO2 (EMC Update) v0.21_NRA_model_for_NEMO2 (EMC Update) v0.25_NRA_model_for_NEMO2 (EMC Update) v0.26_NRA_model_for_NEMO2 (EMC Update) v0.29.3" xfId="1269"/>
    <cellStyle name="%_NRA_model_for_NEMO2 (EMC Update) v0.21_NRA_model_for_NEMO2 (EMC Update) v0.25_NRA_model_for_NEMO2 (EMC Update) v0.26_NRA_model_for_NEMO2 (EMC Update) v0.29.3_NRA_model_for_NEMO2 (EMC Update) v0 30 1" xfId="1272"/>
    <cellStyle name="%_NRA_model_for_NEMO2 (EMC Update) v0.21_NRA_model_for_NEMO2 (EMC Update) v0.25_NRA_model_for_NEMO2 (EMC Update) v0.26_NRA_model_for_NEMO2 (EMC Update) v0.29.3_NRA_model_for_NEMO2 (EMC Update) v0.29.5" xfId="1270"/>
    <cellStyle name="%_NRA_model_for_NEMO2 (EMC Update) v0.21_NRA_model_for_NEMO2 (EMC Update) v0.25_NRA_model_for_NEMO2 (EMC Update) v0.26_NRA_model_for_NEMO2 (EMC Update) v0.29.3_NRA_model_for_NEMO2 (EMC Update) v0.29.5_NRA_model_for_NEMO2 (EMC Update) v0 30 1" xfId="1271"/>
    <cellStyle name="%_NRA_model_for_NEMO2 (EMC Update) v0.21_NRA_model_for_NEMO2 (EMC Update) v0.25_NRA_model_for_NEMO2 (EMC Update) v0.26_NRA_model_for_NEMO2 (EMC Update) v0.29.4" xfId="1273"/>
    <cellStyle name="%_NRA_model_for_NEMO2 (EMC Update) v0.21_NRA_model_for_NEMO2 (EMC Update) v0.25_NRA_model_for_NEMO2 (EMC Update) v0.26_NRA_model_for_NEMO2 (EMC Update) v0.29.4_NRA_model_for_NEMO2 (EMC Update) v0 30 1" xfId="1276"/>
    <cellStyle name="%_NRA_model_for_NEMO2 (EMC Update) v0.21_NRA_model_for_NEMO2 (EMC Update) v0.25_NRA_model_for_NEMO2 (EMC Update) v0.26_NRA_model_for_NEMO2 (EMC Update) v0.29.4_NRA_model_for_NEMO2 (EMC Update) v0.29.5" xfId="1274"/>
    <cellStyle name="%_NRA_model_for_NEMO2 (EMC Update) v0.21_NRA_model_for_NEMO2 (EMC Update) v0.25_NRA_model_for_NEMO2 (EMC Update) v0.26_NRA_model_for_NEMO2 (EMC Update) v0.29.4_NRA_model_for_NEMO2 (EMC Update) v0.29.5_NRA_model_for_NEMO2 (EMC Update) v0 30 1" xfId="1275"/>
    <cellStyle name="%_NRA_model_for_NEMO2 (EMC Update) v0.21_NRA_model_for_NEMO2 (EMC Update) v0.25_NRA_model_for_NEMO2 (EMC Update) v0.26_NRA_model_for_NEMO2 (EMC Update) v0.29.5" xfId="1277"/>
    <cellStyle name="%_NRA_model_for_NEMO2 (EMC Update) v0.21_NRA_model_for_NEMO2 (EMC Update) v0.25_NRA_model_for_NEMO2 (EMC Update) v0.26_NRA_model_for_NEMO2 (EMC Update) v0.29.5_NRA_model_for_NEMO2 (EMC Update) v0 30 1" xfId="1278"/>
    <cellStyle name="%_NRA_model_for_NEMO2 (EMC Update) v0.21_NRA_model_for_NEMO2 (EMC Update) v0.25_NRA_model_for_NEMO2 (EMC Update) v0.26_NRA_model_for_NEMO2 (EMC Update) v0.29_NRA_model_for_NEMO2 (EMC Update) v0 30 1" xfId="1292"/>
    <cellStyle name="%_NRA_model_for_NEMO2 (EMC Update) v0.21_NRA_model_for_NEMO2 (EMC Update) v0.25_NRA_model_for_NEMO2 (EMC Update) v0.26_NRA_model_for_NEMO2 (EMC Update) v0.29_NRA_model_for_NEMO2 (EMC Update) v0.29.2" xfId="1279"/>
    <cellStyle name="%_NRA_model_for_NEMO2 (EMC Update) v0.21_NRA_model_for_NEMO2 (EMC Update) v0.25_NRA_model_for_NEMO2 (EMC Update) v0.26_NRA_model_for_NEMO2 (EMC Update) v0.29_NRA_model_for_NEMO2 (EMC Update) v0.29.2_NRA_model_for_NEMO2 (EMC Update) v0 30 1" xfId="1283"/>
    <cellStyle name="%_NRA_model_for_NEMO2 (EMC Update) v0.21_NRA_model_for_NEMO2 (EMC Update) v0.25_NRA_model_for_NEMO2 (EMC Update) v0.26_NRA_model_for_NEMO2 (EMC Update) v0.29_NRA_model_for_NEMO2 (EMC Update) v0.29.2_NRA_model_for_NEMO2 (EMC Update) v0.29.3" xfId="1280"/>
    <cellStyle name="%_NRA_model_for_NEMO2 (EMC Update) v0.21_NRA_model_for_NEMO2 (EMC Update) v0.25_NRA_model_for_NEMO2 (EMC Update) v0.26_NRA_model_for_NEMO2 (EMC Update) v0.29_NRA_model_for_NEMO2 (EMC Update) v0.29.2_NRA_model_for_NEMO2 (EMC Update) v0.29.4" xfId="1281"/>
    <cellStyle name="%_NRA_model_for_NEMO2 (EMC Update) v0.21_NRA_model_for_NEMO2 (EMC Update) v0.25_NRA_model_for_NEMO2 (EMC Update) v0.26_NRA_model_for_NEMO2 (EMC Update) v0.29_NRA_model_for_NEMO2 (EMC Update) v0.29.2_NRA_model_for_NEMO2 (EMC Update) v0.29.5" xfId="1282"/>
    <cellStyle name="%_NRA_model_for_NEMO2 (EMC Update) v0.21_NRA_model_for_NEMO2 (EMC Update) v0.25_NRA_model_for_NEMO2 (EMC Update) v0.26_NRA_model_for_NEMO2 (EMC Update) v0.29_NRA_model_for_NEMO2 (EMC Update) v0.29.3" xfId="1284"/>
    <cellStyle name="%_NRA_model_for_NEMO2 (EMC Update) v0.21_NRA_model_for_NEMO2 (EMC Update) v0.25_NRA_model_for_NEMO2 (EMC Update) v0.26_NRA_model_for_NEMO2 (EMC Update) v0.29_NRA_model_for_NEMO2 (EMC Update) v0.29.3_NRA_model_for_NEMO2 (EMC Update) v0 30 1" xfId="1286"/>
    <cellStyle name="%_NRA_model_for_NEMO2 (EMC Update) v0.21_NRA_model_for_NEMO2 (EMC Update) v0.25_NRA_model_for_NEMO2 (EMC Update) v0.26_NRA_model_for_NEMO2 (EMC Update) v0.29_NRA_model_for_NEMO2 (EMC Update) v0.29.3_NRA_model_for_NEMO2 (EMC Update) v0.29.5" xfId="1285"/>
    <cellStyle name="%_NRA_model_for_NEMO2 (EMC Update) v0.21_NRA_model_for_NEMO2 (EMC Update) v0.25_NRA_model_for_NEMO2 (EMC Update) v0.26_NRA_model_for_NEMO2 (EMC Update) v0.29_NRA_model_for_NEMO2 (EMC Update) v0.29.4" xfId="1287"/>
    <cellStyle name="%_NRA_model_for_NEMO2 (EMC Update) v0.21_NRA_model_for_NEMO2 (EMC Update) v0.25_NRA_model_for_NEMO2 (EMC Update) v0.26_NRA_model_for_NEMO2 (EMC Update) v0.29_NRA_model_for_NEMO2 (EMC Update) v0.29.4_NRA_model_for_NEMO2 (EMC Update) v0 30 1" xfId="1289"/>
    <cellStyle name="%_NRA_model_for_NEMO2 (EMC Update) v0.21_NRA_model_for_NEMO2 (EMC Update) v0.25_NRA_model_for_NEMO2 (EMC Update) v0.26_NRA_model_for_NEMO2 (EMC Update) v0.29_NRA_model_for_NEMO2 (EMC Update) v0.29.4_NRA_model_for_NEMO2 (EMC Update) v0.29.5" xfId="1288"/>
    <cellStyle name="%_NRA_model_for_NEMO2 (EMC Update) v0.21_NRA_model_for_NEMO2 (EMC Update) v0.25_NRA_model_for_NEMO2 (EMC Update) v0.26_NRA_model_for_NEMO2 (EMC Update) v0.29_NRA_model_for_NEMO2 (EMC Update) v0.29.5" xfId="1290"/>
    <cellStyle name="%_NRA_model_for_NEMO2 (EMC Update) v0.21_NRA_model_for_NEMO2 (EMC Update) v0.25_NRA_model_for_NEMO2 (EMC Update) v0.26_NRA_model_for_NEMO2 (EMC Update) v0.29_NRA_model_for_NEMO2 (EMC Update) v0.29.5_NRA_model_for_NEMO2 (EMC Update) v0 30 1" xfId="1291"/>
    <cellStyle name="%_NRA_model_for_NEMO2 (EMC Update) v0.21_NRA_model_for_NEMO2 (EMC Update) v0.25_NRA_model_for_NEMO2 (EMC Update) v0.29" xfId="1294"/>
    <cellStyle name="%_NRA_model_for_NEMO2 (EMC Update) v0.21_NRA_model_for_NEMO2 (EMC Update) v0.25_NRA_model_for_NEMO2 (EMC Update) v0.29.2" xfId="1295"/>
    <cellStyle name="%_NRA_model_for_NEMO2 (EMC Update) v0.21_NRA_model_for_NEMO2 (EMC Update) v0.25_NRA_model_for_NEMO2 (EMC Update) v0.29.2_NRA_model_for_NEMO2 (EMC Update) v0 30 1" xfId="1306"/>
    <cellStyle name="%_NRA_model_for_NEMO2 (EMC Update) v0.21_NRA_model_for_NEMO2 (EMC Update) v0.25_NRA_model_for_NEMO2 (EMC Update) v0.29.2_NRA_model_for_NEMO2 (EMC Update) v0.29.3" xfId="1296"/>
    <cellStyle name="%_NRA_model_for_NEMO2 (EMC Update) v0.21_NRA_model_for_NEMO2 (EMC Update) v0.25_NRA_model_for_NEMO2 (EMC Update) v0.29.2_NRA_model_for_NEMO2 (EMC Update) v0.29.3_NRA_model_for_NEMO2 (EMC Update) v0 30 1" xfId="1299"/>
    <cellStyle name="%_NRA_model_for_NEMO2 (EMC Update) v0.21_NRA_model_for_NEMO2 (EMC Update) v0.25_NRA_model_for_NEMO2 (EMC Update) v0.29.2_NRA_model_for_NEMO2 (EMC Update) v0.29.3_NRA_model_for_NEMO2 (EMC Update) v0.29.5" xfId="1297"/>
    <cellStyle name="%_NRA_model_for_NEMO2 (EMC Update) v0.21_NRA_model_for_NEMO2 (EMC Update) v0.25_NRA_model_for_NEMO2 (EMC Update) v0.29.2_NRA_model_for_NEMO2 (EMC Update) v0.29.3_NRA_model_for_NEMO2 (EMC Update) v0.29.5_NRA_model_for_NEMO2 (EMC Update) v0 30 1" xfId="1298"/>
    <cellStyle name="%_NRA_model_for_NEMO2 (EMC Update) v0.21_NRA_model_for_NEMO2 (EMC Update) v0.25_NRA_model_for_NEMO2 (EMC Update) v0.29.2_NRA_model_for_NEMO2 (EMC Update) v0.29.4" xfId="1300"/>
    <cellStyle name="%_NRA_model_for_NEMO2 (EMC Update) v0.21_NRA_model_for_NEMO2 (EMC Update) v0.25_NRA_model_for_NEMO2 (EMC Update) v0.29.2_NRA_model_for_NEMO2 (EMC Update) v0.29.4_NRA_model_for_NEMO2 (EMC Update) v0 30 1" xfId="1303"/>
    <cellStyle name="%_NRA_model_for_NEMO2 (EMC Update) v0.21_NRA_model_for_NEMO2 (EMC Update) v0.25_NRA_model_for_NEMO2 (EMC Update) v0.29.2_NRA_model_for_NEMO2 (EMC Update) v0.29.4_NRA_model_for_NEMO2 (EMC Update) v0.29.5" xfId="1301"/>
    <cellStyle name="%_NRA_model_for_NEMO2 (EMC Update) v0.21_NRA_model_for_NEMO2 (EMC Update) v0.25_NRA_model_for_NEMO2 (EMC Update) v0.29.2_NRA_model_for_NEMO2 (EMC Update) v0.29.4_NRA_model_for_NEMO2 (EMC Update) v0.29.5_NRA_model_for_NEMO2 (EMC Update) v0 30 1" xfId="1302"/>
    <cellStyle name="%_NRA_model_for_NEMO2 (EMC Update) v0.21_NRA_model_for_NEMO2 (EMC Update) v0.25_NRA_model_for_NEMO2 (EMC Update) v0.29.2_NRA_model_for_NEMO2 (EMC Update) v0.29.5" xfId="1304"/>
    <cellStyle name="%_NRA_model_for_NEMO2 (EMC Update) v0.21_NRA_model_for_NEMO2 (EMC Update) v0.25_NRA_model_for_NEMO2 (EMC Update) v0.29.2_NRA_model_for_NEMO2 (EMC Update) v0.29.5_NRA_model_for_NEMO2 (EMC Update) v0 30 1" xfId="1305"/>
    <cellStyle name="%_NRA_model_for_NEMO2 (EMC Update) v0.21_NRA_model_for_NEMO2 (EMC Update) v0.25_NRA_model_for_NEMO2 (EMC Update) v0.29.3" xfId="1307"/>
    <cellStyle name="%_NRA_model_for_NEMO2 (EMC Update) v0.21_NRA_model_for_NEMO2 (EMC Update) v0.25_NRA_model_for_NEMO2 (EMC Update) v0.29.3_NRA_model_for_NEMO2 (EMC Update) v0 30 1" xfId="1310"/>
    <cellStyle name="%_NRA_model_for_NEMO2 (EMC Update) v0.21_NRA_model_for_NEMO2 (EMC Update) v0.25_NRA_model_for_NEMO2 (EMC Update) v0.29.3_NRA_model_for_NEMO2 (EMC Update) v0.29.5" xfId="1308"/>
    <cellStyle name="%_NRA_model_for_NEMO2 (EMC Update) v0.21_NRA_model_for_NEMO2 (EMC Update) v0.25_NRA_model_for_NEMO2 (EMC Update) v0.29.3_NRA_model_for_NEMO2 (EMC Update) v0.29.5_NRA_model_for_NEMO2 (EMC Update) v0 30 1" xfId="1309"/>
    <cellStyle name="%_NRA_model_for_NEMO2 (EMC Update) v0.21_NRA_model_for_NEMO2 (EMC Update) v0.25_NRA_model_for_NEMO2 (EMC Update) v0.29.4" xfId="1311"/>
    <cellStyle name="%_NRA_model_for_NEMO2 (EMC Update) v0.21_NRA_model_for_NEMO2 (EMC Update) v0.25_NRA_model_for_NEMO2 (EMC Update) v0.29.4_NRA_model_for_NEMO2 (EMC Update) v0 30 1" xfId="1314"/>
    <cellStyle name="%_NRA_model_for_NEMO2 (EMC Update) v0.21_NRA_model_for_NEMO2 (EMC Update) v0.25_NRA_model_for_NEMO2 (EMC Update) v0.29.4_NRA_model_for_NEMO2 (EMC Update) v0.29.5" xfId="1312"/>
    <cellStyle name="%_NRA_model_for_NEMO2 (EMC Update) v0.21_NRA_model_for_NEMO2 (EMC Update) v0.25_NRA_model_for_NEMO2 (EMC Update) v0.29.4_NRA_model_for_NEMO2 (EMC Update) v0.29.5_NRA_model_for_NEMO2 (EMC Update) v0 30 1" xfId="1313"/>
    <cellStyle name="%_NRA_model_for_NEMO2 (EMC Update) v0.21_NRA_model_for_NEMO2 (EMC Update) v0.25_NRA_model_for_NEMO2 (EMC Update) v0.29.5" xfId="1315"/>
    <cellStyle name="%_NRA_model_for_NEMO2 (EMC Update) v0.21_NRA_model_for_NEMO2 (EMC Update) v0.25_NRA_model_for_NEMO2 (EMC Update) v0.29.5_NRA_model_for_NEMO2 (EMC Update) v0 30 1" xfId="1316"/>
    <cellStyle name="%_NRA_model_for_NEMO2 (EMC Update) v0.21_NRA_model_for_NEMO2 (EMC Update) v0.25_NRA_model_for_NEMO2 (EMC Update) v0.29_NRA_model_for_NEMO2 (EMC Update) v0 30 1" xfId="1337"/>
    <cellStyle name="%_NRA_model_for_NEMO2 (EMC Update) v0.21_NRA_model_for_NEMO2 (EMC Update) v0.25_NRA_model_for_NEMO2 (EMC Update) v0.29_NRA_model_for_NEMO2 (EMC Update) v0.29.2" xfId="1317"/>
    <cellStyle name="%_NRA_model_for_NEMO2 (EMC Update) v0.21_NRA_model_for_NEMO2 (EMC Update) v0.25_NRA_model_for_NEMO2 (EMC Update) v0.29_NRA_model_for_NEMO2 (EMC Update) v0.29.2_NRA_model_for_NEMO2 (EMC Update) v0 30 1" xfId="1326"/>
    <cellStyle name="%_NRA_model_for_NEMO2 (EMC Update) v0.21_NRA_model_for_NEMO2 (EMC Update) v0.25_NRA_model_for_NEMO2 (EMC Update) v0.29_NRA_model_for_NEMO2 (EMC Update) v0.29.2_NRA_model_for_NEMO2 (EMC Update) v0.29.3" xfId="1318"/>
    <cellStyle name="%_NRA_model_for_NEMO2 (EMC Update) v0.21_NRA_model_for_NEMO2 (EMC Update) v0.25_NRA_model_for_NEMO2 (EMC Update) v0.29_NRA_model_for_NEMO2 (EMC Update) v0.29.2_NRA_model_for_NEMO2 (EMC Update) v0.29.3_NRA_model_for_NEMO2 (EMC Update) v0 30 1" xfId="1320"/>
    <cellStyle name="%_NRA_model_for_NEMO2 (EMC Update) v0.21_NRA_model_for_NEMO2 (EMC Update) v0.25_NRA_model_for_NEMO2 (EMC Update) v0.29_NRA_model_for_NEMO2 (EMC Update) v0.29.2_NRA_model_for_NEMO2 (EMC Update) v0.29.3_NRA_model_for_NEMO2 (EMC Update) v0.29.5" xfId="1319"/>
    <cellStyle name="%_NRA_model_for_NEMO2 (EMC Update) v0.21_NRA_model_for_NEMO2 (EMC Update) v0.25_NRA_model_for_NEMO2 (EMC Update) v0.29_NRA_model_for_NEMO2 (EMC Update) v0.29.2_NRA_model_for_NEMO2 (EMC Update) v0.29.4" xfId="1321"/>
    <cellStyle name="%_NRA_model_for_NEMO2 (EMC Update) v0.21_NRA_model_for_NEMO2 (EMC Update) v0.25_NRA_model_for_NEMO2 (EMC Update) v0.29_NRA_model_for_NEMO2 (EMC Update) v0.29.2_NRA_model_for_NEMO2 (EMC Update) v0.29.4_NRA_model_for_NEMO2 (EMC Update) v0 30 1" xfId="1323"/>
    <cellStyle name="%_NRA_model_for_NEMO2 (EMC Update) v0.21_NRA_model_for_NEMO2 (EMC Update) v0.25_NRA_model_for_NEMO2 (EMC Update) v0.29_NRA_model_for_NEMO2 (EMC Update) v0.29.2_NRA_model_for_NEMO2 (EMC Update) v0.29.4_NRA_model_for_NEMO2 (EMC Update) v0.29.5" xfId="1322"/>
    <cellStyle name="%_NRA_model_for_NEMO2 (EMC Update) v0.21_NRA_model_for_NEMO2 (EMC Update) v0.25_NRA_model_for_NEMO2 (EMC Update) v0.29_NRA_model_for_NEMO2 (EMC Update) v0.29.2_NRA_model_for_NEMO2 (EMC Update) v0.29.5" xfId="1324"/>
    <cellStyle name="%_NRA_model_for_NEMO2 (EMC Update) v0.21_NRA_model_for_NEMO2 (EMC Update) v0.25_NRA_model_for_NEMO2 (EMC Update) v0.29_NRA_model_for_NEMO2 (EMC Update) v0.29.2_NRA_model_for_NEMO2 (EMC Update) v0.29.5_NRA_model_for_NEMO2 (EMC Update) v0 30 1" xfId="1325"/>
    <cellStyle name="%_NRA_model_for_NEMO2 (EMC Update) v0.21_NRA_model_for_NEMO2 (EMC Update) v0.25_NRA_model_for_NEMO2 (EMC Update) v0.29_NRA_model_for_NEMO2 (EMC Update) v0.29.3" xfId="1327"/>
    <cellStyle name="%_NRA_model_for_NEMO2 (EMC Update) v0.21_NRA_model_for_NEMO2 (EMC Update) v0.25_NRA_model_for_NEMO2 (EMC Update) v0.29_NRA_model_for_NEMO2 (EMC Update) v0.29.3_NRA_model_for_NEMO2 (EMC Update) v0 30 1" xfId="1330"/>
    <cellStyle name="%_NRA_model_for_NEMO2 (EMC Update) v0.21_NRA_model_for_NEMO2 (EMC Update) v0.25_NRA_model_for_NEMO2 (EMC Update) v0.29_NRA_model_for_NEMO2 (EMC Update) v0.29.3_NRA_model_for_NEMO2 (EMC Update) v0.29.5" xfId="1328"/>
    <cellStyle name="%_NRA_model_for_NEMO2 (EMC Update) v0.21_NRA_model_for_NEMO2 (EMC Update) v0.25_NRA_model_for_NEMO2 (EMC Update) v0.29_NRA_model_for_NEMO2 (EMC Update) v0.29.3_NRA_model_for_NEMO2 (EMC Update) v0.29.5_NRA_model_for_NEMO2 (EMC Update) v0 30 1" xfId="1329"/>
    <cellStyle name="%_NRA_model_for_NEMO2 (EMC Update) v0.21_NRA_model_for_NEMO2 (EMC Update) v0.25_NRA_model_for_NEMO2 (EMC Update) v0.29_NRA_model_for_NEMO2 (EMC Update) v0.29.4" xfId="1331"/>
    <cellStyle name="%_NRA_model_for_NEMO2 (EMC Update) v0.21_NRA_model_for_NEMO2 (EMC Update) v0.25_NRA_model_for_NEMO2 (EMC Update) v0.29_NRA_model_for_NEMO2 (EMC Update) v0.29.4_NRA_model_for_NEMO2 (EMC Update) v0 30 1" xfId="1334"/>
    <cellStyle name="%_NRA_model_for_NEMO2 (EMC Update) v0.21_NRA_model_for_NEMO2 (EMC Update) v0.25_NRA_model_for_NEMO2 (EMC Update) v0.29_NRA_model_for_NEMO2 (EMC Update) v0.29.4_NRA_model_for_NEMO2 (EMC Update) v0.29.5" xfId="1332"/>
    <cellStyle name="%_NRA_model_for_NEMO2 (EMC Update) v0.21_NRA_model_for_NEMO2 (EMC Update) v0.25_NRA_model_for_NEMO2 (EMC Update) v0.29_NRA_model_for_NEMO2 (EMC Update) v0.29.4_NRA_model_for_NEMO2 (EMC Update) v0.29.5_NRA_model_for_NEMO2 (EMC Update) v0 30 1" xfId="1333"/>
    <cellStyle name="%_NRA_model_for_NEMO2 (EMC Update) v0.21_NRA_model_for_NEMO2 (EMC Update) v0.25_NRA_model_for_NEMO2 (EMC Update) v0.29_NRA_model_for_NEMO2 (EMC Update) v0.29.5" xfId="1335"/>
    <cellStyle name="%_NRA_model_for_NEMO2 (EMC Update) v0.21_NRA_model_for_NEMO2 (EMC Update) v0.25_NRA_model_for_NEMO2 (EMC Update) v0.29_NRA_model_for_NEMO2 (EMC Update) v0.29.5_NRA_model_for_NEMO2 (EMC Update) v0 30 1" xfId="1336"/>
    <cellStyle name="%_NRA_model_for_NEMO2 (EMC Update) v0.21_NRA_model_for_NEMO2 (EMC Update) v0.26" xfId="1339"/>
    <cellStyle name="%_NRA_model_for_NEMO2 (EMC Update) v0.21_NRA_model_for_NEMO2 (EMC Update) v0.26_NRA_model_for_NEMO2 (EMC Update) v0 30 1" xfId="1384"/>
    <cellStyle name="%_NRA_model_for_NEMO2 (EMC Update) v0.21_NRA_model_for_NEMO2 (EMC Update) v0.26_NRA_model_for_NEMO2 (EMC Update) v0.29" xfId="1340"/>
    <cellStyle name="%_NRA_model_for_NEMO2 (EMC Update) v0.21_NRA_model_for_NEMO2 (EMC Update) v0.26_NRA_model_for_NEMO2 (EMC Update) v0.29.2" xfId="1341"/>
    <cellStyle name="%_NRA_model_for_NEMO2 (EMC Update) v0.21_NRA_model_for_NEMO2 (EMC Update) v0.26_NRA_model_for_NEMO2 (EMC Update) v0.29.2_NRA_model_for_NEMO2 (EMC Update) v0 30 1" xfId="1352"/>
    <cellStyle name="%_NRA_model_for_NEMO2 (EMC Update) v0.21_NRA_model_for_NEMO2 (EMC Update) v0.26_NRA_model_for_NEMO2 (EMC Update) v0.29.2_NRA_model_for_NEMO2 (EMC Update) v0.29.3" xfId="1342"/>
    <cellStyle name="%_NRA_model_for_NEMO2 (EMC Update) v0.21_NRA_model_for_NEMO2 (EMC Update) v0.26_NRA_model_for_NEMO2 (EMC Update) v0.29.2_NRA_model_for_NEMO2 (EMC Update) v0.29.3_NRA_model_for_NEMO2 (EMC Update) v0 30 1" xfId="1345"/>
    <cellStyle name="%_NRA_model_for_NEMO2 (EMC Update) v0.21_NRA_model_for_NEMO2 (EMC Update) v0.26_NRA_model_for_NEMO2 (EMC Update) v0.29.2_NRA_model_for_NEMO2 (EMC Update) v0.29.3_NRA_model_for_NEMO2 (EMC Update) v0.29.5" xfId="1343"/>
    <cellStyle name="%_NRA_model_for_NEMO2 (EMC Update) v0.21_NRA_model_for_NEMO2 (EMC Update) v0.26_NRA_model_for_NEMO2 (EMC Update) v0.29.2_NRA_model_for_NEMO2 (EMC Update) v0.29.3_NRA_model_for_NEMO2 (EMC Update) v0.29.5_NRA_model_for_NEMO2 (EMC Update) v0 30 1" xfId="1344"/>
    <cellStyle name="%_NRA_model_for_NEMO2 (EMC Update) v0.21_NRA_model_for_NEMO2 (EMC Update) v0.26_NRA_model_for_NEMO2 (EMC Update) v0.29.2_NRA_model_for_NEMO2 (EMC Update) v0.29.4" xfId="1346"/>
    <cellStyle name="%_NRA_model_for_NEMO2 (EMC Update) v0.21_NRA_model_for_NEMO2 (EMC Update) v0.26_NRA_model_for_NEMO2 (EMC Update) v0.29.2_NRA_model_for_NEMO2 (EMC Update) v0.29.4_NRA_model_for_NEMO2 (EMC Update) v0 30 1" xfId="1349"/>
    <cellStyle name="%_NRA_model_for_NEMO2 (EMC Update) v0.21_NRA_model_for_NEMO2 (EMC Update) v0.26_NRA_model_for_NEMO2 (EMC Update) v0.29.2_NRA_model_for_NEMO2 (EMC Update) v0.29.4_NRA_model_for_NEMO2 (EMC Update) v0.29.5" xfId="1347"/>
    <cellStyle name="%_NRA_model_for_NEMO2 (EMC Update) v0.21_NRA_model_for_NEMO2 (EMC Update) v0.26_NRA_model_for_NEMO2 (EMC Update) v0.29.2_NRA_model_for_NEMO2 (EMC Update) v0.29.4_NRA_model_for_NEMO2 (EMC Update) v0.29.5_NRA_model_for_NEMO2 (EMC Update) v0 30 1" xfId="1348"/>
    <cellStyle name="%_NRA_model_for_NEMO2 (EMC Update) v0.21_NRA_model_for_NEMO2 (EMC Update) v0.26_NRA_model_for_NEMO2 (EMC Update) v0.29.2_NRA_model_for_NEMO2 (EMC Update) v0.29.5" xfId="1350"/>
    <cellStyle name="%_NRA_model_for_NEMO2 (EMC Update) v0.21_NRA_model_for_NEMO2 (EMC Update) v0.26_NRA_model_for_NEMO2 (EMC Update) v0.29.2_NRA_model_for_NEMO2 (EMC Update) v0.29.5_NRA_model_for_NEMO2 (EMC Update) v0 30 1" xfId="1351"/>
    <cellStyle name="%_NRA_model_for_NEMO2 (EMC Update) v0.21_NRA_model_for_NEMO2 (EMC Update) v0.26_NRA_model_for_NEMO2 (EMC Update) v0.29.3" xfId="1353"/>
    <cellStyle name="%_NRA_model_for_NEMO2 (EMC Update) v0.21_NRA_model_for_NEMO2 (EMC Update) v0.26_NRA_model_for_NEMO2 (EMC Update) v0.29.3_NRA_model_for_NEMO2 (EMC Update) v0 30 1" xfId="1356"/>
    <cellStyle name="%_NRA_model_for_NEMO2 (EMC Update) v0.21_NRA_model_for_NEMO2 (EMC Update) v0.26_NRA_model_for_NEMO2 (EMC Update) v0.29.3_NRA_model_for_NEMO2 (EMC Update) v0.29.5" xfId="1354"/>
    <cellStyle name="%_NRA_model_for_NEMO2 (EMC Update) v0.21_NRA_model_for_NEMO2 (EMC Update) v0.26_NRA_model_for_NEMO2 (EMC Update) v0.29.3_NRA_model_for_NEMO2 (EMC Update) v0.29.5_NRA_model_for_NEMO2 (EMC Update) v0 30 1" xfId="1355"/>
    <cellStyle name="%_NRA_model_for_NEMO2 (EMC Update) v0.21_NRA_model_for_NEMO2 (EMC Update) v0.26_NRA_model_for_NEMO2 (EMC Update) v0.29.4" xfId="1357"/>
    <cellStyle name="%_NRA_model_for_NEMO2 (EMC Update) v0.21_NRA_model_for_NEMO2 (EMC Update) v0.26_NRA_model_for_NEMO2 (EMC Update) v0.29.4_NRA_model_for_NEMO2 (EMC Update) v0 30 1" xfId="1360"/>
    <cellStyle name="%_NRA_model_for_NEMO2 (EMC Update) v0.21_NRA_model_for_NEMO2 (EMC Update) v0.26_NRA_model_for_NEMO2 (EMC Update) v0.29.4_NRA_model_for_NEMO2 (EMC Update) v0.29.5" xfId="1358"/>
    <cellStyle name="%_NRA_model_for_NEMO2 (EMC Update) v0.21_NRA_model_for_NEMO2 (EMC Update) v0.26_NRA_model_for_NEMO2 (EMC Update) v0.29.4_NRA_model_for_NEMO2 (EMC Update) v0.29.5_NRA_model_for_NEMO2 (EMC Update) v0 30 1" xfId="1359"/>
    <cellStyle name="%_NRA_model_for_NEMO2 (EMC Update) v0.21_NRA_model_for_NEMO2 (EMC Update) v0.26_NRA_model_for_NEMO2 (EMC Update) v0.29.5" xfId="1361"/>
    <cellStyle name="%_NRA_model_for_NEMO2 (EMC Update) v0.21_NRA_model_for_NEMO2 (EMC Update) v0.26_NRA_model_for_NEMO2 (EMC Update) v0.29.5_NRA_model_for_NEMO2 (EMC Update) v0 30 1" xfId="1362"/>
    <cellStyle name="%_NRA_model_for_NEMO2 (EMC Update) v0.21_NRA_model_for_NEMO2 (EMC Update) v0.26_NRA_model_for_NEMO2 (EMC Update) v0.29_NRA_model_for_NEMO2 (EMC Update) v0 30 1" xfId="1383"/>
    <cellStyle name="%_NRA_model_for_NEMO2 (EMC Update) v0.21_NRA_model_for_NEMO2 (EMC Update) v0.26_NRA_model_for_NEMO2 (EMC Update) v0.29_NRA_model_for_NEMO2 (EMC Update) v0.29.2" xfId="1363"/>
    <cellStyle name="%_NRA_model_for_NEMO2 (EMC Update) v0.21_NRA_model_for_NEMO2 (EMC Update) v0.26_NRA_model_for_NEMO2 (EMC Update) v0.29_NRA_model_for_NEMO2 (EMC Update) v0.29.2_NRA_model_for_NEMO2 (EMC Update) v0 30 1" xfId="1372"/>
    <cellStyle name="%_NRA_model_for_NEMO2 (EMC Update) v0.21_NRA_model_for_NEMO2 (EMC Update) v0.26_NRA_model_for_NEMO2 (EMC Update) v0.29_NRA_model_for_NEMO2 (EMC Update) v0.29.2_NRA_model_for_NEMO2 (EMC Update) v0.29.3" xfId="1364"/>
    <cellStyle name="%_NRA_model_for_NEMO2 (EMC Update) v0.21_NRA_model_for_NEMO2 (EMC Update) v0.26_NRA_model_for_NEMO2 (EMC Update) v0.29_NRA_model_for_NEMO2 (EMC Update) v0.29.2_NRA_model_for_NEMO2 (EMC Update) v0.29.3_NRA_model_for_NEMO2 (EMC Update) v0 30 1" xfId="1366"/>
    <cellStyle name="%_NRA_model_for_NEMO2 (EMC Update) v0.21_NRA_model_for_NEMO2 (EMC Update) v0.26_NRA_model_for_NEMO2 (EMC Update) v0.29_NRA_model_for_NEMO2 (EMC Update) v0.29.2_NRA_model_for_NEMO2 (EMC Update) v0.29.3_NRA_model_for_NEMO2 (EMC Update) v0.29.5" xfId="1365"/>
    <cellStyle name="%_NRA_model_for_NEMO2 (EMC Update) v0.21_NRA_model_for_NEMO2 (EMC Update) v0.26_NRA_model_for_NEMO2 (EMC Update) v0.29_NRA_model_for_NEMO2 (EMC Update) v0.29.2_NRA_model_for_NEMO2 (EMC Update) v0.29.4" xfId="1367"/>
    <cellStyle name="%_NRA_model_for_NEMO2 (EMC Update) v0.21_NRA_model_for_NEMO2 (EMC Update) v0.26_NRA_model_for_NEMO2 (EMC Update) v0.29_NRA_model_for_NEMO2 (EMC Update) v0.29.2_NRA_model_for_NEMO2 (EMC Update) v0.29.4_NRA_model_for_NEMO2 (EMC Update) v0 30 1" xfId="1369"/>
    <cellStyle name="%_NRA_model_for_NEMO2 (EMC Update) v0.21_NRA_model_for_NEMO2 (EMC Update) v0.26_NRA_model_for_NEMO2 (EMC Update) v0.29_NRA_model_for_NEMO2 (EMC Update) v0.29.2_NRA_model_for_NEMO2 (EMC Update) v0.29.4_NRA_model_for_NEMO2 (EMC Update) v0.29.5" xfId="1368"/>
    <cellStyle name="%_NRA_model_for_NEMO2 (EMC Update) v0.21_NRA_model_for_NEMO2 (EMC Update) v0.26_NRA_model_for_NEMO2 (EMC Update) v0.29_NRA_model_for_NEMO2 (EMC Update) v0.29.2_NRA_model_for_NEMO2 (EMC Update) v0.29.5" xfId="1370"/>
    <cellStyle name="%_NRA_model_for_NEMO2 (EMC Update) v0.21_NRA_model_for_NEMO2 (EMC Update) v0.26_NRA_model_for_NEMO2 (EMC Update) v0.29_NRA_model_for_NEMO2 (EMC Update) v0.29.2_NRA_model_for_NEMO2 (EMC Update) v0.29.5_NRA_model_for_NEMO2 (EMC Update) v0 30 1" xfId="1371"/>
    <cellStyle name="%_NRA_model_for_NEMO2 (EMC Update) v0.21_NRA_model_for_NEMO2 (EMC Update) v0.26_NRA_model_for_NEMO2 (EMC Update) v0.29_NRA_model_for_NEMO2 (EMC Update) v0.29.3" xfId="1373"/>
    <cellStyle name="%_NRA_model_for_NEMO2 (EMC Update) v0.21_NRA_model_for_NEMO2 (EMC Update) v0.26_NRA_model_for_NEMO2 (EMC Update) v0.29_NRA_model_for_NEMO2 (EMC Update) v0.29.3_NRA_model_for_NEMO2 (EMC Update) v0 30 1" xfId="1376"/>
    <cellStyle name="%_NRA_model_for_NEMO2 (EMC Update) v0.21_NRA_model_for_NEMO2 (EMC Update) v0.26_NRA_model_for_NEMO2 (EMC Update) v0.29_NRA_model_for_NEMO2 (EMC Update) v0.29.3_NRA_model_for_NEMO2 (EMC Update) v0.29.5" xfId="1374"/>
    <cellStyle name="%_NRA_model_for_NEMO2 (EMC Update) v0.21_NRA_model_for_NEMO2 (EMC Update) v0.26_NRA_model_for_NEMO2 (EMC Update) v0.29_NRA_model_for_NEMO2 (EMC Update) v0.29.3_NRA_model_for_NEMO2 (EMC Update) v0.29.5_NRA_model_for_NEMO2 (EMC Update) v0 30 1" xfId="1375"/>
    <cellStyle name="%_NRA_model_for_NEMO2 (EMC Update) v0.21_NRA_model_for_NEMO2 (EMC Update) v0.26_NRA_model_for_NEMO2 (EMC Update) v0.29_NRA_model_for_NEMO2 (EMC Update) v0.29.4" xfId="1377"/>
    <cellStyle name="%_NRA_model_for_NEMO2 (EMC Update) v0.21_NRA_model_for_NEMO2 (EMC Update) v0.26_NRA_model_for_NEMO2 (EMC Update) v0.29_NRA_model_for_NEMO2 (EMC Update) v0.29.4_NRA_model_for_NEMO2 (EMC Update) v0 30 1" xfId="1380"/>
    <cellStyle name="%_NRA_model_for_NEMO2 (EMC Update) v0.21_NRA_model_for_NEMO2 (EMC Update) v0.26_NRA_model_for_NEMO2 (EMC Update) v0.29_NRA_model_for_NEMO2 (EMC Update) v0.29.4_NRA_model_for_NEMO2 (EMC Update) v0.29.5" xfId="1378"/>
    <cellStyle name="%_NRA_model_for_NEMO2 (EMC Update) v0.21_NRA_model_for_NEMO2 (EMC Update) v0.26_NRA_model_for_NEMO2 (EMC Update) v0.29_NRA_model_for_NEMO2 (EMC Update) v0.29.4_NRA_model_for_NEMO2 (EMC Update) v0.29.5_NRA_model_for_NEMO2 (EMC Update) v0 30 1" xfId="1379"/>
    <cellStyle name="%_NRA_model_for_NEMO2 (EMC Update) v0.21_NRA_model_for_NEMO2 (EMC Update) v0.26_NRA_model_for_NEMO2 (EMC Update) v0.29_NRA_model_for_NEMO2 (EMC Update) v0.29.5" xfId="1381"/>
    <cellStyle name="%_NRA_model_for_NEMO2 (EMC Update) v0.21_NRA_model_for_NEMO2 (EMC Update) v0.26_NRA_model_for_NEMO2 (EMC Update) v0.29_NRA_model_for_NEMO2 (EMC Update) v0.29.5_NRA_model_for_NEMO2 (EMC Update) v0 30 1" xfId="1382"/>
    <cellStyle name="%_NRA_model_for_NEMO2 (EMC Update) v0.21_NRA_model_for_NEMO2 (EMC Update) v0.29" xfId="1385"/>
    <cellStyle name="%_NRA_model_for_NEMO2 (EMC Update) v0.21_NRA_model_for_NEMO2 (EMC Update) v0.29.2" xfId="1386"/>
    <cellStyle name="%_NRA_model_for_NEMO2 (EMC Update) v0.21_NRA_model_for_NEMO2 (EMC Update) v0.29.2_NRA_model_for_NEMO2 (EMC Update) v0 30 1" xfId="1397"/>
    <cellStyle name="%_NRA_model_for_NEMO2 (EMC Update) v0.21_NRA_model_for_NEMO2 (EMC Update) v0.29.2_NRA_model_for_NEMO2 (EMC Update) v0.29.3" xfId="1387"/>
    <cellStyle name="%_NRA_model_for_NEMO2 (EMC Update) v0.21_NRA_model_for_NEMO2 (EMC Update) v0.29.2_NRA_model_for_NEMO2 (EMC Update) v0.29.3_NRA_model_for_NEMO2 (EMC Update) v0 30 1" xfId="1390"/>
    <cellStyle name="%_NRA_model_for_NEMO2 (EMC Update) v0.21_NRA_model_for_NEMO2 (EMC Update) v0.29.2_NRA_model_for_NEMO2 (EMC Update) v0.29.3_NRA_model_for_NEMO2 (EMC Update) v0.29.5" xfId="1388"/>
    <cellStyle name="%_NRA_model_for_NEMO2 (EMC Update) v0.21_NRA_model_for_NEMO2 (EMC Update) v0.29.2_NRA_model_for_NEMO2 (EMC Update) v0.29.3_NRA_model_for_NEMO2 (EMC Update) v0.29.5_NRA_model_for_NEMO2 (EMC Update) v0 30 1" xfId="1389"/>
    <cellStyle name="%_NRA_model_for_NEMO2 (EMC Update) v0.21_NRA_model_for_NEMO2 (EMC Update) v0.29.2_NRA_model_for_NEMO2 (EMC Update) v0.29.4" xfId="1391"/>
    <cellStyle name="%_NRA_model_for_NEMO2 (EMC Update) v0.21_NRA_model_for_NEMO2 (EMC Update) v0.29.2_NRA_model_for_NEMO2 (EMC Update) v0.29.4_NRA_model_for_NEMO2 (EMC Update) v0 30 1" xfId="1394"/>
    <cellStyle name="%_NRA_model_for_NEMO2 (EMC Update) v0.21_NRA_model_for_NEMO2 (EMC Update) v0.29.2_NRA_model_for_NEMO2 (EMC Update) v0.29.4_NRA_model_for_NEMO2 (EMC Update) v0.29.5" xfId="1392"/>
    <cellStyle name="%_NRA_model_for_NEMO2 (EMC Update) v0.21_NRA_model_for_NEMO2 (EMC Update) v0.29.2_NRA_model_for_NEMO2 (EMC Update) v0.29.4_NRA_model_for_NEMO2 (EMC Update) v0.29.5_NRA_model_for_NEMO2 (EMC Update) v0 30 1" xfId="1393"/>
    <cellStyle name="%_NRA_model_for_NEMO2 (EMC Update) v0.21_NRA_model_for_NEMO2 (EMC Update) v0.29.2_NRA_model_for_NEMO2 (EMC Update) v0.29.5" xfId="1395"/>
    <cellStyle name="%_NRA_model_for_NEMO2 (EMC Update) v0.21_NRA_model_for_NEMO2 (EMC Update) v0.29.2_NRA_model_for_NEMO2 (EMC Update) v0.29.5_NRA_model_for_NEMO2 (EMC Update) v0 30 1" xfId="1396"/>
    <cellStyle name="%_NRA_model_for_NEMO2 (EMC Update) v0.21_NRA_model_for_NEMO2 (EMC Update) v0.29.3" xfId="1398"/>
    <cellStyle name="%_NRA_model_for_NEMO2 (EMC Update) v0.21_NRA_model_for_NEMO2 (EMC Update) v0.29.3_NRA_model_for_NEMO2 (EMC Update) v0 30 1" xfId="1401"/>
    <cellStyle name="%_NRA_model_for_NEMO2 (EMC Update) v0.21_NRA_model_for_NEMO2 (EMC Update) v0.29.3_NRA_model_for_NEMO2 (EMC Update) v0.29.5" xfId="1399"/>
    <cellStyle name="%_NRA_model_for_NEMO2 (EMC Update) v0.21_NRA_model_for_NEMO2 (EMC Update) v0.29.3_NRA_model_for_NEMO2 (EMC Update) v0.29.5_NRA_model_for_NEMO2 (EMC Update) v0 30 1" xfId="1400"/>
    <cellStyle name="%_NRA_model_for_NEMO2 (EMC Update) v0.21_NRA_model_for_NEMO2 (EMC Update) v0.29.4" xfId="1402"/>
    <cellStyle name="%_NRA_model_for_NEMO2 (EMC Update) v0.21_NRA_model_for_NEMO2 (EMC Update) v0.29.4_NRA_model_for_NEMO2 (EMC Update) v0 30 1" xfId="1405"/>
    <cellStyle name="%_NRA_model_for_NEMO2 (EMC Update) v0.21_NRA_model_for_NEMO2 (EMC Update) v0.29.4_NRA_model_for_NEMO2 (EMC Update) v0.29.5" xfId="1403"/>
    <cellStyle name="%_NRA_model_for_NEMO2 (EMC Update) v0.21_NRA_model_for_NEMO2 (EMC Update) v0.29.4_NRA_model_for_NEMO2 (EMC Update) v0.29.5_NRA_model_for_NEMO2 (EMC Update) v0 30 1" xfId="1404"/>
    <cellStyle name="%_NRA_model_for_NEMO2 (EMC Update) v0.21_NRA_model_for_NEMO2 (EMC Update) v0.29.5" xfId="1406"/>
    <cellStyle name="%_NRA_model_for_NEMO2 (EMC Update) v0.21_NRA_model_for_NEMO2 (EMC Update) v0.29.5_NRA_model_for_NEMO2 (EMC Update) v0 30 1" xfId="1407"/>
    <cellStyle name="%_NRA_model_for_NEMO2 (EMC Update) v0.21_NRA_model_for_NEMO2 (EMC Update) v0.29_NRA_model_for_NEMO2 (EMC Update) v0 30 1" xfId="1430"/>
    <cellStyle name="%_NRA_model_for_NEMO2 (EMC Update) v0.21_NRA_model_for_NEMO2 (EMC Update) v0.29_NRA_model_for_NEMO2 (EMC Update) v0.29.2" xfId="1408"/>
    <cellStyle name="%_NRA_model_for_NEMO2 (EMC Update) v0.21_NRA_model_for_NEMO2 (EMC Update) v0.29_NRA_model_for_NEMO2 (EMC Update) v0.29.2_NRA_model_for_NEMO2 (EMC Update) v0 30 1" xfId="1419"/>
    <cellStyle name="%_NRA_model_for_NEMO2 (EMC Update) v0.21_NRA_model_for_NEMO2 (EMC Update) v0.29_NRA_model_for_NEMO2 (EMC Update) v0.29.2_NRA_model_for_NEMO2 (EMC Update) v0.29.3" xfId="1409"/>
    <cellStyle name="%_NRA_model_for_NEMO2 (EMC Update) v0.21_NRA_model_for_NEMO2 (EMC Update) v0.29_NRA_model_for_NEMO2 (EMC Update) v0.29.2_NRA_model_for_NEMO2 (EMC Update) v0.29.3_NRA_model_for_NEMO2 (EMC Update) v0 30 1" xfId="1412"/>
    <cellStyle name="%_NRA_model_for_NEMO2 (EMC Update) v0.21_NRA_model_for_NEMO2 (EMC Update) v0.29_NRA_model_for_NEMO2 (EMC Update) v0.29.2_NRA_model_for_NEMO2 (EMC Update) v0.29.3_NRA_model_for_NEMO2 (EMC Update) v0.29.5" xfId="1410"/>
    <cellStyle name="%_NRA_model_for_NEMO2 (EMC Update) v0.21_NRA_model_for_NEMO2 (EMC Update) v0.29_NRA_model_for_NEMO2 (EMC Update) v0.29.2_NRA_model_for_NEMO2 (EMC Update) v0.29.3_NRA_model_for_NEMO2 (EMC Update) v0.29.5_NRA_model_for_NEMO2 (EMC Update) v0 30 1" xfId="1411"/>
    <cellStyle name="%_NRA_model_for_NEMO2 (EMC Update) v0.21_NRA_model_for_NEMO2 (EMC Update) v0.29_NRA_model_for_NEMO2 (EMC Update) v0.29.2_NRA_model_for_NEMO2 (EMC Update) v0.29.4" xfId="1413"/>
    <cellStyle name="%_NRA_model_for_NEMO2 (EMC Update) v0.21_NRA_model_for_NEMO2 (EMC Update) v0.29_NRA_model_for_NEMO2 (EMC Update) v0.29.2_NRA_model_for_NEMO2 (EMC Update) v0.29.4_NRA_model_for_NEMO2 (EMC Update) v0 30 1" xfId="1416"/>
    <cellStyle name="%_NRA_model_for_NEMO2 (EMC Update) v0.21_NRA_model_for_NEMO2 (EMC Update) v0.29_NRA_model_for_NEMO2 (EMC Update) v0.29.2_NRA_model_for_NEMO2 (EMC Update) v0.29.4_NRA_model_for_NEMO2 (EMC Update) v0.29.5" xfId="1414"/>
    <cellStyle name="%_NRA_model_for_NEMO2 (EMC Update) v0.21_NRA_model_for_NEMO2 (EMC Update) v0.29_NRA_model_for_NEMO2 (EMC Update) v0.29.2_NRA_model_for_NEMO2 (EMC Update) v0.29.4_NRA_model_for_NEMO2 (EMC Update) v0.29.5_NRA_model_for_NEMO2 (EMC Update) v0 30 1" xfId="1415"/>
    <cellStyle name="%_NRA_model_for_NEMO2 (EMC Update) v0.21_NRA_model_for_NEMO2 (EMC Update) v0.29_NRA_model_for_NEMO2 (EMC Update) v0.29.2_NRA_model_for_NEMO2 (EMC Update) v0.29.5" xfId="1417"/>
    <cellStyle name="%_NRA_model_for_NEMO2 (EMC Update) v0.21_NRA_model_for_NEMO2 (EMC Update) v0.29_NRA_model_for_NEMO2 (EMC Update) v0.29.2_NRA_model_for_NEMO2 (EMC Update) v0.29.5_NRA_model_for_NEMO2 (EMC Update) v0 30 1" xfId="1418"/>
    <cellStyle name="%_NRA_model_for_NEMO2 (EMC Update) v0.21_NRA_model_for_NEMO2 (EMC Update) v0.29_NRA_model_for_NEMO2 (EMC Update) v0.29.3" xfId="1420"/>
    <cellStyle name="%_NRA_model_for_NEMO2 (EMC Update) v0.21_NRA_model_for_NEMO2 (EMC Update) v0.29_NRA_model_for_NEMO2 (EMC Update) v0.29.3_NRA_model_for_NEMO2 (EMC Update) v0 30 1" xfId="1423"/>
    <cellStyle name="%_NRA_model_for_NEMO2 (EMC Update) v0.21_NRA_model_for_NEMO2 (EMC Update) v0.29_NRA_model_for_NEMO2 (EMC Update) v0.29.3_NRA_model_for_NEMO2 (EMC Update) v0.29.5" xfId="1421"/>
    <cellStyle name="%_NRA_model_for_NEMO2 (EMC Update) v0.21_NRA_model_for_NEMO2 (EMC Update) v0.29_NRA_model_for_NEMO2 (EMC Update) v0.29.3_NRA_model_for_NEMO2 (EMC Update) v0.29.5_NRA_model_for_NEMO2 (EMC Update) v0 30 1" xfId="1422"/>
    <cellStyle name="%_NRA_model_for_NEMO2 (EMC Update) v0.21_NRA_model_for_NEMO2 (EMC Update) v0.29_NRA_model_for_NEMO2 (EMC Update) v0.29.4" xfId="1424"/>
    <cellStyle name="%_NRA_model_for_NEMO2 (EMC Update) v0.21_NRA_model_for_NEMO2 (EMC Update) v0.29_NRA_model_for_NEMO2 (EMC Update) v0.29.4_NRA_model_for_NEMO2 (EMC Update) v0 30 1" xfId="1427"/>
    <cellStyle name="%_NRA_model_for_NEMO2 (EMC Update) v0.21_NRA_model_for_NEMO2 (EMC Update) v0.29_NRA_model_for_NEMO2 (EMC Update) v0.29.4_NRA_model_for_NEMO2 (EMC Update) v0.29.5" xfId="1425"/>
    <cellStyle name="%_NRA_model_for_NEMO2 (EMC Update) v0.21_NRA_model_for_NEMO2 (EMC Update) v0.29_NRA_model_for_NEMO2 (EMC Update) v0.29.4_NRA_model_for_NEMO2 (EMC Update) v0.29.5_NRA_model_for_NEMO2 (EMC Update) v0 30 1" xfId="1426"/>
    <cellStyle name="%_NRA_model_for_NEMO2 (EMC Update) v0.21_NRA_model_for_NEMO2 (EMC Update) v0.29_NRA_model_for_NEMO2 (EMC Update) v0.29.5" xfId="1428"/>
    <cellStyle name="%_NRA_model_for_NEMO2 (EMC Update) v0.21_NRA_model_for_NEMO2 (EMC Update) v0.29_NRA_model_for_NEMO2 (EMC Update) v0.29.5_NRA_model_for_NEMO2 (EMC Update) v0 30 1" xfId="1429"/>
    <cellStyle name="%_NRA_model_for_NEMO2 (EMC Update) v0.22" xfId="1432"/>
    <cellStyle name="%_NRA_model_for_NEMO2 (EMC Update) v0.22_NRA_model_for_NEMO2 (EMC Update) v0 30 1" xfId="1608"/>
    <cellStyle name="%_NRA_model_for_NEMO2 (EMC Update) v0.22_NRA_model_for_NEMO2 (EMC Update) v0.25" xfId="1433"/>
    <cellStyle name="%_NRA_model_for_NEMO2 (EMC Update) v0.22_NRA_model_for_NEMO2 (EMC Update) v0.25_NRA_model_for_NEMO2 (EMC Update) v0 30 1" xfId="1515"/>
    <cellStyle name="%_NRA_model_for_NEMO2 (EMC Update) v0.22_NRA_model_for_NEMO2 (EMC Update) v0.25_NRA_model_for_NEMO2 (EMC Update) v0.26" xfId="1434"/>
    <cellStyle name="%_NRA_model_for_NEMO2 (EMC Update) v0.22_NRA_model_for_NEMO2 (EMC Update) v0.25_NRA_model_for_NEMO2 (EMC Update) v0.26_NRA_model_for_NEMO2 (EMC Update) v0 30 1" xfId="1470"/>
    <cellStyle name="%_NRA_model_for_NEMO2 (EMC Update) v0.22_NRA_model_for_NEMO2 (EMC Update) v0.25_NRA_model_for_NEMO2 (EMC Update) v0.26_NRA_model_for_NEMO2 (EMC Update) v0.29" xfId="1435"/>
    <cellStyle name="%_NRA_model_for_NEMO2 (EMC Update) v0.22_NRA_model_for_NEMO2 (EMC Update) v0.25_NRA_model_for_NEMO2 (EMC Update) v0.26_NRA_model_for_NEMO2 (EMC Update) v0.29.2" xfId="1436"/>
    <cellStyle name="%_NRA_model_for_NEMO2 (EMC Update) v0.22_NRA_model_for_NEMO2 (EMC Update) v0.25_NRA_model_for_NEMO2 (EMC Update) v0.26_NRA_model_for_NEMO2 (EMC Update) v0.29.2_NRA_model_for_NEMO2 (EMC Update) v0 30 1" xfId="1445"/>
    <cellStyle name="%_NRA_model_for_NEMO2 (EMC Update) v0.22_NRA_model_for_NEMO2 (EMC Update) v0.25_NRA_model_for_NEMO2 (EMC Update) v0.26_NRA_model_for_NEMO2 (EMC Update) v0.29.2_NRA_model_for_NEMO2 (EMC Update) v0.29.3" xfId="1437"/>
    <cellStyle name="%_NRA_model_for_NEMO2 (EMC Update) v0.22_NRA_model_for_NEMO2 (EMC Update) v0.25_NRA_model_for_NEMO2 (EMC Update) v0.26_NRA_model_for_NEMO2 (EMC Update) v0.29.2_NRA_model_for_NEMO2 (EMC Update) v0.29.3_NRA_model_for_NEMO2 (EMC Update) v0 30 1" xfId="1439"/>
    <cellStyle name="%_NRA_model_for_NEMO2 (EMC Update) v0.22_NRA_model_for_NEMO2 (EMC Update) v0.25_NRA_model_for_NEMO2 (EMC Update) v0.26_NRA_model_for_NEMO2 (EMC Update) v0.29.2_NRA_model_for_NEMO2 (EMC Update) v0.29.3_NRA_model_for_NEMO2 (EMC Update) v0.29.5" xfId="1438"/>
    <cellStyle name="%_NRA_model_for_NEMO2 (EMC Update) v0.22_NRA_model_for_NEMO2 (EMC Update) v0.25_NRA_model_for_NEMO2 (EMC Update) v0.26_NRA_model_for_NEMO2 (EMC Update) v0.29.2_NRA_model_for_NEMO2 (EMC Update) v0.29.4" xfId="1440"/>
    <cellStyle name="%_NRA_model_for_NEMO2 (EMC Update) v0.22_NRA_model_for_NEMO2 (EMC Update) v0.25_NRA_model_for_NEMO2 (EMC Update) v0.26_NRA_model_for_NEMO2 (EMC Update) v0.29.2_NRA_model_for_NEMO2 (EMC Update) v0.29.4_NRA_model_for_NEMO2 (EMC Update) v0 30 1" xfId="1442"/>
    <cellStyle name="%_NRA_model_for_NEMO2 (EMC Update) v0.22_NRA_model_for_NEMO2 (EMC Update) v0.25_NRA_model_for_NEMO2 (EMC Update) v0.26_NRA_model_for_NEMO2 (EMC Update) v0.29.2_NRA_model_for_NEMO2 (EMC Update) v0.29.4_NRA_model_for_NEMO2 (EMC Update) v0.29.5" xfId="1441"/>
    <cellStyle name="%_NRA_model_for_NEMO2 (EMC Update) v0.22_NRA_model_for_NEMO2 (EMC Update) v0.25_NRA_model_for_NEMO2 (EMC Update) v0.26_NRA_model_for_NEMO2 (EMC Update) v0.29.2_NRA_model_for_NEMO2 (EMC Update) v0.29.5" xfId="1443"/>
    <cellStyle name="%_NRA_model_for_NEMO2 (EMC Update) v0.22_NRA_model_for_NEMO2 (EMC Update) v0.25_NRA_model_for_NEMO2 (EMC Update) v0.26_NRA_model_for_NEMO2 (EMC Update) v0.29.2_NRA_model_for_NEMO2 (EMC Update) v0.29.5_NRA_model_for_NEMO2 (EMC Update) v0 30 1" xfId="1444"/>
    <cellStyle name="%_NRA_model_for_NEMO2 (EMC Update) v0.22_NRA_model_for_NEMO2 (EMC Update) v0.25_NRA_model_for_NEMO2 (EMC Update) v0.26_NRA_model_for_NEMO2 (EMC Update) v0.29.3" xfId="1446"/>
    <cellStyle name="%_NRA_model_for_NEMO2 (EMC Update) v0.22_NRA_model_for_NEMO2 (EMC Update) v0.25_NRA_model_for_NEMO2 (EMC Update) v0.26_NRA_model_for_NEMO2 (EMC Update) v0.29.3_NRA_model_for_NEMO2 (EMC Update) v0 30 1" xfId="1449"/>
    <cellStyle name="%_NRA_model_for_NEMO2 (EMC Update) v0.22_NRA_model_for_NEMO2 (EMC Update) v0.25_NRA_model_for_NEMO2 (EMC Update) v0.26_NRA_model_for_NEMO2 (EMC Update) v0.29.3_NRA_model_for_NEMO2 (EMC Update) v0.29.5" xfId="1447"/>
    <cellStyle name="%_NRA_model_for_NEMO2 (EMC Update) v0.22_NRA_model_for_NEMO2 (EMC Update) v0.25_NRA_model_for_NEMO2 (EMC Update) v0.26_NRA_model_for_NEMO2 (EMC Update) v0.29.3_NRA_model_for_NEMO2 (EMC Update) v0.29.5_NRA_model_for_NEMO2 (EMC Update) v0 30 1" xfId="1448"/>
    <cellStyle name="%_NRA_model_for_NEMO2 (EMC Update) v0.22_NRA_model_for_NEMO2 (EMC Update) v0.25_NRA_model_for_NEMO2 (EMC Update) v0.26_NRA_model_for_NEMO2 (EMC Update) v0.29.4" xfId="1450"/>
    <cellStyle name="%_NRA_model_for_NEMO2 (EMC Update) v0.22_NRA_model_for_NEMO2 (EMC Update) v0.25_NRA_model_for_NEMO2 (EMC Update) v0.26_NRA_model_for_NEMO2 (EMC Update) v0.29.4_NRA_model_for_NEMO2 (EMC Update) v0 30 1" xfId="1453"/>
    <cellStyle name="%_NRA_model_for_NEMO2 (EMC Update) v0.22_NRA_model_for_NEMO2 (EMC Update) v0.25_NRA_model_for_NEMO2 (EMC Update) v0.26_NRA_model_for_NEMO2 (EMC Update) v0.29.4_NRA_model_for_NEMO2 (EMC Update) v0.29.5" xfId="1451"/>
    <cellStyle name="%_NRA_model_for_NEMO2 (EMC Update) v0.22_NRA_model_for_NEMO2 (EMC Update) v0.25_NRA_model_for_NEMO2 (EMC Update) v0.26_NRA_model_for_NEMO2 (EMC Update) v0.29.4_NRA_model_for_NEMO2 (EMC Update) v0.29.5_NRA_model_for_NEMO2 (EMC Update) v0 30 1" xfId="1452"/>
    <cellStyle name="%_NRA_model_for_NEMO2 (EMC Update) v0.22_NRA_model_for_NEMO2 (EMC Update) v0.25_NRA_model_for_NEMO2 (EMC Update) v0.26_NRA_model_for_NEMO2 (EMC Update) v0.29.5" xfId="1454"/>
    <cellStyle name="%_NRA_model_for_NEMO2 (EMC Update) v0.22_NRA_model_for_NEMO2 (EMC Update) v0.25_NRA_model_for_NEMO2 (EMC Update) v0.26_NRA_model_for_NEMO2 (EMC Update) v0.29.5_NRA_model_for_NEMO2 (EMC Update) v0 30 1" xfId="1455"/>
    <cellStyle name="%_NRA_model_for_NEMO2 (EMC Update) v0.22_NRA_model_for_NEMO2 (EMC Update) v0.25_NRA_model_for_NEMO2 (EMC Update) v0.26_NRA_model_for_NEMO2 (EMC Update) v0.29_NRA_model_for_NEMO2 (EMC Update) v0 30 1" xfId="1469"/>
    <cellStyle name="%_NRA_model_for_NEMO2 (EMC Update) v0.22_NRA_model_for_NEMO2 (EMC Update) v0.25_NRA_model_for_NEMO2 (EMC Update) v0.26_NRA_model_for_NEMO2 (EMC Update) v0.29_NRA_model_for_NEMO2 (EMC Update) v0.29.2" xfId="1456"/>
    <cellStyle name="%_NRA_model_for_NEMO2 (EMC Update) v0.22_NRA_model_for_NEMO2 (EMC Update) v0.25_NRA_model_for_NEMO2 (EMC Update) v0.26_NRA_model_for_NEMO2 (EMC Update) v0.29_NRA_model_for_NEMO2 (EMC Update) v0.29.2_NRA_model_for_NEMO2 (EMC Update) v0 30 1" xfId="1460"/>
    <cellStyle name="%_NRA_model_for_NEMO2 (EMC Update) v0.22_NRA_model_for_NEMO2 (EMC Update) v0.25_NRA_model_for_NEMO2 (EMC Update) v0.26_NRA_model_for_NEMO2 (EMC Update) v0.29_NRA_model_for_NEMO2 (EMC Update) v0.29.2_NRA_model_for_NEMO2 (EMC Update) v0.29.3" xfId="1457"/>
    <cellStyle name="%_NRA_model_for_NEMO2 (EMC Update) v0.22_NRA_model_for_NEMO2 (EMC Update) v0.25_NRA_model_for_NEMO2 (EMC Update) v0.26_NRA_model_for_NEMO2 (EMC Update) v0.29_NRA_model_for_NEMO2 (EMC Update) v0.29.2_NRA_model_for_NEMO2 (EMC Update) v0.29.4" xfId="1458"/>
    <cellStyle name="%_NRA_model_for_NEMO2 (EMC Update) v0.22_NRA_model_for_NEMO2 (EMC Update) v0.25_NRA_model_for_NEMO2 (EMC Update) v0.26_NRA_model_for_NEMO2 (EMC Update) v0.29_NRA_model_for_NEMO2 (EMC Update) v0.29.2_NRA_model_for_NEMO2 (EMC Update) v0.29.5" xfId="1459"/>
    <cellStyle name="%_NRA_model_for_NEMO2 (EMC Update) v0.22_NRA_model_for_NEMO2 (EMC Update) v0.25_NRA_model_for_NEMO2 (EMC Update) v0.26_NRA_model_for_NEMO2 (EMC Update) v0.29_NRA_model_for_NEMO2 (EMC Update) v0.29.3" xfId="1461"/>
    <cellStyle name="%_NRA_model_for_NEMO2 (EMC Update) v0.22_NRA_model_for_NEMO2 (EMC Update) v0.25_NRA_model_for_NEMO2 (EMC Update) v0.26_NRA_model_for_NEMO2 (EMC Update) v0.29_NRA_model_for_NEMO2 (EMC Update) v0.29.3_NRA_model_for_NEMO2 (EMC Update) v0 30 1" xfId="1463"/>
    <cellStyle name="%_NRA_model_for_NEMO2 (EMC Update) v0.22_NRA_model_for_NEMO2 (EMC Update) v0.25_NRA_model_for_NEMO2 (EMC Update) v0.26_NRA_model_for_NEMO2 (EMC Update) v0.29_NRA_model_for_NEMO2 (EMC Update) v0.29.3_NRA_model_for_NEMO2 (EMC Update) v0.29.5" xfId="1462"/>
    <cellStyle name="%_NRA_model_for_NEMO2 (EMC Update) v0.22_NRA_model_for_NEMO2 (EMC Update) v0.25_NRA_model_for_NEMO2 (EMC Update) v0.26_NRA_model_for_NEMO2 (EMC Update) v0.29_NRA_model_for_NEMO2 (EMC Update) v0.29.4" xfId="1464"/>
    <cellStyle name="%_NRA_model_for_NEMO2 (EMC Update) v0.22_NRA_model_for_NEMO2 (EMC Update) v0.25_NRA_model_for_NEMO2 (EMC Update) v0.26_NRA_model_for_NEMO2 (EMC Update) v0.29_NRA_model_for_NEMO2 (EMC Update) v0.29.4_NRA_model_for_NEMO2 (EMC Update) v0 30 1" xfId="1466"/>
    <cellStyle name="%_NRA_model_for_NEMO2 (EMC Update) v0.22_NRA_model_for_NEMO2 (EMC Update) v0.25_NRA_model_for_NEMO2 (EMC Update) v0.26_NRA_model_for_NEMO2 (EMC Update) v0.29_NRA_model_for_NEMO2 (EMC Update) v0.29.4_NRA_model_for_NEMO2 (EMC Update) v0.29.5" xfId="1465"/>
    <cellStyle name="%_NRA_model_for_NEMO2 (EMC Update) v0.22_NRA_model_for_NEMO2 (EMC Update) v0.25_NRA_model_for_NEMO2 (EMC Update) v0.26_NRA_model_for_NEMO2 (EMC Update) v0.29_NRA_model_for_NEMO2 (EMC Update) v0.29.5" xfId="1467"/>
    <cellStyle name="%_NRA_model_for_NEMO2 (EMC Update) v0.22_NRA_model_for_NEMO2 (EMC Update) v0.25_NRA_model_for_NEMO2 (EMC Update) v0.26_NRA_model_for_NEMO2 (EMC Update) v0.29_NRA_model_for_NEMO2 (EMC Update) v0.29.5_NRA_model_for_NEMO2 (EMC Update) v0 30 1" xfId="1468"/>
    <cellStyle name="%_NRA_model_for_NEMO2 (EMC Update) v0.22_NRA_model_for_NEMO2 (EMC Update) v0.25_NRA_model_for_NEMO2 (EMC Update) v0.29" xfId="1471"/>
    <cellStyle name="%_NRA_model_for_NEMO2 (EMC Update) v0.22_NRA_model_for_NEMO2 (EMC Update) v0.25_NRA_model_for_NEMO2 (EMC Update) v0.29.2" xfId="1472"/>
    <cellStyle name="%_NRA_model_for_NEMO2 (EMC Update) v0.22_NRA_model_for_NEMO2 (EMC Update) v0.25_NRA_model_for_NEMO2 (EMC Update) v0.29.2_NRA_model_for_NEMO2 (EMC Update) v0 30 1" xfId="1483"/>
    <cellStyle name="%_NRA_model_for_NEMO2 (EMC Update) v0.22_NRA_model_for_NEMO2 (EMC Update) v0.25_NRA_model_for_NEMO2 (EMC Update) v0.29.2_NRA_model_for_NEMO2 (EMC Update) v0.29.3" xfId="1473"/>
    <cellStyle name="%_NRA_model_for_NEMO2 (EMC Update) v0.22_NRA_model_for_NEMO2 (EMC Update) v0.25_NRA_model_for_NEMO2 (EMC Update) v0.29.2_NRA_model_for_NEMO2 (EMC Update) v0.29.3_NRA_model_for_NEMO2 (EMC Update) v0 30 1" xfId="1476"/>
    <cellStyle name="%_NRA_model_for_NEMO2 (EMC Update) v0.22_NRA_model_for_NEMO2 (EMC Update) v0.25_NRA_model_for_NEMO2 (EMC Update) v0.29.2_NRA_model_for_NEMO2 (EMC Update) v0.29.3_NRA_model_for_NEMO2 (EMC Update) v0.29.5" xfId="1474"/>
    <cellStyle name="%_NRA_model_for_NEMO2 (EMC Update) v0.22_NRA_model_for_NEMO2 (EMC Update) v0.25_NRA_model_for_NEMO2 (EMC Update) v0.29.2_NRA_model_for_NEMO2 (EMC Update) v0.29.3_NRA_model_for_NEMO2 (EMC Update) v0.29.5_NRA_model_for_NEMO2 (EMC Update) v0 30 1" xfId="1475"/>
    <cellStyle name="%_NRA_model_for_NEMO2 (EMC Update) v0.22_NRA_model_for_NEMO2 (EMC Update) v0.25_NRA_model_for_NEMO2 (EMC Update) v0.29.2_NRA_model_for_NEMO2 (EMC Update) v0.29.4" xfId="1477"/>
    <cellStyle name="%_NRA_model_for_NEMO2 (EMC Update) v0.22_NRA_model_for_NEMO2 (EMC Update) v0.25_NRA_model_for_NEMO2 (EMC Update) v0.29.2_NRA_model_for_NEMO2 (EMC Update) v0.29.4_NRA_model_for_NEMO2 (EMC Update) v0 30 1" xfId="1480"/>
    <cellStyle name="%_NRA_model_for_NEMO2 (EMC Update) v0.22_NRA_model_for_NEMO2 (EMC Update) v0.25_NRA_model_for_NEMO2 (EMC Update) v0.29.2_NRA_model_for_NEMO2 (EMC Update) v0.29.4_NRA_model_for_NEMO2 (EMC Update) v0.29.5" xfId="1478"/>
    <cellStyle name="%_NRA_model_for_NEMO2 (EMC Update) v0.22_NRA_model_for_NEMO2 (EMC Update) v0.25_NRA_model_for_NEMO2 (EMC Update) v0.29.2_NRA_model_for_NEMO2 (EMC Update) v0.29.4_NRA_model_for_NEMO2 (EMC Update) v0.29.5_NRA_model_for_NEMO2 (EMC Update) v0 30 1" xfId="1479"/>
    <cellStyle name="%_NRA_model_for_NEMO2 (EMC Update) v0.22_NRA_model_for_NEMO2 (EMC Update) v0.25_NRA_model_for_NEMO2 (EMC Update) v0.29.2_NRA_model_for_NEMO2 (EMC Update) v0.29.5" xfId="1481"/>
    <cellStyle name="%_NRA_model_for_NEMO2 (EMC Update) v0.22_NRA_model_for_NEMO2 (EMC Update) v0.25_NRA_model_for_NEMO2 (EMC Update) v0.29.2_NRA_model_for_NEMO2 (EMC Update) v0.29.5_NRA_model_for_NEMO2 (EMC Update) v0 30 1" xfId="1482"/>
    <cellStyle name="%_NRA_model_for_NEMO2 (EMC Update) v0.22_NRA_model_for_NEMO2 (EMC Update) v0.25_NRA_model_for_NEMO2 (EMC Update) v0.29.3" xfId="1484"/>
    <cellStyle name="%_NRA_model_for_NEMO2 (EMC Update) v0.22_NRA_model_for_NEMO2 (EMC Update) v0.25_NRA_model_for_NEMO2 (EMC Update) v0.29.3_NRA_model_for_NEMO2 (EMC Update) v0 30 1" xfId="1487"/>
    <cellStyle name="%_NRA_model_for_NEMO2 (EMC Update) v0.22_NRA_model_for_NEMO2 (EMC Update) v0.25_NRA_model_for_NEMO2 (EMC Update) v0.29.3_NRA_model_for_NEMO2 (EMC Update) v0.29.5" xfId="1485"/>
    <cellStyle name="%_NRA_model_for_NEMO2 (EMC Update) v0.22_NRA_model_for_NEMO2 (EMC Update) v0.25_NRA_model_for_NEMO2 (EMC Update) v0.29.3_NRA_model_for_NEMO2 (EMC Update) v0.29.5_NRA_model_for_NEMO2 (EMC Update) v0 30 1" xfId="1486"/>
    <cellStyle name="%_NRA_model_for_NEMO2 (EMC Update) v0.22_NRA_model_for_NEMO2 (EMC Update) v0.25_NRA_model_for_NEMO2 (EMC Update) v0.29.4" xfId="1488"/>
    <cellStyle name="%_NRA_model_for_NEMO2 (EMC Update) v0.22_NRA_model_for_NEMO2 (EMC Update) v0.25_NRA_model_for_NEMO2 (EMC Update) v0.29.4_NRA_model_for_NEMO2 (EMC Update) v0 30 1" xfId="1491"/>
    <cellStyle name="%_NRA_model_for_NEMO2 (EMC Update) v0.22_NRA_model_for_NEMO2 (EMC Update) v0.25_NRA_model_for_NEMO2 (EMC Update) v0.29.4_NRA_model_for_NEMO2 (EMC Update) v0.29.5" xfId="1489"/>
    <cellStyle name="%_NRA_model_for_NEMO2 (EMC Update) v0.22_NRA_model_for_NEMO2 (EMC Update) v0.25_NRA_model_for_NEMO2 (EMC Update) v0.29.4_NRA_model_for_NEMO2 (EMC Update) v0.29.5_NRA_model_for_NEMO2 (EMC Update) v0 30 1" xfId="1490"/>
    <cellStyle name="%_NRA_model_for_NEMO2 (EMC Update) v0.22_NRA_model_for_NEMO2 (EMC Update) v0.25_NRA_model_for_NEMO2 (EMC Update) v0.29.5" xfId="1492"/>
    <cellStyle name="%_NRA_model_for_NEMO2 (EMC Update) v0.22_NRA_model_for_NEMO2 (EMC Update) v0.25_NRA_model_for_NEMO2 (EMC Update) v0.29.5_NRA_model_for_NEMO2 (EMC Update) v0 30 1" xfId="1493"/>
    <cellStyle name="%_NRA_model_for_NEMO2 (EMC Update) v0.22_NRA_model_for_NEMO2 (EMC Update) v0.25_NRA_model_for_NEMO2 (EMC Update) v0.29_NRA_model_for_NEMO2 (EMC Update) v0 30 1" xfId="1514"/>
    <cellStyle name="%_NRA_model_for_NEMO2 (EMC Update) v0.22_NRA_model_for_NEMO2 (EMC Update) v0.25_NRA_model_for_NEMO2 (EMC Update) v0.29_NRA_model_for_NEMO2 (EMC Update) v0.29.2" xfId="1494"/>
    <cellStyle name="%_NRA_model_for_NEMO2 (EMC Update) v0.22_NRA_model_for_NEMO2 (EMC Update) v0.25_NRA_model_for_NEMO2 (EMC Update) v0.29_NRA_model_for_NEMO2 (EMC Update) v0.29.2_NRA_model_for_NEMO2 (EMC Update) v0 30 1" xfId="1503"/>
    <cellStyle name="%_NRA_model_for_NEMO2 (EMC Update) v0.22_NRA_model_for_NEMO2 (EMC Update) v0.25_NRA_model_for_NEMO2 (EMC Update) v0.29_NRA_model_for_NEMO2 (EMC Update) v0.29.2_NRA_model_for_NEMO2 (EMC Update) v0.29.3" xfId="1495"/>
    <cellStyle name="%_NRA_model_for_NEMO2 (EMC Update) v0.22_NRA_model_for_NEMO2 (EMC Update) v0.25_NRA_model_for_NEMO2 (EMC Update) v0.29_NRA_model_for_NEMO2 (EMC Update) v0.29.2_NRA_model_for_NEMO2 (EMC Update) v0.29.3_NRA_model_for_NEMO2 (EMC Update) v0 30 1" xfId="1497"/>
    <cellStyle name="%_NRA_model_for_NEMO2 (EMC Update) v0.22_NRA_model_for_NEMO2 (EMC Update) v0.25_NRA_model_for_NEMO2 (EMC Update) v0.29_NRA_model_for_NEMO2 (EMC Update) v0.29.2_NRA_model_for_NEMO2 (EMC Update) v0.29.3_NRA_model_for_NEMO2 (EMC Update) v0.29.5" xfId="1496"/>
    <cellStyle name="%_NRA_model_for_NEMO2 (EMC Update) v0.22_NRA_model_for_NEMO2 (EMC Update) v0.25_NRA_model_for_NEMO2 (EMC Update) v0.29_NRA_model_for_NEMO2 (EMC Update) v0.29.2_NRA_model_for_NEMO2 (EMC Update) v0.29.4" xfId="1498"/>
    <cellStyle name="%_NRA_model_for_NEMO2 (EMC Update) v0.22_NRA_model_for_NEMO2 (EMC Update) v0.25_NRA_model_for_NEMO2 (EMC Update) v0.29_NRA_model_for_NEMO2 (EMC Update) v0.29.2_NRA_model_for_NEMO2 (EMC Update) v0.29.4_NRA_model_for_NEMO2 (EMC Update) v0 30 1" xfId="1500"/>
    <cellStyle name="%_NRA_model_for_NEMO2 (EMC Update) v0.22_NRA_model_for_NEMO2 (EMC Update) v0.25_NRA_model_for_NEMO2 (EMC Update) v0.29_NRA_model_for_NEMO2 (EMC Update) v0.29.2_NRA_model_for_NEMO2 (EMC Update) v0.29.4_NRA_model_for_NEMO2 (EMC Update) v0.29.5" xfId="1499"/>
    <cellStyle name="%_NRA_model_for_NEMO2 (EMC Update) v0.22_NRA_model_for_NEMO2 (EMC Update) v0.25_NRA_model_for_NEMO2 (EMC Update) v0.29_NRA_model_for_NEMO2 (EMC Update) v0.29.2_NRA_model_for_NEMO2 (EMC Update) v0.29.5" xfId="1501"/>
    <cellStyle name="%_NRA_model_for_NEMO2 (EMC Update) v0.22_NRA_model_for_NEMO2 (EMC Update) v0.25_NRA_model_for_NEMO2 (EMC Update) v0.29_NRA_model_for_NEMO2 (EMC Update) v0.29.2_NRA_model_for_NEMO2 (EMC Update) v0.29.5_NRA_model_for_NEMO2 (EMC Update) v0 30 1" xfId="1502"/>
    <cellStyle name="%_NRA_model_for_NEMO2 (EMC Update) v0.22_NRA_model_for_NEMO2 (EMC Update) v0.25_NRA_model_for_NEMO2 (EMC Update) v0.29_NRA_model_for_NEMO2 (EMC Update) v0.29.3" xfId="1504"/>
    <cellStyle name="%_NRA_model_for_NEMO2 (EMC Update) v0.22_NRA_model_for_NEMO2 (EMC Update) v0.25_NRA_model_for_NEMO2 (EMC Update) v0.29_NRA_model_for_NEMO2 (EMC Update) v0.29.3_NRA_model_for_NEMO2 (EMC Update) v0 30 1" xfId="1507"/>
    <cellStyle name="%_NRA_model_for_NEMO2 (EMC Update) v0.22_NRA_model_for_NEMO2 (EMC Update) v0.25_NRA_model_for_NEMO2 (EMC Update) v0.29_NRA_model_for_NEMO2 (EMC Update) v0.29.3_NRA_model_for_NEMO2 (EMC Update) v0.29.5" xfId="1505"/>
    <cellStyle name="%_NRA_model_for_NEMO2 (EMC Update) v0.22_NRA_model_for_NEMO2 (EMC Update) v0.25_NRA_model_for_NEMO2 (EMC Update) v0.29_NRA_model_for_NEMO2 (EMC Update) v0.29.3_NRA_model_for_NEMO2 (EMC Update) v0.29.5_NRA_model_for_NEMO2 (EMC Update) v0 30 1" xfId="1506"/>
    <cellStyle name="%_NRA_model_for_NEMO2 (EMC Update) v0.22_NRA_model_for_NEMO2 (EMC Update) v0.25_NRA_model_for_NEMO2 (EMC Update) v0.29_NRA_model_for_NEMO2 (EMC Update) v0.29.4" xfId="1508"/>
    <cellStyle name="%_NRA_model_for_NEMO2 (EMC Update) v0.22_NRA_model_for_NEMO2 (EMC Update) v0.25_NRA_model_for_NEMO2 (EMC Update) v0.29_NRA_model_for_NEMO2 (EMC Update) v0.29.4_NRA_model_for_NEMO2 (EMC Update) v0 30 1" xfId="1511"/>
    <cellStyle name="%_NRA_model_for_NEMO2 (EMC Update) v0.22_NRA_model_for_NEMO2 (EMC Update) v0.25_NRA_model_for_NEMO2 (EMC Update) v0.29_NRA_model_for_NEMO2 (EMC Update) v0.29.4_NRA_model_for_NEMO2 (EMC Update) v0.29.5" xfId="1509"/>
    <cellStyle name="%_NRA_model_for_NEMO2 (EMC Update) v0.22_NRA_model_for_NEMO2 (EMC Update) v0.25_NRA_model_for_NEMO2 (EMC Update) v0.29_NRA_model_for_NEMO2 (EMC Update) v0.29.4_NRA_model_for_NEMO2 (EMC Update) v0.29.5_NRA_model_for_NEMO2 (EMC Update) v0 30 1" xfId="1510"/>
    <cellStyle name="%_NRA_model_for_NEMO2 (EMC Update) v0.22_NRA_model_for_NEMO2 (EMC Update) v0.25_NRA_model_for_NEMO2 (EMC Update) v0.29_NRA_model_for_NEMO2 (EMC Update) v0.29.5" xfId="1512"/>
    <cellStyle name="%_NRA_model_for_NEMO2 (EMC Update) v0.22_NRA_model_for_NEMO2 (EMC Update) v0.25_NRA_model_for_NEMO2 (EMC Update) v0.29_NRA_model_for_NEMO2 (EMC Update) v0.29.5_NRA_model_for_NEMO2 (EMC Update) v0 30 1" xfId="1513"/>
    <cellStyle name="%_NRA_model_for_NEMO2 (EMC Update) v0.22_NRA_model_for_NEMO2 (EMC Update) v0.26" xfId="1516"/>
    <cellStyle name="%_NRA_model_for_NEMO2 (EMC Update) v0.22_NRA_model_for_NEMO2 (EMC Update) v0.26_NRA_model_for_NEMO2 (EMC Update) v0 30 1" xfId="1561"/>
    <cellStyle name="%_NRA_model_for_NEMO2 (EMC Update) v0.22_NRA_model_for_NEMO2 (EMC Update) v0.26_NRA_model_for_NEMO2 (EMC Update) v0.29" xfId="1517"/>
    <cellStyle name="%_NRA_model_for_NEMO2 (EMC Update) v0.22_NRA_model_for_NEMO2 (EMC Update) v0.26_NRA_model_for_NEMO2 (EMC Update) v0.29.2" xfId="1518"/>
    <cellStyle name="%_NRA_model_for_NEMO2 (EMC Update) v0.22_NRA_model_for_NEMO2 (EMC Update) v0.26_NRA_model_for_NEMO2 (EMC Update) v0.29.2_NRA_model_for_NEMO2 (EMC Update) v0 30 1" xfId="1529"/>
    <cellStyle name="%_NRA_model_for_NEMO2 (EMC Update) v0.22_NRA_model_for_NEMO2 (EMC Update) v0.26_NRA_model_for_NEMO2 (EMC Update) v0.29.2_NRA_model_for_NEMO2 (EMC Update) v0.29.3" xfId="1519"/>
    <cellStyle name="%_NRA_model_for_NEMO2 (EMC Update) v0.22_NRA_model_for_NEMO2 (EMC Update) v0.26_NRA_model_for_NEMO2 (EMC Update) v0.29.2_NRA_model_for_NEMO2 (EMC Update) v0.29.3_NRA_model_for_NEMO2 (EMC Update) v0 30 1" xfId="1522"/>
    <cellStyle name="%_NRA_model_for_NEMO2 (EMC Update) v0.22_NRA_model_for_NEMO2 (EMC Update) v0.26_NRA_model_for_NEMO2 (EMC Update) v0.29.2_NRA_model_for_NEMO2 (EMC Update) v0.29.3_NRA_model_for_NEMO2 (EMC Update) v0.29.5" xfId="1520"/>
    <cellStyle name="%_NRA_model_for_NEMO2 (EMC Update) v0.22_NRA_model_for_NEMO2 (EMC Update) v0.26_NRA_model_for_NEMO2 (EMC Update) v0.29.2_NRA_model_for_NEMO2 (EMC Update) v0.29.3_NRA_model_for_NEMO2 (EMC Update) v0.29.5_NRA_model_for_NEMO2 (EMC Update) v0 30 1" xfId="1521"/>
    <cellStyle name="%_NRA_model_for_NEMO2 (EMC Update) v0.22_NRA_model_for_NEMO2 (EMC Update) v0.26_NRA_model_for_NEMO2 (EMC Update) v0.29.2_NRA_model_for_NEMO2 (EMC Update) v0.29.4" xfId="1523"/>
    <cellStyle name="%_NRA_model_for_NEMO2 (EMC Update) v0.22_NRA_model_for_NEMO2 (EMC Update) v0.26_NRA_model_for_NEMO2 (EMC Update) v0.29.2_NRA_model_for_NEMO2 (EMC Update) v0.29.4_NRA_model_for_NEMO2 (EMC Update) v0 30 1" xfId="1526"/>
    <cellStyle name="%_NRA_model_for_NEMO2 (EMC Update) v0.22_NRA_model_for_NEMO2 (EMC Update) v0.26_NRA_model_for_NEMO2 (EMC Update) v0.29.2_NRA_model_for_NEMO2 (EMC Update) v0.29.4_NRA_model_for_NEMO2 (EMC Update) v0.29.5" xfId="1524"/>
    <cellStyle name="%_NRA_model_for_NEMO2 (EMC Update) v0.22_NRA_model_for_NEMO2 (EMC Update) v0.26_NRA_model_for_NEMO2 (EMC Update) v0.29.2_NRA_model_for_NEMO2 (EMC Update) v0.29.4_NRA_model_for_NEMO2 (EMC Update) v0.29.5_NRA_model_for_NEMO2 (EMC Update) v0 30 1" xfId="1525"/>
    <cellStyle name="%_NRA_model_for_NEMO2 (EMC Update) v0.22_NRA_model_for_NEMO2 (EMC Update) v0.26_NRA_model_for_NEMO2 (EMC Update) v0.29.2_NRA_model_for_NEMO2 (EMC Update) v0.29.5" xfId="1527"/>
    <cellStyle name="%_NRA_model_for_NEMO2 (EMC Update) v0.22_NRA_model_for_NEMO2 (EMC Update) v0.26_NRA_model_for_NEMO2 (EMC Update) v0.29.2_NRA_model_for_NEMO2 (EMC Update) v0.29.5_NRA_model_for_NEMO2 (EMC Update) v0 30 1" xfId="1528"/>
    <cellStyle name="%_NRA_model_for_NEMO2 (EMC Update) v0.22_NRA_model_for_NEMO2 (EMC Update) v0.26_NRA_model_for_NEMO2 (EMC Update) v0.29.3" xfId="1530"/>
    <cellStyle name="%_NRA_model_for_NEMO2 (EMC Update) v0.22_NRA_model_for_NEMO2 (EMC Update) v0.26_NRA_model_for_NEMO2 (EMC Update) v0.29.3_NRA_model_for_NEMO2 (EMC Update) v0 30 1" xfId="1533"/>
    <cellStyle name="%_NRA_model_for_NEMO2 (EMC Update) v0.22_NRA_model_for_NEMO2 (EMC Update) v0.26_NRA_model_for_NEMO2 (EMC Update) v0.29.3_NRA_model_for_NEMO2 (EMC Update) v0.29.5" xfId="1531"/>
    <cellStyle name="%_NRA_model_for_NEMO2 (EMC Update) v0.22_NRA_model_for_NEMO2 (EMC Update) v0.26_NRA_model_for_NEMO2 (EMC Update) v0.29.3_NRA_model_for_NEMO2 (EMC Update) v0.29.5_NRA_model_for_NEMO2 (EMC Update) v0 30 1" xfId="1532"/>
    <cellStyle name="%_NRA_model_for_NEMO2 (EMC Update) v0.22_NRA_model_for_NEMO2 (EMC Update) v0.26_NRA_model_for_NEMO2 (EMC Update) v0.29.4" xfId="1534"/>
    <cellStyle name="%_NRA_model_for_NEMO2 (EMC Update) v0.22_NRA_model_for_NEMO2 (EMC Update) v0.26_NRA_model_for_NEMO2 (EMC Update) v0.29.4_NRA_model_for_NEMO2 (EMC Update) v0 30 1" xfId="1537"/>
    <cellStyle name="%_NRA_model_for_NEMO2 (EMC Update) v0.22_NRA_model_for_NEMO2 (EMC Update) v0.26_NRA_model_for_NEMO2 (EMC Update) v0.29.4_NRA_model_for_NEMO2 (EMC Update) v0.29.5" xfId="1535"/>
    <cellStyle name="%_NRA_model_for_NEMO2 (EMC Update) v0.22_NRA_model_for_NEMO2 (EMC Update) v0.26_NRA_model_for_NEMO2 (EMC Update) v0.29.4_NRA_model_for_NEMO2 (EMC Update) v0.29.5_NRA_model_for_NEMO2 (EMC Update) v0 30 1" xfId="1536"/>
    <cellStyle name="%_NRA_model_for_NEMO2 (EMC Update) v0.22_NRA_model_for_NEMO2 (EMC Update) v0.26_NRA_model_for_NEMO2 (EMC Update) v0.29.5" xfId="1538"/>
    <cellStyle name="%_NRA_model_for_NEMO2 (EMC Update) v0.22_NRA_model_for_NEMO2 (EMC Update) v0.26_NRA_model_for_NEMO2 (EMC Update) v0.29.5_NRA_model_for_NEMO2 (EMC Update) v0 30 1" xfId="1539"/>
    <cellStyle name="%_NRA_model_for_NEMO2 (EMC Update) v0.22_NRA_model_for_NEMO2 (EMC Update) v0.26_NRA_model_for_NEMO2 (EMC Update) v0.29_NRA_model_for_NEMO2 (EMC Update) v0 30 1" xfId="1560"/>
    <cellStyle name="%_NRA_model_for_NEMO2 (EMC Update) v0.22_NRA_model_for_NEMO2 (EMC Update) v0.26_NRA_model_for_NEMO2 (EMC Update) v0.29_NRA_model_for_NEMO2 (EMC Update) v0.29.2" xfId="1540"/>
    <cellStyle name="%_NRA_model_for_NEMO2 (EMC Update) v0.22_NRA_model_for_NEMO2 (EMC Update) v0.26_NRA_model_for_NEMO2 (EMC Update) v0.29_NRA_model_for_NEMO2 (EMC Update) v0.29.2_NRA_model_for_NEMO2 (EMC Update) v0 30 1" xfId="1549"/>
    <cellStyle name="%_NRA_model_for_NEMO2 (EMC Update) v0.22_NRA_model_for_NEMO2 (EMC Update) v0.26_NRA_model_for_NEMO2 (EMC Update) v0.29_NRA_model_for_NEMO2 (EMC Update) v0.29.2_NRA_model_for_NEMO2 (EMC Update) v0.29.3" xfId="1541"/>
    <cellStyle name="%_NRA_model_for_NEMO2 (EMC Update) v0.22_NRA_model_for_NEMO2 (EMC Update) v0.26_NRA_model_for_NEMO2 (EMC Update) v0.29_NRA_model_for_NEMO2 (EMC Update) v0.29.2_NRA_model_for_NEMO2 (EMC Update) v0.29.3_NRA_model_for_NEMO2 (EMC Update) v0 30 1" xfId="1543"/>
    <cellStyle name="%_NRA_model_for_NEMO2 (EMC Update) v0.22_NRA_model_for_NEMO2 (EMC Update) v0.26_NRA_model_for_NEMO2 (EMC Update) v0.29_NRA_model_for_NEMO2 (EMC Update) v0.29.2_NRA_model_for_NEMO2 (EMC Update) v0.29.3_NRA_model_for_NEMO2 (EMC Update) v0.29.5" xfId="1542"/>
    <cellStyle name="%_NRA_model_for_NEMO2 (EMC Update) v0.22_NRA_model_for_NEMO2 (EMC Update) v0.26_NRA_model_for_NEMO2 (EMC Update) v0.29_NRA_model_for_NEMO2 (EMC Update) v0.29.2_NRA_model_for_NEMO2 (EMC Update) v0.29.4" xfId="1544"/>
    <cellStyle name="%_NRA_model_for_NEMO2 (EMC Update) v0.22_NRA_model_for_NEMO2 (EMC Update) v0.26_NRA_model_for_NEMO2 (EMC Update) v0.29_NRA_model_for_NEMO2 (EMC Update) v0.29.2_NRA_model_for_NEMO2 (EMC Update) v0.29.4_NRA_model_for_NEMO2 (EMC Update) v0 30 1" xfId="1546"/>
    <cellStyle name="%_NRA_model_for_NEMO2 (EMC Update) v0.22_NRA_model_for_NEMO2 (EMC Update) v0.26_NRA_model_for_NEMO2 (EMC Update) v0.29_NRA_model_for_NEMO2 (EMC Update) v0.29.2_NRA_model_for_NEMO2 (EMC Update) v0.29.4_NRA_model_for_NEMO2 (EMC Update) v0.29.5" xfId="1545"/>
    <cellStyle name="%_NRA_model_for_NEMO2 (EMC Update) v0.22_NRA_model_for_NEMO2 (EMC Update) v0.26_NRA_model_for_NEMO2 (EMC Update) v0.29_NRA_model_for_NEMO2 (EMC Update) v0.29.2_NRA_model_for_NEMO2 (EMC Update) v0.29.5" xfId="1547"/>
    <cellStyle name="%_NRA_model_for_NEMO2 (EMC Update) v0.22_NRA_model_for_NEMO2 (EMC Update) v0.26_NRA_model_for_NEMO2 (EMC Update) v0.29_NRA_model_for_NEMO2 (EMC Update) v0.29.2_NRA_model_for_NEMO2 (EMC Update) v0.29.5_NRA_model_for_NEMO2 (EMC Update) v0 30 1" xfId="1548"/>
    <cellStyle name="%_NRA_model_for_NEMO2 (EMC Update) v0.22_NRA_model_for_NEMO2 (EMC Update) v0.26_NRA_model_for_NEMO2 (EMC Update) v0.29_NRA_model_for_NEMO2 (EMC Update) v0.29.3" xfId="1550"/>
    <cellStyle name="%_NRA_model_for_NEMO2 (EMC Update) v0.22_NRA_model_for_NEMO2 (EMC Update) v0.26_NRA_model_for_NEMO2 (EMC Update) v0.29_NRA_model_for_NEMO2 (EMC Update) v0.29.3_NRA_model_for_NEMO2 (EMC Update) v0 30 1" xfId="1553"/>
    <cellStyle name="%_NRA_model_for_NEMO2 (EMC Update) v0.22_NRA_model_for_NEMO2 (EMC Update) v0.26_NRA_model_for_NEMO2 (EMC Update) v0.29_NRA_model_for_NEMO2 (EMC Update) v0.29.3_NRA_model_for_NEMO2 (EMC Update) v0.29.5" xfId="1551"/>
    <cellStyle name="%_NRA_model_for_NEMO2 (EMC Update) v0.22_NRA_model_for_NEMO2 (EMC Update) v0.26_NRA_model_for_NEMO2 (EMC Update) v0.29_NRA_model_for_NEMO2 (EMC Update) v0.29.3_NRA_model_for_NEMO2 (EMC Update) v0.29.5_NRA_model_for_NEMO2 (EMC Update) v0 30 1" xfId="1552"/>
    <cellStyle name="%_NRA_model_for_NEMO2 (EMC Update) v0.22_NRA_model_for_NEMO2 (EMC Update) v0.26_NRA_model_for_NEMO2 (EMC Update) v0.29_NRA_model_for_NEMO2 (EMC Update) v0.29.4" xfId="1554"/>
    <cellStyle name="%_NRA_model_for_NEMO2 (EMC Update) v0.22_NRA_model_for_NEMO2 (EMC Update) v0.26_NRA_model_for_NEMO2 (EMC Update) v0.29_NRA_model_for_NEMO2 (EMC Update) v0.29.4_NRA_model_for_NEMO2 (EMC Update) v0 30 1" xfId="1557"/>
    <cellStyle name="%_NRA_model_for_NEMO2 (EMC Update) v0.22_NRA_model_for_NEMO2 (EMC Update) v0.26_NRA_model_for_NEMO2 (EMC Update) v0.29_NRA_model_for_NEMO2 (EMC Update) v0.29.4_NRA_model_for_NEMO2 (EMC Update) v0.29.5" xfId="1555"/>
    <cellStyle name="%_NRA_model_for_NEMO2 (EMC Update) v0.22_NRA_model_for_NEMO2 (EMC Update) v0.26_NRA_model_for_NEMO2 (EMC Update) v0.29_NRA_model_for_NEMO2 (EMC Update) v0.29.4_NRA_model_for_NEMO2 (EMC Update) v0.29.5_NRA_model_for_NEMO2 (EMC Update) v0 30 1" xfId="1556"/>
    <cellStyle name="%_NRA_model_for_NEMO2 (EMC Update) v0.22_NRA_model_for_NEMO2 (EMC Update) v0.26_NRA_model_for_NEMO2 (EMC Update) v0.29_NRA_model_for_NEMO2 (EMC Update) v0.29.5" xfId="1558"/>
    <cellStyle name="%_NRA_model_for_NEMO2 (EMC Update) v0.22_NRA_model_for_NEMO2 (EMC Update) v0.26_NRA_model_for_NEMO2 (EMC Update) v0.29_NRA_model_for_NEMO2 (EMC Update) v0.29.5_NRA_model_for_NEMO2 (EMC Update) v0 30 1" xfId="1559"/>
    <cellStyle name="%_NRA_model_for_NEMO2 (EMC Update) v0.22_NRA_model_for_NEMO2 (EMC Update) v0.29" xfId="1562"/>
    <cellStyle name="%_NRA_model_for_NEMO2 (EMC Update) v0.22_NRA_model_for_NEMO2 (EMC Update) v0.29.2" xfId="1563"/>
    <cellStyle name="%_NRA_model_for_NEMO2 (EMC Update) v0.22_NRA_model_for_NEMO2 (EMC Update) v0.29.2_NRA_model_for_NEMO2 (EMC Update) v0 30 1" xfId="1574"/>
    <cellStyle name="%_NRA_model_for_NEMO2 (EMC Update) v0.22_NRA_model_for_NEMO2 (EMC Update) v0.29.2_NRA_model_for_NEMO2 (EMC Update) v0.29.3" xfId="1564"/>
    <cellStyle name="%_NRA_model_for_NEMO2 (EMC Update) v0.22_NRA_model_for_NEMO2 (EMC Update) v0.29.2_NRA_model_for_NEMO2 (EMC Update) v0.29.3_NRA_model_for_NEMO2 (EMC Update) v0 30 1" xfId="1567"/>
    <cellStyle name="%_NRA_model_for_NEMO2 (EMC Update) v0.22_NRA_model_for_NEMO2 (EMC Update) v0.29.2_NRA_model_for_NEMO2 (EMC Update) v0.29.3_NRA_model_for_NEMO2 (EMC Update) v0.29.5" xfId="1565"/>
    <cellStyle name="%_NRA_model_for_NEMO2 (EMC Update) v0.22_NRA_model_for_NEMO2 (EMC Update) v0.29.2_NRA_model_for_NEMO2 (EMC Update) v0.29.3_NRA_model_for_NEMO2 (EMC Update) v0.29.5_NRA_model_for_NEMO2 (EMC Update) v0 30 1" xfId="1566"/>
    <cellStyle name="%_NRA_model_for_NEMO2 (EMC Update) v0.22_NRA_model_for_NEMO2 (EMC Update) v0.29.2_NRA_model_for_NEMO2 (EMC Update) v0.29.4" xfId="1568"/>
    <cellStyle name="%_NRA_model_for_NEMO2 (EMC Update) v0.22_NRA_model_for_NEMO2 (EMC Update) v0.29.2_NRA_model_for_NEMO2 (EMC Update) v0.29.4_NRA_model_for_NEMO2 (EMC Update) v0 30 1" xfId="1571"/>
    <cellStyle name="%_NRA_model_for_NEMO2 (EMC Update) v0.22_NRA_model_for_NEMO2 (EMC Update) v0.29.2_NRA_model_for_NEMO2 (EMC Update) v0.29.4_NRA_model_for_NEMO2 (EMC Update) v0.29.5" xfId="1569"/>
    <cellStyle name="%_NRA_model_for_NEMO2 (EMC Update) v0.22_NRA_model_for_NEMO2 (EMC Update) v0.29.2_NRA_model_for_NEMO2 (EMC Update) v0.29.4_NRA_model_for_NEMO2 (EMC Update) v0.29.5_NRA_model_for_NEMO2 (EMC Update) v0 30 1" xfId="1570"/>
    <cellStyle name="%_NRA_model_for_NEMO2 (EMC Update) v0.22_NRA_model_for_NEMO2 (EMC Update) v0.29.2_NRA_model_for_NEMO2 (EMC Update) v0.29.5" xfId="1572"/>
    <cellStyle name="%_NRA_model_for_NEMO2 (EMC Update) v0.22_NRA_model_for_NEMO2 (EMC Update) v0.29.2_NRA_model_for_NEMO2 (EMC Update) v0.29.5_NRA_model_for_NEMO2 (EMC Update) v0 30 1" xfId="1573"/>
    <cellStyle name="%_NRA_model_for_NEMO2 (EMC Update) v0.22_NRA_model_for_NEMO2 (EMC Update) v0.29.3" xfId="1575"/>
    <cellStyle name="%_NRA_model_for_NEMO2 (EMC Update) v0.22_NRA_model_for_NEMO2 (EMC Update) v0.29.3_NRA_model_for_NEMO2 (EMC Update) v0 30 1" xfId="1578"/>
    <cellStyle name="%_NRA_model_for_NEMO2 (EMC Update) v0.22_NRA_model_for_NEMO2 (EMC Update) v0.29.3_NRA_model_for_NEMO2 (EMC Update) v0.29.5" xfId="1576"/>
    <cellStyle name="%_NRA_model_for_NEMO2 (EMC Update) v0.22_NRA_model_for_NEMO2 (EMC Update) v0.29.3_NRA_model_for_NEMO2 (EMC Update) v0.29.5_NRA_model_for_NEMO2 (EMC Update) v0 30 1" xfId="1577"/>
    <cellStyle name="%_NRA_model_for_NEMO2 (EMC Update) v0.22_NRA_model_for_NEMO2 (EMC Update) v0.29.4" xfId="1579"/>
    <cellStyle name="%_NRA_model_for_NEMO2 (EMC Update) v0.22_NRA_model_for_NEMO2 (EMC Update) v0.29.4_NRA_model_for_NEMO2 (EMC Update) v0 30 1" xfId="1582"/>
    <cellStyle name="%_NRA_model_for_NEMO2 (EMC Update) v0.22_NRA_model_for_NEMO2 (EMC Update) v0.29.4_NRA_model_for_NEMO2 (EMC Update) v0.29.5" xfId="1580"/>
    <cellStyle name="%_NRA_model_for_NEMO2 (EMC Update) v0.22_NRA_model_for_NEMO2 (EMC Update) v0.29.4_NRA_model_for_NEMO2 (EMC Update) v0.29.5_NRA_model_for_NEMO2 (EMC Update) v0 30 1" xfId="1581"/>
    <cellStyle name="%_NRA_model_for_NEMO2 (EMC Update) v0.22_NRA_model_for_NEMO2 (EMC Update) v0.29.5" xfId="1583"/>
    <cellStyle name="%_NRA_model_for_NEMO2 (EMC Update) v0.22_NRA_model_for_NEMO2 (EMC Update) v0.29.5_NRA_model_for_NEMO2 (EMC Update) v0 30 1" xfId="1584"/>
    <cellStyle name="%_NRA_model_for_NEMO2 (EMC Update) v0.22_NRA_model_for_NEMO2 (EMC Update) v0.29_NRA_model_for_NEMO2 (EMC Update) v0 30 1" xfId="1607"/>
    <cellStyle name="%_NRA_model_for_NEMO2 (EMC Update) v0.22_NRA_model_for_NEMO2 (EMC Update) v0.29_NRA_model_for_NEMO2 (EMC Update) v0.29.2" xfId="1585"/>
    <cellStyle name="%_NRA_model_for_NEMO2 (EMC Update) v0.22_NRA_model_for_NEMO2 (EMC Update) v0.29_NRA_model_for_NEMO2 (EMC Update) v0.29.2_NRA_model_for_NEMO2 (EMC Update) v0 30 1" xfId="1596"/>
    <cellStyle name="%_NRA_model_for_NEMO2 (EMC Update) v0.22_NRA_model_for_NEMO2 (EMC Update) v0.29_NRA_model_for_NEMO2 (EMC Update) v0.29.2_NRA_model_for_NEMO2 (EMC Update) v0.29.3" xfId="1586"/>
    <cellStyle name="%_NRA_model_for_NEMO2 (EMC Update) v0.22_NRA_model_for_NEMO2 (EMC Update) v0.29_NRA_model_for_NEMO2 (EMC Update) v0.29.2_NRA_model_for_NEMO2 (EMC Update) v0.29.3_NRA_model_for_NEMO2 (EMC Update) v0 30 1" xfId="1589"/>
    <cellStyle name="%_NRA_model_for_NEMO2 (EMC Update) v0.22_NRA_model_for_NEMO2 (EMC Update) v0.29_NRA_model_for_NEMO2 (EMC Update) v0.29.2_NRA_model_for_NEMO2 (EMC Update) v0.29.3_NRA_model_for_NEMO2 (EMC Update) v0.29.5" xfId="1587"/>
    <cellStyle name="%_NRA_model_for_NEMO2 (EMC Update) v0.22_NRA_model_for_NEMO2 (EMC Update) v0.29_NRA_model_for_NEMO2 (EMC Update) v0.29.2_NRA_model_for_NEMO2 (EMC Update) v0.29.3_NRA_model_for_NEMO2 (EMC Update) v0.29.5_NRA_model_for_NEMO2 (EMC Update) v0 30 1" xfId="1588"/>
    <cellStyle name="%_NRA_model_for_NEMO2 (EMC Update) v0.22_NRA_model_for_NEMO2 (EMC Update) v0.29_NRA_model_for_NEMO2 (EMC Update) v0.29.2_NRA_model_for_NEMO2 (EMC Update) v0.29.4" xfId="1590"/>
    <cellStyle name="%_NRA_model_for_NEMO2 (EMC Update) v0.22_NRA_model_for_NEMO2 (EMC Update) v0.29_NRA_model_for_NEMO2 (EMC Update) v0.29.2_NRA_model_for_NEMO2 (EMC Update) v0.29.4_NRA_model_for_NEMO2 (EMC Update) v0 30 1" xfId="1593"/>
    <cellStyle name="%_NRA_model_for_NEMO2 (EMC Update) v0.22_NRA_model_for_NEMO2 (EMC Update) v0.29_NRA_model_for_NEMO2 (EMC Update) v0.29.2_NRA_model_for_NEMO2 (EMC Update) v0.29.4_NRA_model_for_NEMO2 (EMC Update) v0.29.5" xfId="1591"/>
    <cellStyle name="%_NRA_model_for_NEMO2 (EMC Update) v0.22_NRA_model_for_NEMO2 (EMC Update) v0.29_NRA_model_for_NEMO2 (EMC Update) v0.29.2_NRA_model_for_NEMO2 (EMC Update) v0.29.4_NRA_model_for_NEMO2 (EMC Update) v0.29.5_NRA_model_for_NEMO2 (EMC Update) v0 30 1" xfId="1592"/>
    <cellStyle name="%_NRA_model_for_NEMO2 (EMC Update) v0.22_NRA_model_for_NEMO2 (EMC Update) v0.29_NRA_model_for_NEMO2 (EMC Update) v0.29.2_NRA_model_for_NEMO2 (EMC Update) v0.29.5" xfId="1594"/>
    <cellStyle name="%_NRA_model_for_NEMO2 (EMC Update) v0.22_NRA_model_for_NEMO2 (EMC Update) v0.29_NRA_model_for_NEMO2 (EMC Update) v0.29.2_NRA_model_for_NEMO2 (EMC Update) v0.29.5_NRA_model_for_NEMO2 (EMC Update) v0 30 1" xfId="1595"/>
    <cellStyle name="%_NRA_model_for_NEMO2 (EMC Update) v0.22_NRA_model_for_NEMO2 (EMC Update) v0.29_NRA_model_for_NEMO2 (EMC Update) v0.29.3" xfId="1597"/>
    <cellStyle name="%_NRA_model_for_NEMO2 (EMC Update) v0.22_NRA_model_for_NEMO2 (EMC Update) v0.29_NRA_model_for_NEMO2 (EMC Update) v0.29.3_NRA_model_for_NEMO2 (EMC Update) v0 30 1" xfId="1600"/>
    <cellStyle name="%_NRA_model_for_NEMO2 (EMC Update) v0.22_NRA_model_for_NEMO2 (EMC Update) v0.29_NRA_model_for_NEMO2 (EMC Update) v0.29.3_NRA_model_for_NEMO2 (EMC Update) v0.29.5" xfId="1598"/>
    <cellStyle name="%_NRA_model_for_NEMO2 (EMC Update) v0.22_NRA_model_for_NEMO2 (EMC Update) v0.29_NRA_model_for_NEMO2 (EMC Update) v0.29.3_NRA_model_for_NEMO2 (EMC Update) v0.29.5_NRA_model_for_NEMO2 (EMC Update) v0 30 1" xfId="1599"/>
    <cellStyle name="%_NRA_model_for_NEMO2 (EMC Update) v0.22_NRA_model_for_NEMO2 (EMC Update) v0.29_NRA_model_for_NEMO2 (EMC Update) v0.29.4" xfId="1601"/>
    <cellStyle name="%_NRA_model_for_NEMO2 (EMC Update) v0.22_NRA_model_for_NEMO2 (EMC Update) v0.29_NRA_model_for_NEMO2 (EMC Update) v0.29.4_NRA_model_for_NEMO2 (EMC Update) v0 30 1" xfId="1604"/>
    <cellStyle name="%_NRA_model_for_NEMO2 (EMC Update) v0.22_NRA_model_for_NEMO2 (EMC Update) v0.29_NRA_model_for_NEMO2 (EMC Update) v0.29.4_NRA_model_for_NEMO2 (EMC Update) v0.29.5" xfId="1602"/>
    <cellStyle name="%_NRA_model_for_NEMO2 (EMC Update) v0.22_NRA_model_for_NEMO2 (EMC Update) v0.29_NRA_model_for_NEMO2 (EMC Update) v0.29.4_NRA_model_for_NEMO2 (EMC Update) v0.29.5_NRA_model_for_NEMO2 (EMC Update) v0 30 1" xfId="1603"/>
    <cellStyle name="%_NRA_model_for_NEMO2 (EMC Update) v0.22_NRA_model_for_NEMO2 (EMC Update) v0.29_NRA_model_for_NEMO2 (EMC Update) v0.29.5" xfId="1605"/>
    <cellStyle name="%_NRA_model_for_NEMO2 (EMC Update) v0.22_NRA_model_for_NEMO2 (EMC Update) v0.29_NRA_model_for_NEMO2 (EMC Update) v0.29.5_NRA_model_for_NEMO2 (EMC Update) v0 30 1" xfId="1606"/>
    <cellStyle name="%_NRA_model_for_NEMO2 (EMC Update) v0.25" xfId="1609"/>
    <cellStyle name="%_NRA_model_for_NEMO2 (EMC Update) v0.25_NRA_model_for_NEMO2 (EMC Update) v0 30 1" xfId="1702"/>
    <cellStyle name="%_NRA_model_for_NEMO2 (EMC Update) v0.25_NRA_model_for_NEMO2 (EMC Update) v0.26" xfId="1610"/>
    <cellStyle name="%_NRA_model_for_NEMO2 (EMC Update) v0.25_NRA_model_for_NEMO2 (EMC Update) v0.26_NRA_model_for_NEMO2 (EMC Update) v0 30 1" xfId="1655"/>
    <cellStyle name="%_NRA_model_for_NEMO2 (EMC Update) v0.25_NRA_model_for_NEMO2 (EMC Update) v0.26_NRA_model_for_NEMO2 (EMC Update) v0.29" xfId="1611"/>
    <cellStyle name="%_NRA_model_for_NEMO2 (EMC Update) v0.25_NRA_model_for_NEMO2 (EMC Update) v0.26_NRA_model_for_NEMO2 (EMC Update) v0.29.2" xfId="1612"/>
    <cellStyle name="%_NRA_model_for_NEMO2 (EMC Update) v0.25_NRA_model_for_NEMO2 (EMC Update) v0.26_NRA_model_for_NEMO2 (EMC Update) v0.29.2_NRA_model_for_NEMO2 (EMC Update) v0 30 1" xfId="1623"/>
    <cellStyle name="%_NRA_model_for_NEMO2 (EMC Update) v0.25_NRA_model_for_NEMO2 (EMC Update) v0.26_NRA_model_for_NEMO2 (EMC Update) v0.29.2_NRA_model_for_NEMO2 (EMC Update) v0.29.3" xfId="1613"/>
    <cellStyle name="%_NRA_model_for_NEMO2 (EMC Update) v0.25_NRA_model_for_NEMO2 (EMC Update) v0.26_NRA_model_for_NEMO2 (EMC Update) v0.29.2_NRA_model_for_NEMO2 (EMC Update) v0.29.3_NRA_model_for_NEMO2 (EMC Update) v0 30 1" xfId="1616"/>
    <cellStyle name="%_NRA_model_for_NEMO2 (EMC Update) v0.25_NRA_model_for_NEMO2 (EMC Update) v0.26_NRA_model_for_NEMO2 (EMC Update) v0.29.2_NRA_model_for_NEMO2 (EMC Update) v0.29.3_NRA_model_for_NEMO2 (EMC Update) v0.29.5" xfId="1614"/>
    <cellStyle name="%_NRA_model_for_NEMO2 (EMC Update) v0.25_NRA_model_for_NEMO2 (EMC Update) v0.26_NRA_model_for_NEMO2 (EMC Update) v0.29.2_NRA_model_for_NEMO2 (EMC Update) v0.29.3_NRA_model_for_NEMO2 (EMC Update) v0.29.5_NRA_model_for_NEMO2 (EMC Update) v0 30 1" xfId="1615"/>
    <cellStyle name="%_NRA_model_for_NEMO2 (EMC Update) v0.25_NRA_model_for_NEMO2 (EMC Update) v0.26_NRA_model_for_NEMO2 (EMC Update) v0.29.2_NRA_model_for_NEMO2 (EMC Update) v0.29.4" xfId="1617"/>
    <cellStyle name="%_NRA_model_for_NEMO2 (EMC Update) v0.25_NRA_model_for_NEMO2 (EMC Update) v0.26_NRA_model_for_NEMO2 (EMC Update) v0.29.2_NRA_model_for_NEMO2 (EMC Update) v0.29.4_NRA_model_for_NEMO2 (EMC Update) v0 30 1" xfId="1620"/>
    <cellStyle name="%_NRA_model_for_NEMO2 (EMC Update) v0.25_NRA_model_for_NEMO2 (EMC Update) v0.26_NRA_model_for_NEMO2 (EMC Update) v0.29.2_NRA_model_for_NEMO2 (EMC Update) v0.29.4_NRA_model_for_NEMO2 (EMC Update) v0.29.5" xfId="1618"/>
    <cellStyle name="%_NRA_model_for_NEMO2 (EMC Update) v0.25_NRA_model_for_NEMO2 (EMC Update) v0.26_NRA_model_for_NEMO2 (EMC Update) v0.29.2_NRA_model_for_NEMO2 (EMC Update) v0.29.4_NRA_model_for_NEMO2 (EMC Update) v0.29.5_NRA_model_for_NEMO2 (EMC Update) v0 30 1" xfId="1619"/>
    <cellStyle name="%_NRA_model_for_NEMO2 (EMC Update) v0.25_NRA_model_for_NEMO2 (EMC Update) v0.26_NRA_model_for_NEMO2 (EMC Update) v0.29.2_NRA_model_for_NEMO2 (EMC Update) v0.29.5" xfId="1621"/>
    <cellStyle name="%_NRA_model_for_NEMO2 (EMC Update) v0.25_NRA_model_for_NEMO2 (EMC Update) v0.26_NRA_model_for_NEMO2 (EMC Update) v0.29.2_NRA_model_for_NEMO2 (EMC Update) v0.29.5_NRA_model_for_NEMO2 (EMC Update) v0 30 1" xfId="1622"/>
    <cellStyle name="%_NRA_model_for_NEMO2 (EMC Update) v0.25_NRA_model_for_NEMO2 (EMC Update) v0.26_NRA_model_for_NEMO2 (EMC Update) v0.29.3" xfId="1624"/>
    <cellStyle name="%_NRA_model_for_NEMO2 (EMC Update) v0.25_NRA_model_for_NEMO2 (EMC Update) v0.26_NRA_model_for_NEMO2 (EMC Update) v0.29.3_NRA_model_for_NEMO2 (EMC Update) v0 30 1" xfId="1627"/>
    <cellStyle name="%_NRA_model_for_NEMO2 (EMC Update) v0.25_NRA_model_for_NEMO2 (EMC Update) v0.26_NRA_model_for_NEMO2 (EMC Update) v0.29.3_NRA_model_for_NEMO2 (EMC Update) v0.29.5" xfId="1625"/>
    <cellStyle name="%_NRA_model_for_NEMO2 (EMC Update) v0.25_NRA_model_for_NEMO2 (EMC Update) v0.26_NRA_model_for_NEMO2 (EMC Update) v0.29.3_NRA_model_for_NEMO2 (EMC Update) v0.29.5_NRA_model_for_NEMO2 (EMC Update) v0 30 1" xfId="1626"/>
    <cellStyle name="%_NRA_model_for_NEMO2 (EMC Update) v0.25_NRA_model_for_NEMO2 (EMC Update) v0.26_NRA_model_for_NEMO2 (EMC Update) v0.29.4" xfId="1628"/>
    <cellStyle name="%_NRA_model_for_NEMO2 (EMC Update) v0.25_NRA_model_for_NEMO2 (EMC Update) v0.26_NRA_model_for_NEMO2 (EMC Update) v0.29.4_NRA_model_for_NEMO2 (EMC Update) v0 30 1" xfId="1631"/>
    <cellStyle name="%_NRA_model_for_NEMO2 (EMC Update) v0.25_NRA_model_for_NEMO2 (EMC Update) v0.26_NRA_model_for_NEMO2 (EMC Update) v0.29.4_NRA_model_for_NEMO2 (EMC Update) v0.29.5" xfId="1629"/>
    <cellStyle name="%_NRA_model_for_NEMO2 (EMC Update) v0.25_NRA_model_for_NEMO2 (EMC Update) v0.26_NRA_model_for_NEMO2 (EMC Update) v0.29.4_NRA_model_for_NEMO2 (EMC Update) v0.29.5_NRA_model_for_NEMO2 (EMC Update) v0 30 1" xfId="1630"/>
    <cellStyle name="%_NRA_model_for_NEMO2 (EMC Update) v0.25_NRA_model_for_NEMO2 (EMC Update) v0.26_NRA_model_for_NEMO2 (EMC Update) v0.29.5" xfId="1632"/>
    <cellStyle name="%_NRA_model_for_NEMO2 (EMC Update) v0.25_NRA_model_for_NEMO2 (EMC Update) v0.26_NRA_model_for_NEMO2 (EMC Update) v0.29.5_NRA_model_for_NEMO2 (EMC Update) v0 30 1" xfId="1633"/>
    <cellStyle name="%_NRA_model_for_NEMO2 (EMC Update) v0.25_NRA_model_for_NEMO2 (EMC Update) v0.26_NRA_model_for_NEMO2 (EMC Update) v0.29_NRA_model_for_NEMO2 (EMC Update) v0 30 1" xfId="1654"/>
    <cellStyle name="%_NRA_model_for_NEMO2 (EMC Update) v0.25_NRA_model_for_NEMO2 (EMC Update) v0.26_NRA_model_for_NEMO2 (EMC Update) v0.29_NRA_model_for_NEMO2 (EMC Update) v0.29.2" xfId="1634"/>
    <cellStyle name="%_NRA_model_for_NEMO2 (EMC Update) v0.25_NRA_model_for_NEMO2 (EMC Update) v0.26_NRA_model_for_NEMO2 (EMC Update) v0.29_NRA_model_for_NEMO2 (EMC Update) v0.29.2_NRA_model_for_NEMO2 (EMC Update) v0 30 1" xfId="1643"/>
    <cellStyle name="%_NRA_model_for_NEMO2 (EMC Update) v0.25_NRA_model_for_NEMO2 (EMC Update) v0.26_NRA_model_for_NEMO2 (EMC Update) v0.29_NRA_model_for_NEMO2 (EMC Update) v0.29.2_NRA_model_for_NEMO2 (EMC Update) v0.29.3" xfId="1635"/>
    <cellStyle name="%_NRA_model_for_NEMO2 (EMC Update) v0.25_NRA_model_for_NEMO2 (EMC Update) v0.26_NRA_model_for_NEMO2 (EMC Update) v0.29_NRA_model_for_NEMO2 (EMC Update) v0.29.2_NRA_model_for_NEMO2 (EMC Update) v0.29.3_NRA_model_for_NEMO2 (EMC Update) v0 30 1" xfId="1637"/>
    <cellStyle name="%_NRA_model_for_NEMO2 (EMC Update) v0.25_NRA_model_for_NEMO2 (EMC Update) v0.26_NRA_model_for_NEMO2 (EMC Update) v0.29_NRA_model_for_NEMO2 (EMC Update) v0.29.2_NRA_model_for_NEMO2 (EMC Update) v0.29.3_NRA_model_for_NEMO2 (EMC Update) v0.29.5" xfId="1636"/>
    <cellStyle name="%_NRA_model_for_NEMO2 (EMC Update) v0.25_NRA_model_for_NEMO2 (EMC Update) v0.26_NRA_model_for_NEMO2 (EMC Update) v0.29_NRA_model_for_NEMO2 (EMC Update) v0.29.2_NRA_model_for_NEMO2 (EMC Update) v0.29.4" xfId="1638"/>
    <cellStyle name="%_NRA_model_for_NEMO2 (EMC Update) v0.25_NRA_model_for_NEMO2 (EMC Update) v0.26_NRA_model_for_NEMO2 (EMC Update) v0.29_NRA_model_for_NEMO2 (EMC Update) v0.29.2_NRA_model_for_NEMO2 (EMC Update) v0.29.4_NRA_model_for_NEMO2 (EMC Update) v0 30 1" xfId="1640"/>
    <cellStyle name="%_NRA_model_for_NEMO2 (EMC Update) v0.25_NRA_model_for_NEMO2 (EMC Update) v0.26_NRA_model_for_NEMO2 (EMC Update) v0.29_NRA_model_for_NEMO2 (EMC Update) v0.29.2_NRA_model_for_NEMO2 (EMC Update) v0.29.4_NRA_model_for_NEMO2 (EMC Update) v0.29.5" xfId="1639"/>
    <cellStyle name="%_NRA_model_for_NEMO2 (EMC Update) v0.25_NRA_model_for_NEMO2 (EMC Update) v0.26_NRA_model_for_NEMO2 (EMC Update) v0.29_NRA_model_for_NEMO2 (EMC Update) v0.29.2_NRA_model_for_NEMO2 (EMC Update) v0.29.5" xfId="1641"/>
    <cellStyle name="%_NRA_model_for_NEMO2 (EMC Update) v0.25_NRA_model_for_NEMO2 (EMC Update) v0.26_NRA_model_for_NEMO2 (EMC Update) v0.29_NRA_model_for_NEMO2 (EMC Update) v0.29.2_NRA_model_for_NEMO2 (EMC Update) v0.29.5_NRA_model_for_NEMO2 (EMC Update) v0 30 1" xfId="1642"/>
    <cellStyle name="%_NRA_model_for_NEMO2 (EMC Update) v0.25_NRA_model_for_NEMO2 (EMC Update) v0.26_NRA_model_for_NEMO2 (EMC Update) v0.29_NRA_model_for_NEMO2 (EMC Update) v0.29.3" xfId="1644"/>
    <cellStyle name="%_NRA_model_for_NEMO2 (EMC Update) v0.25_NRA_model_for_NEMO2 (EMC Update) v0.26_NRA_model_for_NEMO2 (EMC Update) v0.29_NRA_model_for_NEMO2 (EMC Update) v0.29.3_NRA_model_for_NEMO2 (EMC Update) v0 30 1" xfId="1647"/>
    <cellStyle name="%_NRA_model_for_NEMO2 (EMC Update) v0.25_NRA_model_for_NEMO2 (EMC Update) v0.26_NRA_model_for_NEMO2 (EMC Update) v0.29_NRA_model_for_NEMO2 (EMC Update) v0.29.3_NRA_model_for_NEMO2 (EMC Update) v0.29.5" xfId="1645"/>
    <cellStyle name="%_NRA_model_for_NEMO2 (EMC Update) v0.25_NRA_model_for_NEMO2 (EMC Update) v0.26_NRA_model_for_NEMO2 (EMC Update) v0.29_NRA_model_for_NEMO2 (EMC Update) v0.29.3_NRA_model_for_NEMO2 (EMC Update) v0.29.5_NRA_model_for_NEMO2 (EMC Update) v0 30 1" xfId="1646"/>
    <cellStyle name="%_NRA_model_for_NEMO2 (EMC Update) v0.25_NRA_model_for_NEMO2 (EMC Update) v0.26_NRA_model_for_NEMO2 (EMC Update) v0.29_NRA_model_for_NEMO2 (EMC Update) v0.29.4" xfId="1648"/>
    <cellStyle name="%_NRA_model_for_NEMO2 (EMC Update) v0.25_NRA_model_for_NEMO2 (EMC Update) v0.26_NRA_model_for_NEMO2 (EMC Update) v0.29_NRA_model_for_NEMO2 (EMC Update) v0.29.4_NRA_model_for_NEMO2 (EMC Update) v0 30 1" xfId="1651"/>
    <cellStyle name="%_NRA_model_for_NEMO2 (EMC Update) v0.25_NRA_model_for_NEMO2 (EMC Update) v0.26_NRA_model_for_NEMO2 (EMC Update) v0.29_NRA_model_for_NEMO2 (EMC Update) v0.29.4_NRA_model_for_NEMO2 (EMC Update) v0.29.5" xfId="1649"/>
    <cellStyle name="%_NRA_model_for_NEMO2 (EMC Update) v0.25_NRA_model_for_NEMO2 (EMC Update) v0.26_NRA_model_for_NEMO2 (EMC Update) v0.29_NRA_model_for_NEMO2 (EMC Update) v0.29.4_NRA_model_for_NEMO2 (EMC Update) v0.29.5_NRA_model_for_NEMO2 (EMC Update) v0 30 1" xfId="1650"/>
    <cellStyle name="%_NRA_model_for_NEMO2 (EMC Update) v0.25_NRA_model_for_NEMO2 (EMC Update) v0.26_NRA_model_for_NEMO2 (EMC Update) v0.29_NRA_model_for_NEMO2 (EMC Update) v0.29.5" xfId="1652"/>
    <cellStyle name="%_NRA_model_for_NEMO2 (EMC Update) v0.25_NRA_model_for_NEMO2 (EMC Update) v0.26_NRA_model_for_NEMO2 (EMC Update) v0.29_NRA_model_for_NEMO2 (EMC Update) v0.29.5_NRA_model_for_NEMO2 (EMC Update) v0 30 1" xfId="1653"/>
    <cellStyle name="%_NRA_model_for_NEMO2 (EMC Update) v0.25_NRA_model_for_NEMO2 (EMC Update) v0.29" xfId="1656"/>
    <cellStyle name="%_NRA_model_for_NEMO2 (EMC Update) v0.25_NRA_model_for_NEMO2 (EMC Update) v0.29.2" xfId="1657"/>
    <cellStyle name="%_NRA_model_for_NEMO2 (EMC Update) v0.25_NRA_model_for_NEMO2 (EMC Update) v0.29.2_NRA_model_for_NEMO2 (EMC Update) v0 30 1" xfId="1668"/>
    <cellStyle name="%_NRA_model_for_NEMO2 (EMC Update) v0.25_NRA_model_for_NEMO2 (EMC Update) v0.29.2_NRA_model_for_NEMO2 (EMC Update) v0.29.3" xfId="1658"/>
    <cellStyle name="%_NRA_model_for_NEMO2 (EMC Update) v0.25_NRA_model_for_NEMO2 (EMC Update) v0.29.2_NRA_model_for_NEMO2 (EMC Update) v0.29.3_NRA_model_for_NEMO2 (EMC Update) v0 30 1" xfId="1661"/>
    <cellStyle name="%_NRA_model_for_NEMO2 (EMC Update) v0.25_NRA_model_for_NEMO2 (EMC Update) v0.29.2_NRA_model_for_NEMO2 (EMC Update) v0.29.3_NRA_model_for_NEMO2 (EMC Update) v0.29.5" xfId="1659"/>
    <cellStyle name="%_NRA_model_for_NEMO2 (EMC Update) v0.25_NRA_model_for_NEMO2 (EMC Update) v0.29.2_NRA_model_for_NEMO2 (EMC Update) v0.29.3_NRA_model_for_NEMO2 (EMC Update) v0.29.5_NRA_model_for_NEMO2 (EMC Update) v0 30 1" xfId="1660"/>
    <cellStyle name="%_NRA_model_for_NEMO2 (EMC Update) v0.25_NRA_model_for_NEMO2 (EMC Update) v0.29.2_NRA_model_for_NEMO2 (EMC Update) v0.29.4" xfId="1662"/>
    <cellStyle name="%_NRA_model_for_NEMO2 (EMC Update) v0.25_NRA_model_for_NEMO2 (EMC Update) v0.29.2_NRA_model_for_NEMO2 (EMC Update) v0.29.4_NRA_model_for_NEMO2 (EMC Update) v0 30 1" xfId="1665"/>
    <cellStyle name="%_NRA_model_for_NEMO2 (EMC Update) v0.25_NRA_model_for_NEMO2 (EMC Update) v0.29.2_NRA_model_for_NEMO2 (EMC Update) v0.29.4_NRA_model_for_NEMO2 (EMC Update) v0.29.5" xfId="1663"/>
    <cellStyle name="%_NRA_model_for_NEMO2 (EMC Update) v0.25_NRA_model_for_NEMO2 (EMC Update) v0.29.2_NRA_model_for_NEMO2 (EMC Update) v0.29.4_NRA_model_for_NEMO2 (EMC Update) v0.29.5_NRA_model_for_NEMO2 (EMC Update) v0 30 1" xfId="1664"/>
    <cellStyle name="%_NRA_model_for_NEMO2 (EMC Update) v0.25_NRA_model_for_NEMO2 (EMC Update) v0.29.2_NRA_model_for_NEMO2 (EMC Update) v0.29.5" xfId="1666"/>
    <cellStyle name="%_NRA_model_for_NEMO2 (EMC Update) v0.25_NRA_model_for_NEMO2 (EMC Update) v0.29.2_NRA_model_for_NEMO2 (EMC Update) v0.29.5_NRA_model_for_NEMO2 (EMC Update) v0 30 1" xfId="1667"/>
    <cellStyle name="%_NRA_model_for_NEMO2 (EMC Update) v0.25_NRA_model_for_NEMO2 (EMC Update) v0.29.3" xfId="1669"/>
    <cellStyle name="%_NRA_model_for_NEMO2 (EMC Update) v0.25_NRA_model_for_NEMO2 (EMC Update) v0.29.3_NRA_model_for_NEMO2 (EMC Update) v0 30 1" xfId="1672"/>
    <cellStyle name="%_NRA_model_for_NEMO2 (EMC Update) v0.25_NRA_model_for_NEMO2 (EMC Update) v0.29.3_NRA_model_for_NEMO2 (EMC Update) v0.29.5" xfId="1670"/>
    <cellStyle name="%_NRA_model_for_NEMO2 (EMC Update) v0.25_NRA_model_for_NEMO2 (EMC Update) v0.29.3_NRA_model_for_NEMO2 (EMC Update) v0.29.5_NRA_model_for_NEMO2 (EMC Update) v0 30 1" xfId="1671"/>
    <cellStyle name="%_NRA_model_for_NEMO2 (EMC Update) v0.25_NRA_model_for_NEMO2 (EMC Update) v0.29.4" xfId="1673"/>
    <cellStyle name="%_NRA_model_for_NEMO2 (EMC Update) v0.25_NRA_model_for_NEMO2 (EMC Update) v0.29.4_NRA_model_for_NEMO2 (EMC Update) v0 30 1" xfId="1676"/>
    <cellStyle name="%_NRA_model_for_NEMO2 (EMC Update) v0.25_NRA_model_for_NEMO2 (EMC Update) v0.29.4_NRA_model_for_NEMO2 (EMC Update) v0.29.5" xfId="1674"/>
    <cellStyle name="%_NRA_model_for_NEMO2 (EMC Update) v0.25_NRA_model_for_NEMO2 (EMC Update) v0.29.4_NRA_model_for_NEMO2 (EMC Update) v0.29.5_NRA_model_for_NEMO2 (EMC Update) v0 30 1" xfId="1675"/>
    <cellStyle name="%_NRA_model_for_NEMO2 (EMC Update) v0.25_NRA_model_for_NEMO2 (EMC Update) v0.29.5" xfId="1677"/>
    <cellStyle name="%_NRA_model_for_NEMO2 (EMC Update) v0.25_NRA_model_for_NEMO2 (EMC Update) v0.29.5_NRA_model_for_NEMO2 (EMC Update) v0 30 1" xfId="1678"/>
    <cellStyle name="%_NRA_model_for_NEMO2 (EMC Update) v0.25_NRA_model_for_NEMO2 (EMC Update) v0.29_NRA_model_for_NEMO2 (EMC Update) v0 30 1" xfId="1701"/>
    <cellStyle name="%_NRA_model_for_NEMO2 (EMC Update) v0.25_NRA_model_for_NEMO2 (EMC Update) v0.29_NRA_model_for_NEMO2 (EMC Update) v0.29.2" xfId="1679"/>
    <cellStyle name="%_NRA_model_for_NEMO2 (EMC Update) v0.25_NRA_model_for_NEMO2 (EMC Update) v0.29_NRA_model_for_NEMO2 (EMC Update) v0.29.2_NRA_model_for_NEMO2 (EMC Update) v0 30 1" xfId="1690"/>
    <cellStyle name="%_NRA_model_for_NEMO2 (EMC Update) v0.25_NRA_model_for_NEMO2 (EMC Update) v0.29_NRA_model_for_NEMO2 (EMC Update) v0.29.2_NRA_model_for_NEMO2 (EMC Update) v0.29.3" xfId="1680"/>
    <cellStyle name="%_NRA_model_for_NEMO2 (EMC Update) v0.25_NRA_model_for_NEMO2 (EMC Update) v0.29_NRA_model_for_NEMO2 (EMC Update) v0.29.2_NRA_model_for_NEMO2 (EMC Update) v0.29.3_NRA_model_for_NEMO2 (EMC Update) v0 30 1" xfId="1683"/>
    <cellStyle name="%_NRA_model_for_NEMO2 (EMC Update) v0.25_NRA_model_for_NEMO2 (EMC Update) v0.29_NRA_model_for_NEMO2 (EMC Update) v0.29.2_NRA_model_for_NEMO2 (EMC Update) v0.29.3_NRA_model_for_NEMO2 (EMC Update) v0.29.5" xfId="1681"/>
    <cellStyle name="%_NRA_model_for_NEMO2 (EMC Update) v0.25_NRA_model_for_NEMO2 (EMC Update) v0.29_NRA_model_for_NEMO2 (EMC Update) v0.29.2_NRA_model_for_NEMO2 (EMC Update) v0.29.3_NRA_model_for_NEMO2 (EMC Update) v0.29.5_NRA_model_for_NEMO2 (EMC Update) v0 30 1" xfId="1682"/>
    <cellStyle name="%_NRA_model_for_NEMO2 (EMC Update) v0.25_NRA_model_for_NEMO2 (EMC Update) v0.29_NRA_model_for_NEMO2 (EMC Update) v0.29.2_NRA_model_for_NEMO2 (EMC Update) v0.29.4" xfId="1684"/>
    <cellStyle name="%_NRA_model_for_NEMO2 (EMC Update) v0.25_NRA_model_for_NEMO2 (EMC Update) v0.29_NRA_model_for_NEMO2 (EMC Update) v0.29.2_NRA_model_for_NEMO2 (EMC Update) v0.29.4_NRA_model_for_NEMO2 (EMC Update) v0 30 1" xfId="1687"/>
    <cellStyle name="%_NRA_model_for_NEMO2 (EMC Update) v0.25_NRA_model_for_NEMO2 (EMC Update) v0.29_NRA_model_for_NEMO2 (EMC Update) v0.29.2_NRA_model_for_NEMO2 (EMC Update) v0.29.4_NRA_model_for_NEMO2 (EMC Update) v0.29.5" xfId="1685"/>
    <cellStyle name="%_NRA_model_for_NEMO2 (EMC Update) v0.25_NRA_model_for_NEMO2 (EMC Update) v0.29_NRA_model_for_NEMO2 (EMC Update) v0.29.2_NRA_model_for_NEMO2 (EMC Update) v0.29.4_NRA_model_for_NEMO2 (EMC Update) v0.29.5_NRA_model_for_NEMO2 (EMC Update) v0 30 1" xfId="1686"/>
    <cellStyle name="%_NRA_model_for_NEMO2 (EMC Update) v0.25_NRA_model_for_NEMO2 (EMC Update) v0.29_NRA_model_for_NEMO2 (EMC Update) v0.29.2_NRA_model_for_NEMO2 (EMC Update) v0.29.5" xfId="1688"/>
    <cellStyle name="%_NRA_model_for_NEMO2 (EMC Update) v0.25_NRA_model_for_NEMO2 (EMC Update) v0.29_NRA_model_for_NEMO2 (EMC Update) v0.29.2_NRA_model_for_NEMO2 (EMC Update) v0.29.5_NRA_model_for_NEMO2 (EMC Update) v0 30 1" xfId="1689"/>
    <cellStyle name="%_NRA_model_for_NEMO2 (EMC Update) v0.25_NRA_model_for_NEMO2 (EMC Update) v0.29_NRA_model_for_NEMO2 (EMC Update) v0.29.3" xfId="1691"/>
    <cellStyle name="%_NRA_model_for_NEMO2 (EMC Update) v0.25_NRA_model_for_NEMO2 (EMC Update) v0.29_NRA_model_for_NEMO2 (EMC Update) v0.29.3_NRA_model_for_NEMO2 (EMC Update) v0 30 1" xfId="1694"/>
    <cellStyle name="%_NRA_model_for_NEMO2 (EMC Update) v0.25_NRA_model_for_NEMO2 (EMC Update) v0.29_NRA_model_for_NEMO2 (EMC Update) v0.29.3_NRA_model_for_NEMO2 (EMC Update) v0.29.5" xfId="1692"/>
    <cellStyle name="%_NRA_model_for_NEMO2 (EMC Update) v0.25_NRA_model_for_NEMO2 (EMC Update) v0.29_NRA_model_for_NEMO2 (EMC Update) v0.29.3_NRA_model_for_NEMO2 (EMC Update) v0.29.5_NRA_model_for_NEMO2 (EMC Update) v0 30 1" xfId="1693"/>
    <cellStyle name="%_NRA_model_for_NEMO2 (EMC Update) v0.25_NRA_model_for_NEMO2 (EMC Update) v0.29_NRA_model_for_NEMO2 (EMC Update) v0.29.4" xfId="1695"/>
    <cellStyle name="%_NRA_model_for_NEMO2 (EMC Update) v0.25_NRA_model_for_NEMO2 (EMC Update) v0.29_NRA_model_for_NEMO2 (EMC Update) v0.29.4_NRA_model_for_NEMO2 (EMC Update) v0 30 1" xfId="1698"/>
    <cellStyle name="%_NRA_model_for_NEMO2 (EMC Update) v0.25_NRA_model_for_NEMO2 (EMC Update) v0.29_NRA_model_for_NEMO2 (EMC Update) v0.29.4_NRA_model_for_NEMO2 (EMC Update) v0.29.5" xfId="1696"/>
    <cellStyle name="%_NRA_model_for_NEMO2 (EMC Update) v0.25_NRA_model_for_NEMO2 (EMC Update) v0.29_NRA_model_for_NEMO2 (EMC Update) v0.29.4_NRA_model_for_NEMO2 (EMC Update) v0.29.5_NRA_model_for_NEMO2 (EMC Update) v0 30 1" xfId="1697"/>
    <cellStyle name="%_NRA_model_for_NEMO2 (EMC Update) v0.25_NRA_model_for_NEMO2 (EMC Update) v0.29_NRA_model_for_NEMO2 (EMC Update) v0.29.5" xfId="1699"/>
    <cellStyle name="%_NRA_model_for_NEMO2 (EMC Update) v0.25_NRA_model_for_NEMO2 (EMC Update) v0.29_NRA_model_for_NEMO2 (EMC Update) v0.29.5_NRA_model_for_NEMO2 (EMC Update) v0 30 1" xfId="1700"/>
    <cellStyle name="%_NRA_model_for_NEMO2 (EMC Update) v0.26" xfId="1703"/>
    <cellStyle name="%_NRA_model_for_NEMO2 (EMC Update) v0.26_NRA_model_for_NEMO2 (EMC Update) v0 30 1" xfId="1750"/>
    <cellStyle name="%_NRA_model_for_NEMO2 (EMC Update) v0.26_NRA_model_for_NEMO2 (EMC Update) v0.29" xfId="1704"/>
    <cellStyle name="%_NRA_model_for_NEMO2 (EMC Update) v0.26_NRA_model_for_NEMO2 (EMC Update) v0.29.2" xfId="1705"/>
    <cellStyle name="%_NRA_model_for_NEMO2 (EMC Update) v0.26_NRA_model_for_NEMO2 (EMC Update) v0.29.2_NRA_model_for_NEMO2 (EMC Update) v0 30 1" xfId="1716"/>
    <cellStyle name="%_NRA_model_for_NEMO2 (EMC Update) v0.26_NRA_model_for_NEMO2 (EMC Update) v0.29.2_NRA_model_for_NEMO2 (EMC Update) v0.29.3" xfId="1706"/>
    <cellStyle name="%_NRA_model_for_NEMO2 (EMC Update) v0.26_NRA_model_for_NEMO2 (EMC Update) v0.29.2_NRA_model_for_NEMO2 (EMC Update) v0.29.3_NRA_model_for_NEMO2 (EMC Update) v0 30 1" xfId="1709"/>
    <cellStyle name="%_NRA_model_for_NEMO2 (EMC Update) v0.26_NRA_model_for_NEMO2 (EMC Update) v0.29.2_NRA_model_for_NEMO2 (EMC Update) v0.29.3_NRA_model_for_NEMO2 (EMC Update) v0.29.5" xfId="1707"/>
    <cellStyle name="%_NRA_model_for_NEMO2 (EMC Update) v0.26_NRA_model_for_NEMO2 (EMC Update) v0.29.2_NRA_model_for_NEMO2 (EMC Update) v0.29.3_NRA_model_for_NEMO2 (EMC Update) v0.29.5_NRA_model_for_NEMO2 (EMC Update) v0 30 1" xfId="1708"/>
    <cellStyle name="%_NRA_model_for_NEMO2 (EMC Update) v0.26_NRA_model_for_NEMO2 (EMC Update) v0.29.2_NRA_model_for_NEMO2 (EMC Update) v0.29.4" xfId="1710"/>
    <cellStyle name="%_NRA_model_for_NEMO2 (EMC Update) v0.26_NRA_model_for_NEMO2 (EMC Update) v0.29.2_NRA_model_for_NEMO2 (EMC Update) v0.29.4_NRA_model_for_NEMO2 (EMC Update) v0 30 1" xfId="1713"/>
    <cellStyle name="%_NRA_model_for_NEMO2 (EMC Update) v0.26_NRA_model_for_NEMO2 (EMC Update) v0.29.2_NRA_model_for_NEMO2 (EMC Update) v0.29.4_NRA_model_for_NEMO2 (EMC Update) v0.29.5" xfId="1711"/>
    <cellStyle name="%_NRA_model_for_NEMO2 (EMC Update) v0.26_NRA_model_for_NEMO2 (EMC Update) v0.29.2_NRA_model_for_NEMO2 (EMC Update) v0.29.4_NRA_model_for_NEMO2 (EMC Update) v0.29.5_NRA_model_for_NEMO2 (EMC Update) v0 30 1" xfId="1712"/>
    <cellStyle name="%_NRA_model_for_NEMO2 (EMC Update) v0.26_NRA_model_for_NEMO2 (EMC Update) v0.29.2_NRA_model_for_NEMO2 (EMC Update) v0.29.5" xfId="1714"/>
    <cellStyle name="%_NRA_model_for_NEMO2 (EMC Update) v0.26_NRA_model_for_NEMO2 (EMC Update) v0.29.2_NRA_model_for_NEMO2 (EMC Update) v0.29.5_NRA_model_for_NEMO2 (EMC Update) v0 30 1" xfId="1715"/>
    <cellStyle name="%_NRA_model_for_NEMO2 (EMC Update) v0.26_NRA_model_for_NEMO2 (EMC Update) v0.29.3" xfId="1717"/>
    <cellStyle name="%_NRA_model_for_NEMO2 (EMC Update) v0.26_NRA_model_for_NEMO2 (EMC Update) v0.29.3_NRA_model_for_NEMO2 (EMC Update) v0 30 1" xfId="1720"/>
    <cellStyle name="%_NRA_model_for_NEMO2 (EMC Update) v0.26_NRA_model_for_NEMO2 (EMC Update) v0.29.3_NRA_model_for_NEMO2 (EMC Update) v0.29.5" xfId="1718"/>
    <cellStyle name="%_NRA_model_for_NEMO2 (EMC Update) v0.26_NRA_model_for_NEMO2 (EMC Update) v0.29.3_NRA_model_for_NEMO2 (EMC Update) v0.29.5_NRA_model_for_NEMO2 (EMC Update) v0 30 1" xfId="1719"/>
    <cellStyle name="%_NRA_model_for_NEMO2 (EMC Update) v0.26_NRA_model_for_NEMO2 (EMC Update) v0.29.4" xfId="1721"/>
    <cellStyle name="%_NRA_model_for_NEMO2 (EMC Update) v0.26_NRA_model_for_NEMO2 (EMC Update) v0.29.4_NRA_model_for_NEMO2 (EMC Update) v0 30 1" xfId="1724"/>
    <cellStyle name="%_NRA_model_for_NEMO2 (EMC Update) v0.26_NRA_model_for_NEMO2 (EMC Update) v0.29.4_NRA_model_for_NEMO2 (EMC Update) v0.29.5" xfId="1722"/>
    <cellStyle name="%_NRA_model_for_NEMO2 (EMC Update) v0.26_NRA_model_for_NEMO2 (EMC Update) v0.29.4_NRA_model_for_NEMO2 (EMC Update) v0.29.5_NRA_model_for_NEMO2 (EMC Update) v0 30 1" xfId="1723"/>
    <cellStyle name="%_NRA_model_for_NEMO2 (EMC Update) v0.26_NRA_model_for_NEMO2 (EMC Update) v0.29.5" xfId="1725"/>
    <cellStyle name="%_NRA_model_for_NEMO2 (EMC Update) v0.26_NRA_model_for_NEMO2 (EMC Update) v0.29.5_NRA_model_for_NEMO2 (EMC Update) v0 30 1" xfId="1726"/>
    <cellStyle name="%_NRA_model_for_NEMO2 (EMC Update) v0.26_NRA_model_for_NEMO2 (EMC Update) v0.29_NRA_model_for_NEMO2 (EMC Update) v0 30 1" xfId="1749"/>
    <cellStyle name="%_NRA_model_for_NEMO2 (EMC Update) v0.26_NRA_model_for_NEMO2 (EMC Update) v0.29_NRA_model_for_NEMO2 (EMC Update) v0.29.2" xfId="1727"/>
    <cellStyle name="%_NRA_model_for_NEMO2 (EMC Update) v0.26_NRA_model_for_NEMO2 (EMC Update) v0.29_NRA_model_for_NEMO2 (EMC Update) v0.29.2_NRA_model_for_NEMO2 (EMC Update) v0 30 1" xfId="1738"/>
    <cellStyle name="%_NRA_model_for_NEMO2 (EMC Update) v0.26_NRA_model_for_NEMO2 (EMC Update) v0.29_NRA_model_for_NEMO2 (EMC Update) v0.29.2_NRA_model_for_NEMO2 (EMC Update) v0.29.3" xfId="1728"/>
    <cellStyle name="%_NRA_model_for_NEMO2 (EMC Update) v0.26_NRA_model_for_NEMO2 (EMC Update) v0.29_NRA_model_for_NEMO2 (EMC Update) v0.29.2_NRA_model_for_NEMO2 (EMC Update) v0.29.3_NRA_model_for_NEMO2 (EMC Update) v0 30 1" xfId="1731"/>
    <cellStyle name="%_NRA_model_for_NEMO2 (EMC Update) v0.26_NRA_model_for_NEMO2 (EMC Update) v0.29_NRA_model_for_NEMO2 (EMC Update) v0.29.2_NRA_model_for_NEMO2 (EMC Update) v0.29.3_NRA_model_for_NEMO2 (EMC Update) v0.29.5" xfId="1729"/>
    <cellStyle name="%_NRA_model_for_NEMO2 (EMC Update) v0.26_NRA_model_for_NEMO2 (EMC Update) v0.29_NRA_model_for_NEMO2 (EMC Update) v0.29.2_NRA_model_for_NEMO2 (EMC Update) v0.29.3_NRA_model_for_NEMO2 (EMC Update) v0.29.5_NRA_model_for_NEMO2 (EMC Update) v0 30 1" xfId="1730"/>
    <cellStyle name="%_NRA_model_for_NEMO2 (EMC Update) v0.26_NRA_model_for_NEMO2 (EMC Update) v0.29_NRA_model_for_NEMO2 (EMC Update) v0.29.2_NRA_model_for_NEMO2 (EMC Update) v0.29.4" xfId="1732"/>
    <cellStyle name="%_NRA_model_for_NEMO2 (EMC Update) v0.26_NRA_model_for_NEMO2 (EMC Update) v0.29_NRA_model_for_NEMO2 (EMC Update) v0.29.2_NRA_model_for_NEMO2 (EMC Update) v0.29.4_NRA_model_for_NEMO2 (EMC Update) v0 30 1" xfId="1735"/>
    <cellStyle name="%_NRA_model_for_NEMO2 (EMC Update) v0.26_NRA_model_for_NEMO2 (EMC Update) v0.29_NRA_model_for_NEMO2 (EMC Update) v0.29.2_NRA_model_for_NEMO2 (EMC Update) v0.29.4_NRA_model_for_NEMO2 (EMC Update) v0.29.5" xfId="1733"/>
    <cellStyle name="%_NRA_model_for_NEMO2 (EMC Update) v0.26_NRA_model_for_NEMO2 (EMC Update) v0.29_NRA_model_for_NEMO2 (EMC Update) v0.29.2_NRA_model_for_NEMO2 (EMC Update) v0.29.4_NRA_model_for_NEMO2 (EMC Update) v0.29.5_NRA_model_for_NEMO2 (EMC Update) v0 30 1" xfId="1734"/>
    <cellStyle name="%_NRA_model_for_NEMO2 (EMC Update) v0.26_NRA_model_for_NEMO2 (EMC Update) v0.29_NRA_model_for_NEMO2 (EMC Update) v0.29.2_NRA_model_for_NEMO2 (EMC Update) v0.29.5" xfId="1736"/>
    <cellStyle name="%_NRA_model_for_NEMO2 (EMC Update) v0.26_NRA_model_for_NEMO2 (EMC Update) v0.29_NRA_model_for_NEMO2 (EMC Update) v0.29.2_NRA_model_for_NEMO2 (EMC Update) v0.29.5_NRA_model_for_NEMO2 (EMC Update) v0 30 1" xfId="1737"/>
    <cellStyle name="%_NRA_model_for_NEMO2 (EMC Update) v0.26_NRA_model_for_NEMO2 (EMC Update) v0.29_NRA_model_for_NEMO2 (EMC Update) v0.29.3" xfId="1739"/>
    <cellStyle name="%_NRA_model_for_NEMO2 (EMC Update) v0.26_NRA_model_for_NEMO2 (EMC Update) v0.29_NRA_model_for_NEMO2 (EMC Update) v0.29.3_NRA_model_for_NEMO2 (EMC Update) v0 30 1" xfId="1742"/>
    <cellStyle name="%_NRA_model_for_NEMO2 (EMC Update) v0.26_NRA_model_for_NEMO2 (EMC Update) v0.29_NRA_model_for_NEMO2 (EMC Update) v0.29.3_NRA_model_for_NEMO2 (EMC Update) v0.29.5" xfId="1740"/>
    <cellStyle name="%_NRA_model_for_NEMO2 (EMC Update) v0.26_NRA_model_for_NEMO2 (EMC Update) v0.29_NRA_model_for_NEMO2 (EMC Update) v0.29.3_NRA_model_for_NEMO2 (EMC Update) v0.29.5_NRA_model_for_NEMO2 (EMC Update) v0 30 1" xfId="1741"/>
    <cellStyle name="%_NRA_model_for_NEMO2 (EMC Update) v0.26_NRA_model_for_NEMO2 (EMC Update) v0.29_NRA_model_for_NEMO2 (EMC Update) v0.29.4" xfId="1743"/>
    <cellStyle name="%_NRA_model_for_NEMO2 (EMC Update) v0.26_NRA_model_for_NEMO2 (EMC Update) v0.29_NRA_model_for_NEMO2 (EMC Update) v0.29.4_NRA_model_for_NEMO2 (EMC Update) v0 30 1" xfId="1746"/>
    <cellStyle name="%_NRA_model_for_NEMO2 (EMC Update) v0.26_NRA_model_for_NEMO2 (EMC Update) v0.29_NRA_model_for_NEMO2 (EMC Update) v0.29.4_NRA_model_for_NEMO2 (EMC Update) v0.29.5" xfId="1744"/>
    <cellStyle name="%_NRA_model_for_NEMO2 (EMC Update) v0.26_NRA_model_for_NEMO2 (EMC Update) v0.29_NRA_model_for_NEMO2 (EMC Update) v0.29.4_NRA_model_for_NEMO2 (EMC Update) v0.29.5_NRA_model_for_NEMO2 (EMC Update) v0 30 1" xfId="1745"/>
    <cellStyle name="%_NRA_model_for_NEMO2 (EMC Update) v0.26_NRA_model_for_NEMO2 (EMC Update) v0.29_NRA_model_for_NEMO2 (EMC Update) v0.29.5" xfId="1747"/>
    <cellStyle name="%_NRA_model_for_NEMO2 (EMC Update) v0.26_NRA_model_for_NEMO2 (EMC Update) v0.29_NRA_model_for_NEMO2 (EMC Update) v0.29.5_NRA_model_for_NEMO2 (EMC Update) v0 30 1" xfId="1748"/>
    <cellStyle name="%_NRA_model_for_NEMO2 (EMC Update) v0.29" xfId="1751"/>
    <cellStyle name="%_NRA_model_for_NEMO2 (EMC Update) v0.29.2" xfId="1752"/>
    <cellStyle name="%_NRA_model_for_NEMO2 (EMC Update) v0.29.2_NRA_model_for_NEMO2 (EMC Update) v0 30 1" xfId="1763"/>
    <cellStyle name="%_NRA_model_for_NEMO2 (EMC Update) v0.29.2_NRA_model_for_NEMO2 (EMC Update) v0.29.3" xfId="1753"/>
    <cellStyle name="%_NRA_model_for_NEMO2 (EMC Update) v0.29.2_NRA_model_for_NEMO2 (EMC Update) v0.29.3_NRA_model_for_NEMO2 (EMC Update) v0 30 1" xfId="1756"/>
    <cellStyle name="%_NRA_model_for_NEMO2 (EMC Update) v0.29.2_NRA_model_for_NEMO2 (EMC Update) v0.29.3_NRA_model_for_NEMO2 (EMC Update) v0.29.5" xfId="1754"/>
    <cellStyle name="%_NRA_model_for_NEMO2 (EMC Update) v0.29.2_NRA_model_for_NEMO2 (EMC Update) v0.29.3_NRA_model_for_NEMO2 (EMC Update) v0.29.5_NRA_model_for_NEMO2 (EMC Update) v0 30 1" xfId="1755"/>
    <cellStyle name="%_NRA_model_for_NEMO2 (EMC Update) v0.29.2_NRA_model_for_NEMO2 (EMC Update) v0.29.4" xfId="1757"/>
    <cellStyle name="%_NRA_model_for_NEMO2 (EMC Update) v0.29.2_NRA_model_for_NEMO2 (EMC Update) v0.29.4_NRA_model_for_NEMO2 (EMC Update) v0 30 1" xfId="1760"/>
    <cellStyle name="%_NRA_model_for_NEMO2 (EMC Update) v0.29.2_NRA_model_for_NEMO2 (EMC Update) v0.29.4_NRA_model_for_NEMO2 (EMC Update) v0.29.5" xfId="1758"/>
    <cellStyle name="%_NRA_model_for_NEMO2 (EMC Update) v0.29.2_NRA_model_for_NEMO2 (EMC Update) v0.29.4_NRA_model_for_NEMO2 (EMC Update) v0.29.5_NRA_model_for_NEMO2 (EMC Update) v0 30 1" xfId="1759"/>
    <cellStyle name="%_NRA_model_for_NEMO2 (EMC Update) v0.29.2_NRA_model_for_NEMO2 (EMC Update) v0.29.5" xfId="1761"/>
    <cellStyle name="%_NRA_model_for_NEMO2 (EMC Update) v0.29.2_NRA_model_for_NEMO2 (EMC Update) v0.29.5_NRA_model_for_NEMO2 (EMC Update) v0 30 1" xfId="1762"/>
    <cellStyle name="%_NRA_model_for_NEMO2 (EMC Update) v0.29.3" xfId="1764"/>
    <cellStyle name="%_NRA_model_for_NEMO2 (EMC Update) v0.29.3_NRA_model_for_NEMO2 (EMC Update) v0 30 1" xfId="1767"/>
    <cellStyle name="%_NRA_model_for_NEMO2 (EMC Update) v0.29.3_NRA_model_for_NEMO2 (EMC Update) v0.29.5" xfId="1765"/>
    <cellStyle name="%_NRA_model_for_NEMO2 (EMC Update) v0.29.3_NRA_model_for_NEMO2 (EMC Update) v0.29.5_NRA_model_for_NEMO2 (EMC Update) v0 30 1" xfId="1766"/>
    <cellStyle name="%_NRA_model_for_NEMO2 (EMC Update) v0.29.4" xfId="1768"/>
    <cellStyle name="%_NRA_model_for_NEMO2 (EMC Update) v0.29.4_NRA_model_for_NEMO2 (EMC Update) v0 30 1" xfId="1771"/>
    <cellStyle name="%_NRA_model_for_NEMO2 (EMC Update) v0.29.4_NRA_model_for_NEMO2 (EMC Update) v0.29.5" xfId="1769"/>
    <cellStyle name="%_NRA_model_for_NEMO2 (EMC Update) v0.29.4_NRA_model_for_NEMO2 (EMC Update) v0.29.5_NRA_model_for_NEMO2 (EMC Update) v0 30 1" xfId="1770"/>
    <cellStyle name="%_NRA_model_for_NEMO2 (EMC Update) v0.29.5" xfId="1772"/>
    <cellStyle name="%_NRA_model_for_NEMO2 (EMC Update) v0.29.5_NRA_model_for_NEMO2 (EMC Update) v0 30 1" xfId="1773"/>
    <cellStyle name="%_NRA_model_for_NEMO2 (EMC Update) v0.29_NRA_model_for_NEMO2 (EMC Update) v0 30 1" xfId="1796"/>
    <cellStyle name="%_NRA_model_for_NEMO2 (EMC Update) v0.29_NRA_model_for_NEMO2 (EMC Update) v0.29.2" xfId="1774"/>
    <cellStyle name="%_NRA_model_for_NEMO2 (EMC Update) v0.29_NRA_model_for_NEMO2 (EMC Update) v0.29.2_NRA_model_for_NEMO2 (EMC Update) v0 30 1" xfId="1785"/>
    <cellStyle name="%_NRA_model_for_NEMO2 (EMC Update) v0.29_NRA_model_for_NEMO2 (EMC Update) v0.29.2_NRA_model_for_NEMO2 (EMC Update) v0.29.3" xfId="1775"/>
    <cellStyle name="%_NRA_model_for_NEMO2 (EMC Update) v0.29_NRA_model_for_NEMO2 (EMC Update) v0.29.2_NRA_model_for_NEMO2 (EMC Update) v0.29.3_NRA_model_for_NEMO2 (EMC Update) v0 30 1" xfId="1778"/>
    <cellStyle name="%_NRA_model_for_NEMO2 (EMC Update) v0.29_NRA_model_for_NEMO2 (EMC Update) v0.29.2_NRA_model_for_NEMO2 (EMC Update) v0.29.3_NRA_model_for_NEMO2 (EMC Update) v0.29.5" xfId="1776"/>
    <cellStyle name="%_NRA_model_for_NEMO2 (EMC Update) v0.29_NRA_model_for_NEMO2 (EMC Update) v0.29.2_NRA_model_for_NEMO2 (EMC Update) v0.29.3_NRA_model_for_NEMO2 (EMC Update) v0.29.5_NRA_model_for_NEMO2 (EMC Update) v0 30 1" xfId="1777"/>
    <cellStyle name="%_NRA_model_for_NEMO2 (EMC Update) v0.29_NRA_model_for_NEMO2 (EMC Update) v0.29.2_NRA_model_for_NEMO2 (EMC Update) v0.29.4" xfId="1779"/>
    <cellStyle name="%_NRA_model_for_NEMO2 (EMC Update) v0.29_NRA_model_for_NEMO2 (EMC Update) v0.29.2_NRA_model_for_NEMO2 (EMC Update) v0.29.4_NRA_model_for_NEMO2 (EMC Update) v0 30 1" xfId="1782"/>
    <cellStyle name="%_NRA_model_for_NEMO2 (EMC Update) v0.29_NRA_model_for_NEMO2 (EMC Update) v0.29.2_NRA_model_for_NEMO2 (EMC Update) v0.29.4_NRA_model_for_NEMO2 (EMC Update) v0.29.5" xfId="1780"/>
    <cellStyle name="%_NRA_model_for_NEMO2 (EMC Update) v0.29_NRA_model_for_NEMO2 (EMC Update) v0.29.2_NRA_model_for_NEMO2 (EMC Update) v0.29.4_NRA_model_for_NEMO2 (EMC Update) v0.29.5_NRA_model_for_NEMO2 (EMC Update) v0 30 1" xfId="1781"/>
    <cellStyle name="%_NRA_model_for_NEMO2 (EMC Update) v0.29_NRA_model_for_NEMO2 (EMC Update) v0.29.2_NRA_model_for_NEMO2 (EMC Update) v0.29.5" xfId="1783"/>
    <cellStyle name="%_NRA_model_for_NEMO2 (EMC Update) v0.29_NRA_model_for_NEMO2 (EMC Update) v0.29.2_NRA_model_for_NEMO2 (EMC Update) v0.29.5_NRA_model_for_NEMO2 (EMC Update) v0 30 1" xfId="1784"/>
    <cellStyle name="%_NRA_model_for_NEMO2 (EMC Update) v0.29_NRA_model_for_NEMO2 (EMC Update) v0.29.3" xfId="1786"/>
    <cellStyle name="%_NRA_model_for_NEMO2 (EMC Update) v0.29_NRA_model_for_NEMO2 (EMC Update) v0.29.3_NRA_model_for_NEMO2 (EMC Update) v0 30 1" xfId="1789"/>
    <cellStyle name="%_NRA_model_for_NEMO2 (EMC Update) v0.29_NRA_model_for_NEMO2 (EMC Update) v0.29.3_NRA_model_for_NEMO2 (EMC Update) v0.29.5" xfId="1787"/>
    <cellStyle name="%_NRA_model_for_NEMO2 (EMC Update) v0.29_NRA_model_for_NEMO2 (EMC Update) v0.29.3_NRA_model_for_NEMO2 (EMC Update) v0.29.5_NRA_model_for_NEMO2 (EMC Update) v0 30 1" xfId="1788"/>
    <cellStyle name="%_NRA_model_for_NEMO2 (EMC Update) v0.29_NRA_model_for_NEMO2 (EMC Update) v0.29.4" xfId="1790"/>
    <cellStyle name="%_NRA_model_for_NEMO2 (EMC Update) v0.29_NRA_model_for_NEMO2 (EMC Update) v0.29.4_NRA_model_for_NEMO2 (EMC Update) v0 30 1" xfId="1793"/>
    <cellStyle name="%_NRA_model_for_NEMO2 (EMC Update) v0.29_NRA_model_for_NEMO2 (EMC Update) v0.29.4_NRA_model_for_NEMO2 (EMC Update) v0.29.5" xfId="1791"/>
    <cellStyle name="%_NRA_model_for_NEMO2 (EMC Update) v0.29_NRA_model_for_NEMO2 (EMC Update) v0.29.4_NRA_model_for_NEMO2 (EMC Update) v0.29.5_NRA_model_for_NEMO2 (EMC Update) v0 30 1" xfId="1792"/>
    <cellStyle name="%_NRA_model_for_NEMO2 (EMC Update) v0.29_NRA_model_for_NEMO2 (EMC Update) v0.29.5" xfId="1794"/>
    <cellStyle name="%_NRA_model_for_NEMO2 (EMC Update) v0.29_NRA_model_for_NEMO2 (EMC Update) v0.29.5_NRA_model_for_NEMO2 (EMC Update) v0 30 1" xfId="1795"/>
    <cellStyle name="%_NRA_model_for_NEMO2 _NRA_model_for_NEMO2 (EMC Update) v0 30 1" xfId="1800"/>
    <cellStyle name="%_NRA_model_for_NEMO2 _NRA_model_for_NEMO2 (EMC Update) v0.29.5" xfId="1798"/>
    <cellStyle name="%_NRA_model_for_NEMO2 _NRA_model_for_NEMO2 (EMC Update) v0.29.5_NRA_model_for_NEMO2 (EMC Update) v0 30 1" xfId="1799"/>
    <cellStyle name="_2.0 Emergency Process" xfId="4"/>
    <cellStyle name="_Payroll - Dave Moon v2" xfId="1858"/>
    <cellStyle name="=C:\WINNT\SYSTEM32\COMMAND.COM" xfId="1849"/>
    <cellStyle name="=C:\WINNT\SYSTEM32\COMMAND.COM 2" xfId="1850"/>
    <cellStyle name="=C:\WINNT\SYSTEM32\COMMAND.COM 2 2" xfId="1851"/>
    <cellStyle name="=C:\WINNT\SYSTEM32\COMMAND.COM 2 2 10" xfId="1852"/>
    <cellStyle name="=C:\WINNT\SYSTEM32\COMMAND.COM 2 2 2" xfId="1853"/>
    <cellStyle name="=C:\WINNT\SYSTEM32\COMMAND.COM 3" xfId="1854"/>
    <cellStyle name="=C:\WINNT\SYSTEM32\COMMAND.COM 3 2" xfId="1855"/>
    <cellStyle name="=C:\WINNT\SYSTEM32\COMMAND.COM 4" xfId="1856"/>
    <cellStyle name="=C:\WINNT\SYSTEM32\COMMAND.COM_Gas_Run_060918" xfId="1857"/>
    <cellStyle name="20 % - Markeringsfarve1" xfId="1801"/>
    <cellStyle name="20 % - Markeringsfarve2" xfId="1802"/>
    <cellStyle name="20 % - Markeringsfarve3" xfId="1803"/>
    <cellStyle name="20 % - Markeringsfarve4" xfId="1804"/>
    <cellStyle name="20 % - Markeringsfarve5" xfId="1805"/>
    <cellStyle name="20 % - Markeringsfarve6" xfId="1806"/>
    <cellStyle name="20% - Accent1 2" xfId="1807"/>
    <cellStyle name="20% - Accent2 2" xfId="1808"/>
    <cellStyle name="20% - Accent3 2" xfId="1809"/>
    <cellStyle name="20% - Accent4 2" xfId="1810"/>
    <cellStyle name="20% - Accent5 2" xfId="1811"/>
    <cellStyle name="20% - Accent6 2" xfId="1812"/>
    <cellStyle name="20% - Dekorfärg1" xfId="1813"/>
    <cellStyle name="20% - Dekorfärg2" xfId="1814"/>
    <cellStyle name="20% - Dekorfärg3" xfId="1815"/>
    <cellStyle name="20% - Dekorfärg4" xfId="1816"/>
    <cellStyle name="20% - Dekorfärg5" xfId="1817"/>
    <cellStyle name="20% - Dekorfärg6" xfId="1818"/>
    <cellStyle name="40 % - Markeringsfarve1" xfId="1819"/>
    <cellStyle name="40 % - Markeringsfarve2" xfId="1820"/>
    <cellStyle name="40 % - Markeringsfarve3" xfId="1821"/>
    <cellStyle name="40 % - Markeringsfarve4" xfId="1822"/>
    <cellStyle name="40 % - Markeringsfarve5" xfId="1823"/>
    <cellStyle name="40 % - Markeringsfarve6" xfId="1824"/>
    <cellStyle name="40% - Accent1 2" xfId="1825"/>
    <cellStyle name="40% - Accent2 2" xfId="1826"/>
    <cellStyle name="40% - Accent3 2" xfId="1827"/>
    <cellStyle name="40% - Accent4 2" xfId="1828"/>
    <cellStyle name="40% - Accent5 2" xfId="1829"/>
    <cellStyle name="40% - Accent6 2" xfId="1830"/>
    <cellStyle name="40% - Dekorfärg1" xfId="1831"/>
    <cellStyle name="40% - Dekorfärg2" xfId="1832"/>
    <cellStyle name="40% - Dekorfärg3" xfId="1833"/>
    <cellStyle name="40% - Dekorfärg4" xfId="1834"/>
    <cellStyle name="40% - Dekorfärg5" xfId="1835"/>
    <cellStyle name="40% - Dekorfärg6" xfId="1836"/>
    <cellStyle name="60 % - Markeringsfarve1" xfId="1837"/>
    <cellStyle name="60 % - Markeringsfarve2" xfId="1838"/>
    <cellStyle name="60 % - Markeringsfarve3" xfId="1839"/>
    <cellStyle name="60 % - Markeringsfarve4" xfId="1840"/>
    <cellStyle name="60 % - Markeringsfarve5" xfId="1841"/>
    <cellStyle name="60 % - Markeringsfarve6" xfId="1842"/>
    <cellStyle name="60% - Dekorfärg1" xfId="1843"/>
    <cellStyle name="60% - Dekorfärg2" xfId="1844"/>
    <cellStyle name="60% - Dekorfärg3" xfId="1845"/>
    <cellStyle name="60% - Dekorfärg4" xfId="1846"/>
    <cellStyle name="60% - Dekorfärg5" xfId="1847"/>
    <cellStyle name="60% - Dekorfärg6" xfId="1848"/>
    <cellStyle name="Accent1 - 20%" xfId="1859"/>
    <cellStyle name="Accent1 - 40%" xfId="1860"/>
    <cellStyle name="Accent1 - 60%" xfId="1861"/>
    <cellStyle name="Accent2 - 20%" xfId="1862"/>
    <cellStyle name="Accent2 - 40%" xfId="1863"/>
    <cellStyle name="Accent2 - 60%" xfId="1864"/>
    <cellStyle name="Accent3 - 20%" xfId="1865"/>
    <cellStyle name="Accent3 - 40%" xfId="1866"/>
    <cellStyle name="Accent3 - 60%" xfId="1867"/>
    <cellStyle name="Accent4 - 20%" xfId="1868"/>
    <cellStyle name="Accent4 - 40%" xfId="1869"/>
    <cellStyle name="Accent4 - 60%" xfId="1870"/>
    <cellStyle name="Accent5 - 20%" xfId="1871"/>
    <cellStyle name="Accent5 - 40%" xfId="1872"/>
    <cellStyle name="Accent5 - 60%" xfId="1873"/>
    <cellStyle name="Accent6 - 20%" xfId="1874"/>
    <cellStyle name="Accent6 - 40%" xfId="1875"/>
    <cellStyle name="Accent6 - 60%" xfId="1876"/>
    <cellStyle name="Advarselstekst" xfId="1877"/>
    <cellStyle name="Anteckning" xfId="1878"/>
    <cellStyle name="Anteckning 2" xfId="1879"/>
    <cellStyle name="Anteckning 2 2" xfId="1880"/>
    <cellStyle name="Anteckning 3" xfId="1881"/>
    <cellStyle name="Bemærk!" xfId="1882"/>
    <cellStyle name="Bemærk! 2" xfId="1883"/>
    <cellStyle name="Bemærk! 2 2" xfId="1884"/>
    <cellStyle name="Bemærk! 3" xfId="1885"/>
    <cellStyle name="Beräkning" xfId="1886"/>
    <cellStyle name="Beräkning 2" xfId="1887"/>
    <cellStyle name="Beräkning 2 2" xfId="1888"/>
    <cellStyle name="Beräkning 3" xfId="1889"/>
    <cellStyle name="Beregning" xfId="1890"/>
    <cellStyle name="Beregning 2" xfId="1891"/>
    <cellStyle name="Beregning 2 2" xfId="1892"/>
    <cellStyle name="Beregning 3" xfId="1893"/>
    <cellStyle name="BMInputNormal" xfId="1894"/>
    <cellStyle name="Bra" xfId="1895"/>
    <cellStyle name="cf1" xfId="1896"/>
    <cellStyle name="cf2" xfId="1897"/>
    <cellStyle name="column Head Underlined" xfId="1898"/>
    <cellStyle name="Column Heading" xfId="1899"/>
    <cellStyle name="Comma" xfId="1" builtinId="3" customBuiltin="1"/>
    <cellStyle name="Comma 10" xfId="1900"/>
    <cellStyle name="Comma 10 2" xfId="1901"/>
    <cellStyle name="Comma 10 2 2" xfId="1902"/>
    <cellStyle name="Comma 10 2 2 2" xfId="1903"/>
    <cellStyle name="Comma 10 2 3" xfId="1904"/>
    <cellStyle name="Comma 10 3" xfId="1905"/>
    <cellStyle name="Comma 10 3 2" xfId="1906"/>
    <cellStyle name="Comma 10 4" xfId="1907"/>
    <cellStyle name="Comma 11" xfId="1908"/>
    <cellStyle name="Comma 11 2" xfId="1909"/>
    <cellStyle name="Comma 12" xfId="1910"/>
    <cellStyle name="Comma 12 2" xfId="1911"/>
    <cellStyle name="Comma 12 2 2" xfId="1912"/>
    <cellStyle name="Comma 12 2 2 2" xfId="1913"/>
    <cellStyle name="Comma 12 2 3" xfId="1914"/>
    <cellStyle name="Comma 12 3" xfId="1915"/>
    <cellStyle name="Comma 12 3 2" xfId="1916"/>
    <cellStyle name="Comma 12 4" xfId="1917"/>
    <cellStyle name="Comma 13" xfId="1918"/>
    <cellStyle name="Comma 13 2" xfId="1919"/>
    <cellStyle name="Comma 13 2 2" xfId="1920"/>
    <cellStyle name="Comma 13 2 2 2" xfId="1921"/>
    <cellStyle name="Comma 13 2 3" xfId="1922"/>
    <cellStyle name="Comma 13 3" xfId="1923"/>
    <cellStyle name="Comma 13 3 2" xfId="1924"/>
    <cellStyle name="Comma 13 4" xfId="1925"/>
    <cellStyle name="Comma 14" xfId="1926"/>
    <cellStyle name="Comma 14 2" xfId="1927"/>
    <cellStyle name="Comma 14 2 2" xfId="1928"/>
    <cellStyle name="Comma 14 2 2 2" xfId="1929"/>
    <cellStyle name="Comma 14 2 3" xfId="1930"/>
    <cellStyle name="Comma 14 3" xfId="1931"/>
    <cellStyle name="Comma 14 3 2" xfId="1932"/>
    <cellStyle name="Comma 14 4" xfId="1933"/>
    <cellStyle name="Comma 15" xfId="1934"/>
    <cellStyle name="Comma 15 2" xfId="1935"/>
    <cellStyle name="Comma 15 2 2" xfId="1936"/>
    <cellStyle name="Comma 15 2 2 2" xfId="1937"/>
    <cellStyle name="Comma 15 2 3" xfId="1938"/>
    <cellStyle name="Comma 15 3" xfId="1939"/>
    <cellStyle name="Comma 15 3 2" xfId="1940"/>
    <cellStyle name="Comma 15 4" xfId="1941"/>
    <cellStyle name="Comma 16" xfId="1942"/>
    <cellStyle name="Comma 16 2" xfId="1943"/>
    <cellStyle name="Comma 16 2 2" xfId="1944"/>
    <cellStyle name="Comma 16 3" xfId="1945"/>
    <cellStyle name="Comma 17" xfId="1946"/>
    <cellStyle name="Comma 17 2" xfId="1947"/>
    <cellStyle name="Comma 17 2 2" xfId="1948"/>
    <cellStyle name="Comma 17 2 2 2" xfId="1949"/>
    <cellStyle name="Comma 17 2 3" xfId="1950"/>
    <cellStyle name="Comma 17 3" xfId="1951"/>
    <cellStyle name="Comma 17 3 2" xfId="1952"/>
    <cellStyle name="Comma 17 4" xfId="1953"/>
    <cellStyle name="Comma 18" xfId="1954"/>
    <cellStyle name="Comma 18 2" xfId="1955"/>
    <cellStyle name="Comma 18 2 2" xfId="1956"/>
    <cellStyle name="Comma 18 2 2 2" xfId="1957"/>
    <cellStyle name="Comma 18 2 3" xfId="1958"/>
    <cellStyle name="Comma 18 3" xfId="1959"/>
    <cellStyle name="Comma 18 3 2" xfId="1960"/>
    <cellStyle name="Comma 18 4" xfId="1961"/>
    <cellStyle name="Comma 19" xfId="1962"/>
    <cellStyle name="Comma 19 2" xfId="1963"/>
    <cellStyle name="Comma 2" xfId="1964"/>
    <cellStyle name="Comma 2 2" xfId="1965"/>
    <cellStyle name="Comma 2 2 2" xfId="1966"/>
    <cellStyle name="Comma 2 2 2 2" xfId="1967"/>
    <cellStyle name="Comma 2 2 2 2 2" xfId="1968"/>
    <cellStyle name="Comma 2 2 2 3" xfId="1969"/>
    <cellStyle name="Comma 2 2 3" xfId="1970"/>
    <cellStyle name="Comma 2 2 3 2" xfId="1971"/>
    <cellStyle name="Comma 2 2 4" xfId="1972"/>
    <cellStyle name="Comma 2 3" xfId="1973"/>
    <cellStyle name="Comma 2 3 2" xfId="1974"/>
    <cellStyle name="Comma 2 3 2 2" xfId="1975"/>
    <cellStyle name="Comma 2 3 2 2 2" xfId="1976"/>
    <cellStyle name="Comma 2 3 2 2 2 2" xfId="1977"/>
    <cellStyle name="Comma 2 3 2 2 3" xfId="1978"/>
    <cellStyle name="Comma 2 3 2 3" xfId="1979"/>
    <cellStyle name="Comma 2 3 2 3 2" xfId="1980"/>
    <cellStyle name="Comma 2 3 2 4" xfId="1981"/>
    <cellStyle name="Comma 2 3 3" xfId="1982"/>
    <cellStyle name="Comma 2 3 3 2" xfId="1983"/>
    <cellStyle name="Comma 2 3 3 2 2" xfId="1984"/>
    <cellStyle name="Comma 2 3 3 3" xfId="1985"/>
    <cellStyle name="Comma 2 3 4" xfId="1986"/>
    <cellStyle name="Comma 2 3 4 2" xfId="1987"/>
    <cellStyle name="Comma 2 3 5" xfId="1988"/>
    <cellStyle name="Comma 2_InputSA" xfId="1989"/>
    <cellStyle name="Comma 20" xfId="1990"/>
    <cellStyle name="Comma 20 2" xfId="1991"/>
    <cellStyle name="Comma 20 2 2" xfId="1992"/>
    <cellStyle name="Comma 20 2 2 2" xfId="1993"/>
    <cellStyle name="Comma 20 2 3" xfId="1994"/>
    <cellStyle name="Comma 20 3" xfId="1995"/>
    <cellStyle name="Comma 20 3 2" xfId="1996"/>
    <cellStyle name="Comma 20 4" xfId="1997"/>
    <cellStyle name="Comma 21" xfId="1998"/>
    <cellStyle name="Comma 21 2" xfId="1999"/>
    <cellStyle name="Comma 21 2 2" xfId="2000"/>
    <cellStyle name="Comma 21 2 2 2" xfId="2001"/>
    <cellStyle name="Comma 21 2 3" xfId="2002"/>
    <cellStyle name="Comma 21 3" xfId="2003"/>
    <cellStyle name="Comma 21 3 2" xfId="2004"/>
    <cellStyle name="Comma 21 4" xfId="2005"/>
    <cellStyle name="Comma 22" xfId="2006"/>
    <cellStyle name="Comma 25" xfId="2007"/>
    <cellStyle name="Comma 25 2" xfId="2008"/>
    <cellStyle name="Comma 25 2 2" xfId="2009"/>
    <cellStyle name="Comma 25 2 2 2" xfId="2010"/>
    <cellStyle name="Comma 25 2 3" xfId="2011"/>
    <cellStyle name="Comma 25 3" xfId="2012"/>
    <cellStyle name="Comma 25 3 2" xfId="2013"/>
    <cellStyle name="Comma 25 4" xfId="2014"/>
    <cellStyle name="Comma 26" xfId="2015"/>
    <cellStyle name="Comma 26 2" xfId="2016"/>
    <cellStyle name="Comma 26 2 2" xfId="2017"/>
    <cellStyle name="Comma 26 2 2 2" xfId="2018"/>
    <cellStyle name="Comma 26 2 3" xfId="2019"/>
    <cellStyle name="Comma 26 3" xfId="2020"/>
    <cellStyle name="Comma 26 3 2" xfId="2021"/>
    <cellStyle name="Comma 26 4" xfId="2022"/>
    <cellStyle name="Comma 3" xfId="2023"/>
    <cellStyle name="Comma 3 2" xfId="2024"/>
    <cellStyle name="Comma 3 2 2" xfId="2025"/>
    <cellStyle name="Comma 3 2 2 2" xfId="2026"/>
    <cellStyle name="Comma 3 2 2 2 2" xfId="2027"/>
    <cellStyle name="Comma 3 2 2 3" xfId="2028"/>
    <cellStyle name="Comma 3 2 3" xfId="2029"/>
    <cellStyle name="Comma 3 2 3 2" xfId="2030"/>
    <cellStyle name="Comma 3 2 4" xfId="2031"/>
    <cellStyle name="Comma 3 3" xfId="2032"/>
    <cellStyle name="Comma 3 3 2" xfId="2033"/>
    <cellStyle name="Comma 3 3 2 2" xfId="2034"/>
    <cellStyle name="Comma 3 3 3" xfId="2035"/>
    <cellStyle name="Comma 3 4" xfId="2036"/>
    <cellStyle name="Comma 3 4 2" xfId="2037"/>
    <cellStyle name="Comma 3 5" xfId="2038"/>
    <cellStyle name="Comma 4" xfId="2039"/>
    <cellStyle name="Comma 4 2" xfId="2040"/>
    <cellStyle name="Comma 4 3" xfId="2041"/>
    <cellStyle name="Comma 4 3 2" xfId="2042"/>
    <cellStyle name="Comma 4 3 2 2" xfId="2043"/>
    <cellStyle name="Comma 4 3 2 2 2" xfId="2044"/>
    <cellStyle name="Comma 4 3 2 3" xfId="2045"/>
    <cellStyle name="Comma 4 3 3" xfId="2046"/>
    <cellStyle name="Comma 4 3 3 2" xfId="2047"/>
    <cellStyle name="Comma 4 3 4" xfId="2048"/>
    <cellStyle name="Comma 5" xfId="2049"/>
    <cellStyle name="Comma 6" xfId="2050"/>
    <cellStyle name="Comma 7" xfId="2051"/>
    <cellStyle name="Comma 7 2" xfId="2052"/>
    <cellStyle name="Comma 7 2 2" xfId="2053"/>
    <cellStyle name="Comma 7 2 2 2" xfId="2054"/>
    <cellStyle name="Comma 7 2 3" xfId="2055"/>
    <cellStyle name="Comma 7 3" xfId="2056"/>
    <cellStyle name="Comma 7 3 2" xfId="2057"/>
    <cellStyle name="Comma 7 4" xfId="2058"/>
    <cellStyle name="Comma 8" xfId="2059"/>
    <cellStyle name="Comma 8 2" xfId="2060"/>
    <cellStyle name="Comma 8 2 2" xfId="2061"/>
    <cellStyle name="Comma 8 2 2 2" xfId="2062"/>
    <cellStyle name="Comma 8 2 3" xfId="2063"/>
    <cellStyle name="Comma 8 3" xfId="2064"/>
    <cellStyle name="Comma 8 3 2" xfId="2065"/>
    <cellStyle name="Comma 8 4" xfId="2066"/>
    <cellStyle name="Comma 9" xfId="2067"/>
    <cellStyle name="Comma 9 2" xfId="2068"/>
    <cellStyle name="Comma 9 2 2" xfId="2069"/>
    <cellStyle name="Comma 9 2 2 2" xfId="2070"/>
    <cellStyle name="Comma 9 2 3" xfId="2071"/>
    <cellStyle name="Comma 9 3" xfId="2072"/>
    <cellStyle name="Comma 9 3 2" xfId="2073"/>
    <cellStyle name="Comma 9 4" xfId="2074"/>
    <cellStyle name="Dålig" xfId="2075"/>
    <cellStyle name="DateLong" xfId="2076"/>
    <cellStyle name="DateLong 2" xfId="2077"/>
    <cellStyle name="Emphasis 1" xfId="2078"/>
    <cellStyle name="Emphasis 2" xfId="2079"/>
    <cellStyle name="Emphasis 3" xfId="2080"/>
    <cellStyle name="Euro" xfId="2081"/>
    <cellStyle name="Euro 2" xfId="2082"/>
    <cellStyle name="EYBlocked" xfId="2083"/>
    <cellStyle name="EYCallUp" xfId="2084"/>
    <cellStyle name="EYCheck" xfId="2085"/>
    <cellStyle name="EYDate" xfId="2086"/>
    <cellStyle name="EYDeviant" xfId="2087"/>
    <cellStyle name="EYHeader1" xfId="2088"/>
    <cellStyle name="EYHeader1 2" xfId="2089"/>
    <cellStyle name="EYHeader1 2 2" xfId="2090"/>
    <cellStyle name="EYHeader1 3" xfId="2091"/>
    <cellStyle name="EYHeader2" xfId="2092"/>
    <cellStyle name="EYHeader3" xfId="2093"/>
    <cellStyle name="EYInputDate" xfId="2094"/>
    <cellStyle name="EYInputDate 2" xfId="2095"/>
    <cellStyle name="EYInputPercent" xfId="2096"/>
    <cellStyle name="EYInputPercent 2" xfId="2097"/>
    <cellStyle name="EYInputValue" xfId="2098"/>
    <cellStyle name="EYInputValue 2" xfId="2099"/>
    <cellStyle name="EYNormal" xfId="2100"/>
    <cellStyle name="EYNormal 2" xfId="2101"/>
    <cellStyle name="EYPercent" xfId="2102"/>
    <cellStyle name="EYPercentCapped" xfId="2103"/>
    <cellStyle name="EYSubTotal" xfId="2104"/>
    <cellStyle name="EYSubTotal 2" xfId="2105"/>
    <cellStyle name="EYSubTotal 2 2" xfId="2106"/>
    <cellStyle name="EYSubTotal 3" xfId="2107"/>
    <cellStyle name="EYTotal" xfId="2108"/>
    <cellStyle name="EYTotal 2" xfId="2109"/>
    <cellStyle name="EYTotal 2 2" xfId="2110"/>
    <cellStyle name="EYTotal 3" xfId="2111"/>
    <cellStyle name="EYWIP" xfId="2112"/>
    <cellStyle name="Factor" xfId="2120"/>
    <cellStyle name="Factor 2" xfId="2121"/>
    <cellStyle name="Färg1" xfId="2113"/>
    <cellStyle name="Färg2" xfId="2114"/>
    <cellStyle name="Färg3" xfId="2115"/>
    <cellStyle name="Färg4" xfId="2116"/>
    <cellStyle name="Färg5" xfId="2117"/>
    <cellStyle name="Färg6" xfId="2118"/>
    <cellStyle name="Förklarande text" xfId="2119"/>
    <cellStyle name="Forklarende tekst" xfId="2122"/>
    <cellStyle name="General" xfId="2123"/>
    <cellStyle name="God" xfId="2124"/>
    <cellStyle name="Heading 4" xfId="3" builtinId="19" customBuiltin="1"/>
    <cellStyle name="Hyperlink" xfId="2125"/>
    <cellStyle name="Hyperlink 2" xfId="2126"/>
    <cellStyle name="Indata" xfId="2127"/>
    <cellStyle name="Indata 2" xfId="2128"/>
    <cellStyle name="Indata 2 2" xfId="2129"/>
    <cellStyle name="Indata 3" xfId="2130"/>
    <cellStyle name="InputData" xfId="2131"/>
    <cellStyle name="Kontrollcell" xfId="2132"/>
    <cellStyle name="Kontroller celle" xfId="2133"/>
    <cellStyle name="Länkad cell" xfId="2134"/>
    <cellStyle name="Main Heading" xfId="2135"/>
    <cellStyle name="Markeringsfarve1" xfId="2136"/>
    <cellStyle name="Markeringsfarve2" xfId="2137"/>
    <cellStyle name="Markeringsfarve3" xfId="2138"/>
    <cellStyle name="Markeringsfarve4" xfId="2139"/>
    <cellStyle name="Markeringsfarve5" xfId="2140"/>
    <cellStyle name="Markeringsfarve6" xfId="2141"/>
    <cellStyle name="NGBlocked" xfId="2142"/>
    <cellStyle name="NGCallUp" xfId="2143"/>
    <cellStyle name="NGCheck" xfId="2144"/>
    <cellStyle name="NGDate" xfId="2145"/>
    <cellStyle name="NGDeviant" xfId="2146"/>
    <cellStyle name="NGHeader1" xfId="2147"/>
    <cellStyle name="NGHeader1 2" xfId="2148"/>
    <cellStyle name="NGHeader1 2 2" xfId="2149"/>
    <cellStyle name="NGHeader1 3" xfId="2150"/>
    <cellStyle name="NGHeader2" xfId="2151"/>
    <cellStyle name="NGHeader3" xfId="2152"/>
    <cellStyle name="NGInputDate" xfId="2153"/>
    <cellStyle name="NGInputDate 2" xfId="2154"/>
    <cellStyle name="NGInputDate 3 18" xfId="2155"/>
    <cellStyle name="NGInputDate 3 18 2" xfId="2156"/>
    <cellStyle name="NGInputPercent" xfId="2157"/>
    <cellStyle name="NGInputPercent 2" xfId="2158"/>
    <cellStyle name="NGInputValue" xfId="2159"/>
    <cellStyle name="NGInputValue 2" xfId="2160"/>
    <cellStyle name="NGNormal" xfId="2161"/>
    <cellStyle name="NGPercent" xfId="2162"/>
    <cellStyle name="NGPercentCapped" xfId="2163"/>
    <cellStyle name="NGSubTotal" xfId="2164"/>
    <cellStyle name="NGSubTotal 2" xfId="2165"/>
    <cellStyle name="NGSubTotal 2 2" xfId="2166"/>
    <cellStyle name="NGSubTotal 3" xfId="2167"/>
    <cellStyle name="NGTotal" xfId="2168"/>
    <cellStyle name="NGTotal 2" xfId="2169"/>
    <cellStyle name="NGTotal 2 2" xfId="2170"/>
    <cellStyle name="NGTotal 3" xfId="2171"/>
    <cellStyle name="NGWIP" xfId="2172"/>
    <cellStyle name="Normal" xfId="0" builtinId="0" customBuiltin="1"/>
    <cellStyle name="Normal 10" xfId="2173"/>
    <cellStyle name="Normal 11" xfId="2174"/>
    <cellStyle name="Normal 11 2" xfId="2175"/>
    <cellStyle name="Normal 12" xfId="2176"/>
    <cellStyle name="Normal 13" xfId="2177"/>
    <cellStyle name="Normal 13 2" xfId="2178"/>
    <cellStyle name="Normal 13 2 2" xfId="2179"/>
    <cellStyle name="Normal 13 2_SHETL" xfId="2180"/>
    <cellStyle name="Normal 14" xfId="2181"/>
    <cellStyle name="Normal 14 2" xfId="2182"/>
    <cellStyle name="Normal 15" xfId="2183"/>
    <cellStyle name="Normal 15 2" xfId="2184"/>
    <cellStyle name="Normal 15 2 2" xfId="2185"/>
    <cellStyle name="Normal 15 2 2 2" xfId="2186"/>
    <cellStyle name="Normal 15 2 3" xfId="2187"/>
    <cellStyle name="Normal 15 3" xfId="2188"/>
    <cellStyle name="Normal 15 3 2" xfId="2189"/>
    <cellStyle name="Normal 15 4" xfId="2190"/>
    <cellStyle name="Normal 16" xfId="2191"/>
    <cellStyle name="Normal 17" xfId="2192"/>
    <cellStyle name="Normal 2" xfId="2193"/>
    <cellStyle name="Normal 2 2" xfId="2194"/>
    <cellStyle name="Normal 2 2 2" xfId="2195"/>
    <cellStyle name="Normal 2 3" xfId="2196"/>
    <cellStyle name="Normal 2 3 2" xfId="2197"/>
    <cellStyle name="Normal 2 3 2 2" xfId="2198"/>
    <cellStyle name="Normal 2 3 2 2 2" xfId="2199"/>
    <cellStyle name="Normal 2 3 2 2 2 2" xfId="2200"/>
    <cellStyle name="Normal 2 3 2 2 3" xfId="2201"/>
    <cellStyle name="Normal 2 3 2 3" xfId="2202"/>
    <cellStyle name="Normal 2 3 2 3 2" xfId="2203"/>
    <cellStyle name="Normal 2 3 2 4" xfId="2204"/>
    <cellStyle name="Normal 2 3 3" xfId="2205"/>
    <cellStyle name="Normal 2 3 3 2" xfId="2206"/>
    <cellStyle name="Normal 2 3 3 2 2" xfId="2207"/>
    <cellStyle name="Normal 2 3 3 3" xfId="2208"/>
    <cellStyle name="Normal 2 3 4" xfId="2209"/>
    <cellStyle name="Normal 2 3 4 2" xfId="2210"/>
    <cellStyle name="Normal 2 3 5" xfId="2211"/>
    <cellStyle name="Normal 2_InputSA" xfId="2212"/>
    <cellStyle name="Normal 28" xfId="2213"/>
    <cellStyle name="Normal 3" xfId="2214"/>
    <cellStyle name="Normal 3 2" xfId="2215"/>
    <cellStyle name="Normal 3 3" xfId="2216"/>
    <cellStyle name="Normal 3 3 2" xfId="2217"/>
    <cellStyle name="Normal 3_Financial Analysis template" xfId="2218"/>
    <cellStyle name="Normal 31" xfId="2219"/>
    <cellStyle name="Normal 33" xfId="2220"/>
    <cellStyle name="Normal 34" xfId="2221"/>
    <cellStyle name="Normal 36" xfId="2222"/>
    <cellStyle name="Normal 37" xfId="2223"/>
    <cellStyle name="Normal 39" xfId="2224"/>
    <cellStyle name="Normal 4" xfId="2225"/>
    <cellStyle name="Normal 4 2" xfId="2226"/>
    <cellStyle name="Normal 4 3" xfId="2227"/>
    <cellStyle name="Normal 4_InputSA" xfId="2228"/>
    <cellStyle name="Normal 40" xfId="2229"/>
    <cellStyle name="Normal 41" xfId="2230"/>
    <cellStyle name="Normal 44" xfId="2231"/>
    <cellStyle name="Normal 45" xfId="2232"/>
    <cellStyle name="Normal 46" xfId="2233"/>
    <cellStyle name="Normal 47" xfId="2234"/>
    <cellStyle name="Normal 49" xfId="2235"/>
    <cellStyle name="Normal 5" xfId="2236"/>
    <cellStyle name="Normal 5 2" xfId="2237"/>
    <cellStyle name="Normal 5 3" xfId="2238"/>
    <cellStyle name="Normal 54" xfId="2239"/>
    <cellStyle name="Normal 58" xfId="2240"/>
    <cellStyle name="Normal 6" xfId="2241"/>
    <cellStyle name="Normal 6 2" xfId="2242"/>
    <cellStyle name="Normal 7" xfId="2243"/>
    <cellStyle name="Normal 7 2" xfId="2244"/>
    <cellStyle name="Normal 7 2 2" xfId="2245"/>
    <cellStyle name="Normal 7 2 2 2" xfId="2246"/>
    <cellStyle name="Normal 7 2 3" xfId="2247"/>
    <cellStyle name="Normal 7 3" xfId="2248"/>
    <cellStyle name="Normal 7 3 2" xfId="2249"/>
    <cellStyle name="Normal 7 3 2 2" xfId="2250"/>
    <cellStyle name="Normal 7 3 3" xfId="2251"/>
    <cellStyle name="Normal 8" xfId="2252"/>
    <cellStyle name="Normal 8 2" xfId="2253"/>
    <cellStyle name="Normal 8 2 2" xfId="2254"/>
    <cellStyle name="Normal 8 2 2 2" xfId="2255"/>
    <cellStyle name="Normal 8 2 3" xfId="2256"/>
    <cellStyle name="Normal 9" xfId="2257"/>
    <cellStyle name="Note 2" xfId="2258"/>
    <cellStyle name="Note 2 2" xfId="2259"/>
    <cellStyle name="Note 2 2 2" xfId="2260"/>
    <cellStyle name="Note 2 3" xfId="2261"/>
    <cellStyle name="Note 3" xfId="2262"/>
    <cellStyle name="Note 3 2" xfId="2263"/>
    <cellStyle name="Note 3 2 2" xfId="2264"/>
    <cellStyle name="Note 3 3" xfId="2265"/>
    <cellStyle name="Overskrift 1" xfId="2266"/>
    <cellStyle name="Overskrift 2" xfId="2267"/>
    <cellStyle name="Overskrift 3" xfId="2268"/>
    <cellStyle name="Overskrift 4" xfId="2269"/>
    <cellStyle name="Percent" xfId="2" builtinId="5" customBuiltin="1"/>
    <cellStyle name="Percent 10" xfId="2270"/>
    <cellStyle name="Percent 10 2" xfId="2271"/>
    <cellStyle name="Percent 10 2 2" xfId="2272"/>
    <cellStyle name="Percent 10 3" xfId="2273"/>
    <cellStyle name="Percent 11" xfId="2274"/>
    <cellStyle name="Percent 11 2" xfId="2275"/>
    <cellStyle name="Percent 12" xfId="2276"/>
    <cellStyle name="Percent 15" xfId="2277"/>
    <cellStyle name="Percent 2" xfId="2278"/>
    <cellStyle name="Percent 2 2" xfId="2279"/>
    <cellStyle name="Percent 2 3" xfId="2280"/>
    <cellStyle name="Percent 3" xfId="2281"/>
    <cellStyle name="Percent 3 2" xfId="2282"/>
    <cellStyle name="Percent 4" xfId="2283"/>
    <cellStyle name="Percent 4 2" xfId="2284"/>
    <cellStyle name="Percent 4 2 2" xfId="2285"/>
    <cellStyle name="Percent 4 2 2 2" xfId="2286"/>
    <cellStyle name="Percent 4 2 3" xfId="2287"/>
    <cellStyle name="Percent 5" xfId="2288"/>
    <cellStyle name="Percent 5 2" xfId="2289"/>
    <cellStyle name="Percent 6" xfId="2290"/>
    <cellStyle name="Percent 6 2" xfId="2291"/>
    <cellStyle name="Percent 7" xfId="2292"/>
    <cellStyle name="Percent 7 2" xfId="2293"/>
    <cellStyle name="Percent 7 2 2" xfId="2294"/>
    <cellStyle name="Percent 7 2 2 2" xfId="2295"/>
    <cellStyle name="Percent 7 2 2 2 2" xfId="2296"/>
    <cellStyle name="Percent 7 2 2 3" xfId="2297"/>
    <cellStyle name="Percent 7 2 3" xfId="2298"/>
    <cellStyle name="Percent 7 2 3 2" xfId="2299"/>
    <cellStyle name="Percent 7 2 4" xfId="2300"/>
    <cellStyle name="Percent 7 3" xfId="2301"/>
    <cellStyle name="Percent 7 3 2" xfId="2302"/>
    <cellStyle name="Percent 7 3 2 2" xfId="2303"/>
    <cellStyle name="Percent 7 3 3" xfId="2304"/>
    <cellStyle name="Percent 7 4" xfId="2305"/>
    <cellStyle name="Percent 7 4 2" xfId="2306"/>
    <cellStyle name="Percent 7 5" xfId="2307"/>
    <cellStyle name="Percent 8" xfId="2308"/>
    <cellStyle name="Percent 9" xfId="2309"/>
    <cellStyle name="Percent 9 2" xfId="2310"/>
    <cellStyle name="Percent 9 2 2" xfId="2311"/>
    <cellStyle name="Percent 9 2 3" xfId="2312"/>
    <cellStyle name="Percent 9 2 3 2" xfId="2313"/>
    <cellStyle name="Percent 9 2 4" xfId="2314"/>
    <cellStyle name="Percent 9 3" xfId="2315"/>
    <cellStyle name="Percent 9 4" xfId="2316"/>
    <cellStyle name="Percent 9 4 2" xfId="2317"/>
    <cellStyle name="Percent 9 5" xfId="2318"/>
    <cellStyle name="RangeName" xfId="2319"/>
    <cellStyle name="Rubrik" xfId="2320"/>
    <cellStyle name="Rubrik 1" xfId="2321"/>
    <cellStyle name="Rubrik 2" xfId="2322"/>
    <cellStyle name="Rubrik 3" xfId="2323"/>
    <cellStyle name="Rubrik 4" xfId="2324"/>
    <cellStyle name="Sammenkædet celle" xfId="2325"/>
    <cellStyle name="SAPBEXaggData" xfId="2326"/>
    <cellStyle name="SAPBEXaggData 2" xfId="2327"/>
    <cellStyle name="SAPBEXaggData 2 2" xfId="2328"/>
    <cellStyle name="SAPBEXaggData 3" xfId="2329"/>
    <cellStyle name="SAPBEXaggDataEmph" xfId="2330"/>
    <cellStyle name="SAPBEXaggDataEmph 2" xfId="2331"/>
    <cellStyle name="SAPBEXaggDataEmph 2 2" xfId="2332"/>
    <cellStyle name="SAPBEXaggDataEmph 3" xfId="2333"/>
    <cellStyle name="SAPBEXaggItem" xfId="2334"/>
    <cellStyle name="SAPBEXaggItem 2" xfId="2335"/>
    <cellStyle name="SAPBEXaggItem 2 2" xfId="2336"/>
    <cellStyle name="SAPBEXaggItem 3" xfId="2337"/>
    <cellStyle name="SAPBEXaggItemX" xfId="2338"/>
    <cellStyle name="SAPBEXaggItemX 2" xfId="2339"/>
    <cellStyle name="SAPBEXaggItemX 2 2" xfId="2340"/>
    <cellStyle name="SAPBEXaggItemX 3" xfId="2341"/>
    <cellStyle name="SAPBEXchaText" xfId="2342"/>
    <cellStyle name="SAPBEXexcBad7" xfId="2343"/>
    <cellStyle name="SAPBEXexcBad7 2" xfId="2344"/>
    <cellStyle name="SAPBEXexcBad7 2 2" xfId="2345"/>
    <cellStyle name="SAPBEXexcBad7 3" xfId="2346"/>
    <cellStyle name="SAPBEXexcBad8" xfId="2347"/>
    <cellStyle name="SAPBEXexcBad8 2" xfId="2348"/>
    <cellStyle name="SAPBEXexcBad8 2 2" xfId="2349"/>
    <cellStyle name="SAPBEXexcBad8 3" xfId="2350"/>
    <cellStyle name="SAPBEXexcBad9" xfId="2351"/>
    <cellStyle name="SAPBEXexcBad9 2" xfId="2352"/>
    <cellStyle name="SAPBEXexcBad9 2 2" xfId="2353"/>
    <cellStyle name="SAPBEXexcBad9 3" xfId="2354"/>
    <cellStyle name="SAPBEXexcCritical4" xfId="2355"/>
    <cellStyle name="SAPBEXexcCritical4 2" xfId="2356"/>
    <cellStyle name="SAPBEXexcCritical4 2 2" xfId="2357"/>
    <cellStyle name="SAPBEXexcCritical4 3" xfId="2358"/>
    <cellStyle name="SAPBEXexcCritical5" xfId="2359"/>
    <cellStyle name="SAPBEXexcCritical5 2" xfId="2360"/>
    <cellStyle name="SAPBEXexcCritical5 2 2" xfId="2361"/>
    <cellStyle name="SAPBEXexcCritical5 3" xfId="2362"/>
    <cellStyle name="SAPBEXexcCritical6" xfId="2363"/>
    <cellStyle name="SAPBEXexcCritical6 2" xfId="2364"/>
    <cellStyle name="SAPBEXexcCritical6 2 2" xfId="2365"/>
    <cellStyle name="SAPBEXexcCritical6 3" xfId="2366"/>
    <cellStyle name="SAPBEXexcGood1" xfId="2367"/>
    <cellStyle name="SAPBEXexcGood1 2" xfId="2368"/>
    <cellStyle name="SAPBEXexcGood1 2 2" xfId="2369"/>
    <cellStyle name="SAPBEXexcGood1 3" xfId="2370"/>
    <cellStyle name="SAPBEXexcGood2" xfId="2371"/>
    <cellStyle name="SAPBEXexcGood2 2" xfId="2372"/>
    <cellStyle name="SAPBEXexcGood2 2 2" xfId="2373"/>
    <cellStyle name="SAPBEXexcGood2 3" xfId="2374"/>
    <cellStyle name="SAPBEXexcGood3" xfId="2375"/>
    <cellStyle name="SAPBEXexcGood3 2" xfId="2376"/>
    <cellStyle name="SAPBEXexcGood3 2 2" xfId="2377"/>
    <cellStyle name="SAPBEXexcGood3 3" xfId="2378"/>
    <cellStyle name="SAPBEXfilterDrill" xfId="2379"/>
    <cellStyle name="SAPBEXfilterItem" xfId="2380"/>
    <cellStyle name="SAPBEXfilterText" xfId="2381"/>
    <cellStyle name="SAPBEXformats" xfId="2382"/>
    <cellStyle name="SAPBEXformats 2" xfId="2383"/>
    <cellStyle name="SAPBEXformats 2 2" xfId="2384"/>
    <cellStyle name="SAPBEXformats 3" xfId="2385"/>
    <cellStyle name="SAPBEXheaderItem" xfId="2386"/>
    <cellStyle name="SAPBEXheaderText" xfId="2387"/>
    <cellStyle name="SAPBEXHLevel0" xfId="2388"/>
    <cellStyle name="SAPBEXHLevel0 2" xfId="2389"/>
    <cellStyle name="SAPBEXHLevel0 2 2" xfId="2390"/>
    <cellStyle name="SAPBEXHLevel0 3" xfId="2391"/>
    <cellStyle name="SAPBEXHLevel0X" xfId="2392"/>
    <cellStyle name="SAPBEXHLevel0X 2" xfId="2393"/>
    <cellStyle name="SAPBEXHLevel0X 2 2" xfId="2394"/>
    <cellStyle name="SAPBEXHLevel0X 3" xfId="2395"/>
    <cellStyle name="SAPBEXHLevel1" xfId="2396"/>
    <cellStyle name="SAPBEXHLevel1 2" xfId="2397"/>
    <cellStyle name="SAPBEXHLevel1 2 2" xfId="2398"/>
    <cellStyle name="SAPBEXHLevel1 3" xfId="2399"/>
    <cellStyle name="SAPBEXHLevel1X" xfId="2400"/>
    <cellStyle name="SAPBEXHLevel1X 2" xfId="2401"/>
    <cellStyle name="SAPBEXHLevel1X 2 2" xfId="2402"/>
    <cellStyle name="SAPBEXHLevel1X 3" xfId="2403"/>
    <cellStyle name="SAPBEXHLevel2" xfId="2404"/>
    <cellStyle name="SAPBEXHLevel2 2" xfId="2405"/>
    <cellStyle name="SAPBEXHLevel2 2 2" xfId="2406"/>
    <cellStyle name="SAPBEXHLevel2 3" xfId="2407"/>
    <cellStyle name="SAPBEXHLevel2X" xfId="2408"/>
    <cellStyle name="SAPBEXHLevel2X 2" xfId="2409"/>
    <cellStyle name="SAPBEXHLevel2X 2 2" xfId="2410"/>
    <cellStyle name="SAPBEXHLevel2X 3" xfId="2411"/>
    <cellStyle name="SAPBEXHLevel3" xfId="2412"/>
    <cellStyle name="SAPBEXHLevel3 2" xfId="2413"/>
    <cellStyle name="SAPBEXHLevel3 2 2" xfId="2414"/>
    <cellStyle name="SAPBEXHLevel3 3" xfId="2415"/>
    <cellStyle name="SAPBEXHLevel3X" xfId="2416"/>
    <cellStyle name="SAPBEXHLevel3X 2" xfId="2417"/>
    <cellStyle name="SAPBEXHLevel3X 2 2" xfId="2418"/>
    <cellStyle name="SAPBEXHLevel3X 3" xfId="2419"/>
    <cellStyle name="SAPBEXinputData" xfId="2420"/>
    <cellStyle name="SAPBEXItemHeader" xfId="2421"/>
    <cellStyle name="SAPBEXItemHeader 2" xfId="2422"/>
    <cellStyle name="SAPBEXItemHeader 2 2" xfId="2423"/>
    <cellStyle name="SAPBEXItemHeader 3" xfId="2424"/>
    <cellStyle name="SAPBEXresData" xfId="2425"/>
    <cellStyle name="SAPBEXresData 2" xfId="2426"/>
    <cellStyle name="SAPBEXresData 2 2" xfId="2427"/>
    <cellStyle name="SAPBEXresData 3" xfId="2428"/>
    <cellStyle name="SAPBEXresDataEmph" xfId="2429"/>
    <cellStyle name="SAPBEXresDataEmph 2" xfId="2430"/>
    <cellStyle name="SAPBEXresDataEmph 2 2" xfId="2431"/>
    <cellStyle name="SAPBEXresDataEmph 3" xfId="2432"/>
    <cellStyle name="SAPBEXresItem" xfId="2433"/>
    <cellStyle name="SAPBEXresItem 2" xfId="2434"/>
    <cellStyle name="SAPBEXresItem 2 2" xfId="2435"/>
    <cellStyle name="SAPBEXresItem 3" xfId="2436"/>
    <cellStyle name="SAPBEXresItemX" xfId="2437"/>
    <cellStyle name="SAPBEXresItemX 2" xfId="2438"/>
    <cellStyle name="SAPBEXresItemX 2 2" xfId="2439"/>
    <cellStyle name="SAPBEXresItemX 3" xfId="2440"/>
    <cellStyle name="SAPBEXstdData" xfId="2441"/>
    <cellStyle name="SAPBEXstdData 2" xfId="2442"/>
    <cellStyle name="SAPBEXstdData 2 2" xfId="2443"/>
    <cellStyle name="SAPBEXstdData 3" xfId="2444"/>
    <cellStyle name="SAPBEXstdDataEmph" xfId="2445"/>
    <cellStyle name="SAPBEXstdDataEmph 2" xfId="2446"/>
    <cellStyle name="SAPBEXstdDataEmph 2 2" xfId="2447"/>
    <cellStyle name="SAPBEXstdDataEmph 3" xfId="2448"/>
    <cellStyle name="SAPBEXstdItem" xfId="2449"/>
    <cellStyle name="SAPBEXstdItem 2" xfId="2450"/>
    <cellStyle name="SAPBEXstdItem 2 2" xfId="2451"/>
    <cellStyle name="SAPBEXstdItem 3" xfId="2452"/>
    <cellStyle name="SAPBEXstdItemX" xfId="2453"/>
    <cellStyle name="SAPBEXstdItemX 2" xfId="2454"/>
    <cellStyle name="SAPBEXstdItemX 2 2" xfId="2455"/>
    <cellStyle name="SAPBEXstdItemX 3" xfId="2456"/>
    <cellStyle name="SAPBEXtitle" xfId="2457"/>
    <cellStyle name="SAPBEXtitle 2" xfId="2458"/>
    <cellStyle name="SAPBEXtitle 2 2" xfId="2459"/>
    <cellStyle name="SAPBEXtitle 3" xfId="2460"/>
    <cellStyle name="SAPBEXunassignedItem" xfId="2461"/>
    <cellStyle name="SAPBEXundefined" xfId="2462"/>
    <cellStyle name="SAPBEXundefined 2" xfId="2463"/>
    <cellStyle name="SAPBEXundefined 2 2" xfId="2464"/>
    <cellStyle name="SAPBEXundefined 3" xfId="2465"/>
    <cellStyle name="Sheet Title" xfId="2466"/>
    <cellStyle name="Style 1" xfId="2467"/>
    <cellStyle name="Style 1 2" xfId="2468"/>
    <cellStyle name="Sub-total" xfId="2469"/>
    <cellStyle name="Sub-total 2" xfId="2470"/>
    <cellStyle name="Sub-total 2 2" xfId="2471"/>
    <cellStyle name="Sub-total 3" xfId="2472"/>
    <cellStyle name="Summa" xfId="2473"/>
    <cellStyle name="Summa 2" xfId="2474"/>
    <cellStyle name="Summa 2 2" xfId="2475"/>
    <cellStyle name="Summa 3" xfId="2476"/>
    <cellStyle name="Text" xfId="2477"/>
    <cellStyle name="Titel" xfId="2478"/>
    <cellStyle name="Totals" xfId="2479"/>
    <cellStyle name="Ugyldig" xfId="2480"/>
    <cellStyle name="Utdata" xfId="2481"/>
    <cellStyle name="Utdata 2" xfId="2482"/>
    <cellStyle name="Utdata 2 2" xfId="2483"/>
    <cellStyle name="Utdata 3" xfId="2484"/>
    <cellStyle name="Varningstext" xfId="2485"/>
  </cellStyles>
  <dxfs count="14">
    <dxf>
      <font>
        <color rgb="FFBFBFBF"/>
        <family val="2"/>
      </font>
    </dxf>
    <dxf>
      <font>
        <color rgb="FFBFBFBF"/>
        <family val="2"/>
      </font>
    </dxf>
    <dxf>
      <font>
        <color rgb="FFBFBFBF"/>
        <family val="2"/>
      </font>
    </dxf>
    <dxf>
      <font>
        <color rgb="FFBFBFBF"/>
        <family val="2"/>
      </font>
    </dxf>
    <dxf>
      <font>
        <color rgb="FFBFBFBF"/>
        <family val="2"/>
      </font>
    </dxf>
    <dxf>
      <font>
        <color rgb="FFBFBFBF"/>
        <family val="2"/>
      </font>
    </dxf>
    <dxf>
      <font>
        <color rgb="FFC00000"/>
        <family val="2"/>
      </font>
    </dxf>
    <dxf>
      <font>
        <color rgb="FFBFBFBF"/>
        <family val="2"/>
      </font>
    </dxf>
    <dxf>
      <font>
        <color rgb="FFBFBFBF"/>
        <family val="2"/>
      </font>
    </dxf>
    <dxf>
      <font>
        <color rgb="FFBFBFBF"/>
        <family val="2"/>
      </font>
    </dxf>
    <dxf>
      <font>
        <color rgb="FFBFBFBF"/>
        <family val="2"/>
      </font>
    </dxf>
    <dxf>
      <font>
        <color rgb="FFBFBFBF"/>
        <family val="2"/>
      </font>
    </dxf>
    <dxf>
      <font>
        <color rgb="FFBFBFBF"/>
        <family val="2"/>
      </font>
    </dxf>
    <dxf>
      <font>
        <color rgb="FFC00000"/>
        <family val="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997202" cy="717547"/>
    <xdr:pic>
      <xdr:nvPicPr>
        <xdr:cNvPr id="2" name="Picture 2" descr="Ofgem logo">
          <a:extLst>
            <a:ext uri="{FF2B5EF4-FFF2-40B4-BE49-F238E27FC236}">
              <a16:creationId xmlns:a16="http://schemas.microsoft.com/office/drawing/2014/main" id="{C1338D49-8E85-D4A1-B9F6-44DD99A97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2997202" cy="717547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ationalgridplc-my.sharepoint.com/AndrewStone/offshore%20savings/Lincs/2014.01.17_Lincs%20TCP%20models/Lincs_Perm%20Changes_Delever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nfs01\data\AndrewStone\offshore%20savings\Lincs\2014.01.17_Lincs%20TCP%20models\Lincs_Perm%20Changes_Delever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Charts_"/>
      <sheetName val="TM_Change"/>
      <sheetName val="P&amp;L"/>
      <sheetName val="CF"/>
      <sheetName val="CF_Original"/>
      <sheetName val="CF_Delta"/>
      <sheetName val="BalSht"/>
      <sheetName val="Summary"/>
      <sheetName val="Sens_Analysis"/>
      <sheetName val="Sens"/>
      <sheetName val="InputC"/>
      <sheetName val="InputM"/>
      <sheetName val="InputSA"/>
      <sheetName val="Calcs_M"/>
      <sheetName val="Calcs_SA"/>
      <sheetName val="Ratios"/>
      <sheetName val="Checks"/>
      <sheetName val="MSA"/>
      <sheetName val="Analysis_template"/>
      <sheetName val="Proj_IRR"/>
      <sheetName val="Swap_Profiles"/>
      <sheetName val="Swap_Profiles_-_EIB"/>
      <sheetName val="Databook_M"/>
      <sheetName val="GapList_1"/>
      <sheetName val="GapList_2"/>
      <sheetName val="GapList_3"/>
      <sheetName val="Gaps_list_3a"/>
      <sheetName val="GapList_4"/>
      <sheetName val="Gaps_list_5"/>
      <sheetName val="fis-Cover"/>
      <sheetName val="fis1-General_Data"/>
      <sheetName val="fis2-Analysis-Insurance"/>
      <sheetName val="fis3-Analysis-TRS_Components"/>
      <sheetName val="fis4-Funding_Data"/>
      <sheetName val="fis5-Yearly_Data"/>
      <sheetName val="fis6-Tax_Pool_Allocations"/>
      <sheetName val="fis7-Output_Page"/>
      <sheetName val="fis-Standard_Data"/>
      <sheetName val="fis-Integrity_Chec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38">
          <cell r="B38">
            <v>0.18</v>
          </cell>
        </row>
        <row r="39">
          <cell r="B39">
            <v>0.08</v>
          </cell>
        </row>
        <row r="40">
          <cell r="B40">
            <v>1</v>
          </cell>
        </row>
        <row r="41">
          <cell r="B41">
            <v>0</v>
          </cell>
        </row>
      </sheetData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Charts_"/>
      <sheetName val="TM_Change"/>
      <sheetName val="P&amp;L"/>
      <sheetName val="CF"/>
      <sheetName val="CF_Original"/>
      <sheetName val="CF_Delta"/>
      <sheetName val="BalSht"/>
      <sheetName val="Summary"/>
      <sheetName val="Sens_Analysis"/>
      <sheetName val="Sens"/>
      <sheetName val="InputC"/>
      <sheetName val="InputM"/>
      <sheetName val="InputSA"/>
      <sheetName val="Calcs_M"/>
      <sheetName val="Calcs_SA"/>
      <sheetName val="Ratios"/>
      <sheetName val="Checks"/>
      <sheetName val="MSA"/>
      <sheetName val="Analysis_template"/>
      <sheetName val="Proj_IRR"/>
      <sheetName val="Swap_Profiles"/>
      <sheetName val="Swap_Profiles_-_EIB"/>
      <sheetName val="Databook_M"/>
      <sheetName val="GapList_1"/>
      <sheetName val="GapList_2"/>
      <sheetName val="GapList_3"/>
      <sheetName val="Gaps_list_3a"/>
      <sheetName val="GapList_4"/>
      <sheetName val="Gaps_list_5"/>
      <sheetName val="fis-Cover"/>
      <sheetName val="fis1-General_Data"/>
      <sheetName val="fis2-Analysis-Insurance"/>
      <sheetName val="fis3-Analysis-TRS_Components"/>
      <sheetName val="fis4-Funding_Data"/>
      <sheetName val="fis5-Yearly_Data"/>
      <sheetName val="fis6-Tax_Pool_Allocations"/>
      <sheetName val="fis7-Output_Page"/>
      <sheetName val="fis-Standard_Data"/>
      <sheetName val="fis-Integrity_Chec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38">
          <cell r="B38">
            <v>0.18</v>
          </cell>
        </row>
        <row r="39">
          <cell r="B39">
            <v>0.08</v>
          </cell>
        </row>
        <row r="40">
          <cell r="B40">
            <v>1</v>
          </cell>
        </row>
        <row r="41">
          <cell r="B41">
            <v>0</v>
          </cell>
        </row>
      </sheetData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ofgemcloud.sharepoint.com/sites/Networks-itc/Shared%20Documents/Cap%20and%20Floor%20Financial%20Models/NEMO/Nemo%20(PCR)%20CFFM1%20and%20CFFM2/Nemo%20(PCR)%20CFFM1%20and%20CFFM2%20preAudit/Standard%20CFFM_1%20(provisional%20Nemo%20PC" TargetMode="External"/><Relationship Id="rId1" Type="http://schemas.openxmlformats.org/officeDocument/2006/relationships/hyperlink" Target="https://ofgemcloud.sharepoint.com/sites/Networks-itc/Shared%20Documents/Cap%20and%20Floor%20Financial%20Models/NEMO/Nemo_CFFM_Jan2017_Ofgem.xlsx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ns.gov.uk/economy/inflationandpriceindices/timeseries/chaw/mm23" TargetMode="External"/><Relationship Id="rId3" Type="http://schemas.openxmlformats.org/officeDocument/2006/relationships/hyperlink" Target="https://www.ons.gov.uk/economy/inflationandpriceindices/timeseries/chaw/mm23" TargetMode="External"/><Relationship Id="rId7" Type="http://schemas.openxmlformats.org/officeDocument/2006/relationships/hyperlink" Target="https://www.bankofengland.co.uk/boeapps/database/fromshowcolumns.asp?Travel=NIxAZxSUx&amp;FromSeries=1&amp;ToSeries=50&amp;DAT=RNG&amp;FD=1&amp;FM=Jan&amp;FY=2010&amp;TD=11&amp;TM=May&amp;TY=2025&amp;FNY=Y&amp;CSVF=TT&amp;html.x=66&amp;html.y=26&amp;SeriesCodes=XUMAERS&amp;UsingCodes=Y&amp;Filter=N&amp;title=XUMAERS&amp;VPD=Y" TargetMode="External"/><Relationship Id="rId2" Type="http://schemas.openxmlformats.org/officeDocument/2006/relationships/hyperlink" Target="https://statbel.fgov.be/en/themes/consumer-prices/consumer-price-index" TargetMode="External"/><Relationship Id="rId1" Type="http://schemas.openxmlformats.org/officeDocument/2006/relationships/hyperlink" Target="https://www.ons.gov.uk/economy/inflationandpriceindices/timeseries/chaw/mm23" TargetMode="External"/><Relationship Id="rId6" Type="http://schemas.openxmlformats.org/officeDocument/2006/relationships/hyperlink" Target="https://www.bankofengland.co.uk/boeapps/database/fromshowcolumns.asp?Travel=NIxAZxSUx&amp;FromSeries=1&amp;ToSeries=50&amp;DAT=RNG&amp;FD=1&amp;FM=Jan&amp;FY=2010&amp;TD=11&amp;TM=May&amp;TY=2025&amp;FNY=Y&amp;CSVF=TT&amp;html.x=66&amp;html.y=26&amp;SeriesCodes=XUMAERS&amp;UsingCodes=Y&amp;Filter=N&amp;title=XUMAERS&amp;VPD=Y" TargetMode="External"/><Relationship Id="rId5" Type="http://schemas.openxmlformats.org/officeDocument/2006/relationships/hyperlink" Target="https://www.ons.gov.uk/economy/inflationandpriceindices/timeseries/chaw/mm23" TargetMode="External"/><Relationship Id="rId4" Type="http://schemas.openxmlformats.org/officeDocument/2006/relationships/hyperlink" Target="https://www.bankofengland.co.uk/boeapps/database/fromshowcolumns.asp?Travel=NIxAZxSUx&amp;FromSeries=1&amp;ToSeries=50&amp;DAT=RNG&amp;FD=1&amp;FM=Jan&amp;FY=2010&amp;TD=11&amp;TM=May&amp;TY=2025&amp;FNY=Y&amp;CSVF=TT&amp;html.x=66&amp;html.y=26&amp;SeriesCodes=XUMAERS&amp;UsingCodes=Y&amp;Filter=N&amp;title=XUMAERS&amp;VPD=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6B8B7"/>
    <pageSetUpPr fitToPage="1"/>
  </sheetPr>
  <dimension ref="A1:H48"/>
  <sheetViews>
    <sheetView tabSelected="1" workbookViewId="0"/>
  </sheetViews>
  <sheetFormatPr defaultColWidth="0" defaultRowHeight="0" customHeight="1" zeroHeight="1"/>
  <cols>
    <col min="1" max="4" width="1.59765625" style="1" customWidth="1"/>
    <col min="5" max="5" width="19.09765625" style="1" customWidth="1"/>
    <col min="6" max="6" width="2.69921875" style="1" customWidth="1"/>
    <col min="7" max="7" width="96.3984375" style="1" customWidth="1"/>
    <col min="8" max="8" width="3.09765625" customWidth="1"/>
    <col min="9" max="9" width="0" style="1" hidden="1" customWidth="1"/>
    <col min="10" max="16384" width="0" style="1" hidden="1"/>
  </cols>
  <sheetData>
    <row r="1" spans="1:8" ht="57" customHeight="1"/>
    <row r="2" spans="1:8" s="4" customFormat="1" ht="21">
      <c r="A2" s="2" t="s">
        <v>0</v>
      </c>
      <c r="B2" s="3"/>
      <c r="C2" s="3"/>
      <c r="D2" s="3"/>
      <c r="E2" s="3"/>
      <c r="H2"/>
    </row>
    <row r="3" spans="1:8" s="4" customFormat="1" ht="15.5">
      <c r="A3" s="5"/>
      <c r="B3" s="5" t="s">
        <v>1</v>
      </c>
      <c r="C3" s="3"/>
      <c r="D3" s="3"/>
      <c r="E3" s="3"/>
      <c r="H3"/>
    </row>
    <row r="4" spans="1:8" s="4" customFormat="1" ht="15" customHeight="1">
      <c r="A4" s="3"/>
      <c r="B4" s="3"/>
      <c r="C4" s="6" t="str">
        <f ca="1">MID(CELL("filename"),SEARCH("[",CELL("filename"))+1,SEARCH("]",CELL("filename"))-SEARCH("[",CELL("filename"))-1)</f>
        <v>NeuConnect Cap and Floor Financial Model (NCCFFM1).ods</v>
      </c>
      <c r="D4" s="7"/>
      <c r="E4" s="7"/>
      <c r="F4" s="8"/>
      <c r="G4" s="8"/>
      <c r="H4"/>
    </row>
    <row r="5" spans="1:8" s="4" customFormat="1" ht="12.75" customHeight="1">
      <c r="A5" s="3"/>
      <c r="B5" s="3"/>
      <c r="C5" s="9" t="s">
        <v>2</v>
      </c>
      <c r="D5" s="9"/>
      <c r="E5" s="9"/>
      <c r="F5" s="9"/>
      <c r="G5" s="9"/>
      <c r="H5"/>
    </row>
    <row r="6" spans="1:8" s="4" customFormat="1" ht="13">
      <c r="A6" s="3"/>
      <c r="B6" s="3"/>
      <c r="C6" s="10" t="s">
        <v>3</v>
      </c>
      <c r="D6" s="11"/>
      <c r="E6" s="11"/>
      <c r="F6" s="11"/>
      <c r="G6" s="11"/>
      <c r="H6"/>
    </row>
    <row r="7" spans="1:8" ht="15" customHeight="1">
      <c r="B7" s="12"/>
    </row>
    <row r="8" spans="1:8" s="13" customFormat="1" ht="15" customHeight="1">
      <c r="B8" s="14" t="s">
        <v>4</v>
      </c>
      <c r="C8" s="15"/>
      <c r="D8" s="15"/>
      <c r="E8" s="15"/>
      <c r="F8" s="15"/>
      <c r="G8" s="15"/>
      <c r="H8"/>
    </row>
    <row r="9" spans="1:8" s="13" customFormat="1" ht="15" customHeight="1">
      <c r="E9" s="16"/>
      <c r="G9" s="17"/>
      <c r="H9"/>
    </row>
    <row r="10" spans="1:8" s="13" customFormat="1" ht="15" customHeight="1">
      <c r="E10" s="17" t="s">
        <v>5</v>
      </c>
      <c r="G10" s="17" t="s">
        <v>6</v>
      </c>
      <c r="H10"/>
    </row>
    <row r="11" spans="1:8" s="13" customFormat="1" ht="15" customHeight="1">
      <c r="E11" s="18" t="s">
        <v>5</v>
      </c>
      <c r="G11" s="13" t="s">
        <v>7</v>
      </c>
      <c r="H11"/>
    </row>
    <row r="12" spans="1:8" s="13" customFormat="1" ht="15" customHeight="1">
      <c r="E12" s="19" t="s">
        <v>5</v>
      </c>
      <c r="G12" s="17" t="s">
        <v>8</v>
      </c>
      <c r="H12"/>
    </row>
    <row r="13" spans="1:8" s="13" customFormat="1" ht="15" customHeight="1">
      <c r="E13" s="20" t="s">
        <v>5</v>
      </c>
      <c r="G13" s="17" t="s">
        <v>9</v>
      </c>
      <c r="H13"/>
    </row>
    <row r="14" spans="1:8" s="13" customFormat="1" ht="15" customHeight="1">
      <c r="E14" s="21" t="s">
        <v>5</v>
      </c>
      <c r="G14" s="17" t="s">
        <v>10</v>
      </c>
      <c r="H14"/>
    </row>
    <row r="15" spans="1:8" s="13" customFormat="1" ht="15" customHeight="1">
      <c r="E15" s="22" t="s">
        <v>5</v>
      </c>
      <c r="G15" s="13" t="s">
        <v>11</v>
      </c>
      <c r="H15"/>
    </row>
    <row r="16" spans="1:8" s="13" customFormat="1" ht="15" customHeight="1">
      <c r="E16" s="23" t="s">
        <v>5</v>
      </c>
      <c r="G16" s="13" t="s">
        <v>12</v>
      </c>
      <c r="H16"/>
    </row>
    <row r="17" spans="2:8" s="13" customFormat="1" ht="15" customHeight="1">
      <c r="E17" s="24" t="s">
        <v>5</v>
      </c>
      <c r="G17" s="13" t="s">
        <v>13</v>
      </c>
      <c r="H17"/>
    </row>
    <row r="18" spans="2:8" s="13" customFormat="1" ht="15" customHeight="1">
      <c r="E18" s="25" t="s">
        <v>5</v>
      </c>
      <c r="G18" s="13" t="s">
        <v>14</v>
      </c>
      <c r="H18"/>
    </row>
    <row r="19" spans="2:8" s="13" customFormat="1" ht="15" customHeight="1">
      <c r="E19" s="26" t="s">
        <v>5</v>
      </c>
      <c r="G19" s="13" t="s">
        <v>15</v>
      </c>
      <c r="H19"/>
    </row>
    <row r="20" spans="2:8" s="13" customFormat="1" ht="15" customHeight="1">
      <c r="E20" s="27"/>
      <c r="G20" s="13" t="s">
        <v>16</v>
      </c>
      <c r="H20"/>
    </row>
    <row r="21" spans="2:8" s="13" customFormat="1" ht="15" customHeight="1">
      <c r="H21"/>
    </row>
    <row r="22" spans="2:8" s="13" customFormat="1" ht="15" customHeight="1">
      <c r="B22" s="14" t="s">
        <v>17</v>
      </c>
      <c r="C22" s="15"/>
      <c r="D22" s="15"/>
      <c r="E22" s="15"/>
      <c r="F22" s="15"/>
      <c r="G22" s="15"/>
      <c r="H22"/>
    </row>
    <row r="23" spans="2:8" s="13" customFormat="1" ht="15" customHeight="1" thickBot="1">
      <c r="E23" s="16"/>
      <c r="G23" s="17"/>
      <c r="H23"/>
    </row>
    <row r="24" spans="2:8" s="13" customFormat="1" ht="15" customHeight="1" thickBot="1">
      <c r="E24" s="28" t="s">
        <v>18</v>
      </c>
      <c r="F24" s="29"/>
      <c r="G24" s="30" t="s">
        <v>19</v>
      </c>
      <c r="H24"/>
    </row>
    <row r="25" spans="2:8" s="13" customFormat="1" ht="15" customHeight="1" thickBot="1">
      <c r="E25" s="28" t="s">
        <v>20</v>
      </c>
      <c r="F25" s="31"/>
      <c r="G25" s="30" t="s">
        <v>21</v>
      </c>
      <c r="H25"/>
    </row>
    <row r="26" spans="2:8" s="13" customFormat="1" ht="15" customHeight="1" thickTop="1" thickBot="1">
      <c r="E26" s="28" t="s">
        <v>22</v>
      </c>
      <c r="F26" s="32"/>
      <c r="G26" s="30" t="s">
        <v>23</v>
      </c>
      <c r="H26"/>
    </row>
    <row r="27" spans="2:8" s="13" customFormat="1" ht="15" customHeight="1" thickTop="1" thickBot="1">
      <c r="E27" s="28" t="s">
        <v>24</v>
      </c>
      <c r="F27" s="32"/>
      <c r="G27" s="30" t="s">
        <v>25</v>
      </c>
      <c r="H27"/>
    </row>
    <row r="28" spans="2:8" s="13" customFormat="1" ht="15" customHeight="1" thickTop="1" thickBot="1">
      <c r="E28" s="28" t="s">
        <v>26</v>
      </c>
      <c r="F28" s="33"/>
      <c r="G28" s="30" t="s">
        <v>27</v>
      </c>
      <c r="H28"/>
    </row>
    <row r="29" spans="2:8" s="13" customFormat="1" ht="15" customHeight="1" thickBot="1">
      <c r="E29" s="28" t="s">
        <v>28</v>
      </c>
      <c r="F29" s="33"/>
      <c r="G29" s="30" t="s">
        <v>29</v>
      </c>
      <c r="H29"/>
    </row>
    <row r="30" spans="2:8" s="13" customFormat="1" ht="15" customHeight="1" thickBot="1">
      <c r="E30" s="28" t="s">
        <v>30</v>
      </c>
      <c r="F30" s="33"/>
      <c r="G30" s="30" t="s">
        <v>31</v>
      </c>
      <c r="H30"/>
    </row>
    <row r="31" spans="2:8" s="13" customFormat="1" ht="15" customHeight="1" thickBot="1">
      <c r="E31" s="28" t="s">
        <v>32</v>
      </c>
      <c r="F31" s="33"/>
      <c r="G31" s="30" t="s">
        <v>33</v>
      </c>
      <c r="H31"/>
    </row>
    <row r="32" spans="2:8" s="13" customFormat="1" ht="15" customHeight="1" thickBot="1">
      <c r="E32" s="28" t="s">
        <v>34</v>
      </c>
      <c r="F32" s="33"/>
      <c r="G32" s="30" t="s">
        <v>35</v>
      </c>
      <c r="H32"/>
    </row>
    <row r="33" spans="2:8" s="13" customFormat="1" ht="15" customHeight="1" thickBot="1">
      <c r="E33" s="28" t="s">
        <v>36</v>
      </c>
      <c r="F33" s="33"/>
      <c r="G33" s="30" t="s">
        <v>37</v>
      </c>
      <c r="H33"/>
    </row>
    <row r="34" spans="2:8" s="13" customFormat="1" ht="15" customHeight="1" thickBot="1">
      <c r="E34" s="28" t="s">
        <v>38</v>
      </c>
      <c r="F34" s="33"/>
      <c r="G34" s="30" t="s">
        <v>39</v>
      </c>
      <c r="H34"/>
    </row>
    <row r="35" spans="2:8" s="13" customFormat="1" ht="15" customHeight="1" thickBot="1">
      <c r="E35" s="28" t="s">
        <v>40</v>
      </c>
      <c r="F35" s="33"/>
      <c r="G35" s="30" t="s">
        <v>41</v>
      </c>
      <c r="H35"/>
    </row>
    <row r="36" spans="2:8" s="13" customFormat="1" ht="15" customHeight="1" thickBot="1">
      <c r="E36" s="28" t="s">
        <v>42</v>
      </c>
      <c r="F36" s="34"/>
      <c r="G36" s="30" t="s">
        <v>43</v>
      </c>
      <c r="H36"/>
    </row>
    <row r="37" spans="2:8" s="13" customFormat="1" ht="15" customHeight="1">
      <c r="E37" s="35"/>
      <c r="G37" s="30"/>
      <c r="H37"/>
    </row>
    <row r="38" spans="2:8" s="13" customFormat="1" ht="15" customHeight="1">
      <c r="B38" s="14" t="s">
        <v>44</v>
      </c>
      <c r="C38" s="15"/>
      <c r="D38" s="15"/>
      <c r="E38" s="15"/>
      <c r="F38" s="15"/>
      <c r="G38" s="15"/>
      <c r="H38"/>
    </row>
    <row r="39" spans="2:8" s="13" customFormat="1" ht="15" customHeight="1">
      <c r="E39" s="35"/>
      <c r="G39" s="30"/>
      <c r="H39"/>
    </row>
    <row r="40" spans="2:8" s="13" customFormat="1" ht="15" customHeight="1">
      <c r="E40" s="26" t="s">
        <v>45</v>
      </c>
      <c r="F40" s="26"/>
      <c r="G40" s="36" t="str">
        <f>Op_Rav!I27</f>
        <v>TRUE</v>
      </c>
      <c r="H40"/>
    </row>
    <row r="41" spans="2:8" s="13" customFormat="1" ht="15" customHeight="1">
      <c r="E41" s="26" t="s">
        <v>46</v>
      </c>
      <c r="F41" s="26"/>
      <c r="G41" s="36" t="b">
        <f>Inputs!I157</f>
        <v>1</v>
      </c>
      <c r="H41"/>
    </row>
    <row r="42" spans="2:8" s="13" customFormat="1" ht="15" customHeight="1">
      <c r="E42" s="35"/>
      <c r="G42" s="30"/>
      <c r="H42"/>
    </row>
    <row r="43" spans="2:8" s="13" customFormat="1" ht="15" customHeight="1">
      <c r="B43" s="14" t="s">
        <v>47</v>
      </c>
      <c r="C43" s="15"/>
      <c r="D43" s="15"/>
      <c r="E43" s="15"/>
      <c r="F43" s="15"/>
      <c r="G43" s="15"/>
      <c r="H43"/>
    </row>
    <row r="44" spans="2:8" s="13" customFormat="1" ht="15" customHeight="1">
      <c r="E44" s="37"/>
      <c r="F44" s="37"/>
      <c r="G44" s="30"/>
      <c r="H44"/>
    </row>
    <row r="45" spans="2:8" ht="15" hidden="1" customHeight="1"/>
    <row r="46" spans="2:8" ht="0" hidden="1" customHeight="1"/>
    <row r="47" spans="2:8" ht="0" hidden="1" customHeight="1"/>
    <row r="48" spans="2:8" ht="0" hidden="1" customHeight="1"/>
  </sheetData>
  <hyperlinks>
    <hyperlink ref="E24" location="Cover!A1" display="Cover"/>
    <hyperlink ref="E25" location="'Version Control'!A1" display="Version Control"/>
    <hyperlink ref="E26" location="Inputs!A1" display="Inputs"/>
    <hyperlink ref="E27" location="'Data sources'!A1" display="Data Sources"/>
    <hyperlink ref="E28" location="'Pre Op RAV'!A1" display="Pre Op RAV"/>
    <hyperlink ref="E29" location="Finance!A1" display="Finance"/>
    <hyperlink ref="E30" location="'Op Rav'!A1" display="Op RAV"/>
    <hyperlink ref="E31" location="'Allowances Cap'!A1" display="Allowances Cap"/>
    <hyperlink ref="E32" location="'Allowances Floor'!A1" display="Allowances Floor"/>
    <hyperlink ref="E33" location="'Tax Deductions'!A1" display="Tax Deductions"/>
    <hyperlink ref="E34" location="'Tax Cap'!A1" display="Tax Cap"/>
    <hyperlink ref="E35" location="'Tax Floor'!A1" display="Tax Floor"/>
    <hyperlink ref="E36" location="'Cap Floor Levels'!A1" display="Cap Floor Levels"/>
  </hyperlinks>
  <pageMargins left="0.23622047244094502" right="0.23622047244094502" top="0.74803149606299213" bottom="0.74803149606299213" header="0.31496062992126012" footer="0.31496062992126012"/>
  <pageSetup paperSize="0" fitToHeight="0" orientation="portrait" horizontalDpi="0" verticalDpi="0" copie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C0DA"/>
    <pageSetUpPr fitToPage="1"/>
  </sheetPr>
  <dimension ref="A1:AY80"/>
  <sheetViews>
    <sheetView workbookViewId="0"/>
  </sheetViews>
  <sheetFormatPr defaultColWidth="0" defaultRowHeight="0" customHeight="1" zeroHeight="1"/>
  <cols>
    <col min="1" max="1" width="2.59765625" style="128" customWidth="1"/>
    <col min="2" max="2" width="2.59765625" style="122" customWidth="1"/>
    <col min="3" max="3" width="2.59765625" style="13" customWidth="1"/>
    <col min="4" max="4" width="2.59765625" style="122" customWidth="1"/>
    <col min="5" max="5" width="50.59765625" style="13" customWidth="1"/>
    <col min="6" max="6" width="1.59765625" style="13" customWidth="1"/>
    <col min="7" max="7" width="15.59765625" style="13" customWidth="1"/>
    <col min="8" max="8" width="10.69921875" style="13" customWidth="1"/>
    <col min="9" max="9" width="10.59765625" style="13" customWidth="1"/>
    <col min="10" max="10" width="1.59765625" style="13" customWidth="1"/>
    <col min="11" max="35" width="10.59765625" style="13" customWidth="1"/>
    <col min="36" max="36" width="3.09765625" customWidth="1"/>
    <col min="37" max="50" width="10.59765625" hidden="1" customWidth="1"/>
    <col min="51" max="51" width="2.59765625" hidden="1" customWidth="1"/>
    <col min="52" max="52" width="9.09765625" hidden="1" customWidth="1"/>
    <col min="53" max="16384" width="9.09765625" hidden="1"/>
  </cols>
  <sheetData>
    <row r="1" spans="1:35" ht="14.5">
      <c r="A1" s="52" t="s">
        <v>36</v>
      </c>
      <c r="B1" s="53"/>
      <c r="C1" s="53"/>
      <c r="D1" s="53"/>
      <c r="E1" s="53"/>
      <c r="F1" s="53"/>
      <c r="G1" s="53"/>
      <c r="H1" s="53" t="s">
        <v>101</v>
      </c>
      <c r="I1" s="53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3"/>
      <c r="AH1" s="53"/>
      <c r="AI1" s="53"/>
    </row>
    <row r="2" spans="1:35" ht="15" customHeight="1">
      <c r="A2" s="53"/>
      <c r="B2" s="53"/>
      <c r="C2" s="53"/>
      <c r="D2" s="53"/>
      <c r="E2" s="55" t="s">
        <v>102</v>
      </c>
      <c r="F2" s="55"/>
      <c r="G2" s="55" t="s">
        <v>103</v>
      </c>
      <c r="H2" s="55" t="s">
        <v>104</v>
      </c>
      <c r="I2" s="56" t="s">
        <v>105</v>
      </c>
      <c r="J2" s="57"/>
      <c r="K2" s="55" t="s">
        <v>106</v>
      </c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</row>
    <row r="3" spans="1:35" ht="15" customHeight="1">
      <c r="A3" s="53"/>
      <c r="B3" s="53"/>
      <c r="C3" s="53"/>
      <c r="D3" s="53"/>
      <c r="E3" s="57" t="s">
        <v>386</v>
      </c>
      <c r="F3" s="55"/>
      <c r="G3" s="55"/>
      <c r="H3" s="55"/>
      <c r="I3" s="56"/>
      <c r="J3" s="57"/>
      <c r="K3" s="97" t="s">
        <v>133</v>
      </c>
      <c r="L3" s="97" t="s">
        <v>134</v>
      </c>
      <c r="M3" s="97" t="s">
        <v>135</v>
      </c>
      <c r="N3" s="97" t="s">
        <v>136</v>
      </c>
      <c r="O3" s="97" t="s">
        <v>137</v>
      </c>
      <c r="P3" s="97" t="s">
        <v>138</v>
      </c>
      <c r="Q3" s="97" t="s">
        <v>139</v>
      </c>
      <c r="R3" s="97" t="s">
        <v>140</v>
      </c>
      <c r="S3" s="97" t="s">
        <v>141</v>
      </c>
      <c r="T3" s="97" t="s">
        <v>142</v>
      </c>
      <c r="U3" s="97" t="s">
        <v>143</v>
      </c>
      <c r="V3" s="97" t="s">
        <v>144</v>
      </c>
      <c r="W3" s="97" t="s">
        <v>145</v>
      </c>
      <c r="X3" s="97" t="s">
        <v>146</v>
      </c>
      <c r="Y3" s="97" t="s">
        <v>147</v>
      </c>
      <c r="Z3" s="97" t="s">
        <v>148</v>
      </c>
      <c r="AA3" s="97" t="s">
        <v>149</v>
      </c>
      <c r="AB3" s="97" t="s">
        <v>150</v>
      </c>
      <c r="AC3" s="97" t="s">
        <v>151</v>
      </c>
      <c r="AD3" s="97" t="s">
        <v>152</v>
      </c>
      <c r="AE3" s="97" t="s">
        <v>153</v>
      </c>
      <c r="AF3" s="97" t="s">
        <v>154</v>
      </c>
      <c r="AG3" s="97" t="s">
        <v>155</v>
      </c>
      <c r="AH3" s="97" t="s">
        <v>156</v>
      </c>
      <c r="AI3" s="97" t="s">
        <v>157</v>
      </c>
    </row>
    <row r="4" spans="1:35" ht="15" customHeight="1">
      <c r="A4" s="224"/>
      <c r="B4" s="53"/>
      <c r="C4" s="53"/>
      <c r="D4" s="53"/>
      <c r="E4" s="57" t="s">
        <v>196</v>
      </c>
      <c r="F4" s="55"/>
      <c r="G4" s="55"/>
      <c r="H4" s="55"/>
      <c r="I4" s="56"/>
      <c r="J4" s="57"/>
      <c r="K4" s="97">
        <v>1</v>
      </c>
      <c r="L4" s="97">
        <v>2</v>
      </c>
      <c r="M4" s="97">
        <v>3</v>
      </c>
      <c r="N4" s="97">
        <v>4</v>
      </c>
      <c r="O4" s="97">
        <v>5</v>
      </c>
      <c r="P4" s="97">
        <v>6</v>
      </c>
      <c r="Q4" s="97">
        <v>7</v>
      </c>
      <c r="R4" s="97">
        <v>8</v>
      </c>
      <c r="S4" s="97">
        <v>9</v>
      </c>
      <c r="T4" s="97">
        <v>10</v>
      </c>
      <c r="U4" s="97">
        <v>11</v>
      </c>
      <c r="V4" s="97">
        <v>12</v>
      </c>
      <c r="W4" s="97">
        <v>13</v>
      </c>
      <c r="X4" s="97">
        <v>14</v>
      </c>
      <c r="Y4" s="97">
        <v>15</v>
      </c>
      <c r="Z4" s="97">
        <v>16</v>
      </c>
      <c r="AA4" s="97">
        <v>17</v>
      </c>
      <c r="AB4" s="97">
        <v>18</v>
      </c>
      <c r="AC4" s="97">
        <v>19</v>
      </c>
      <c r="AD4" s="97">
        <v>20</v>
      </c>
      <c r="AE4" s="97">
        <v>21</v>
      </c>
      <c r="AF4" s="97">
        <v>22</v>
      </c>
      <c r="AG4" s="97">
        <v>23</v>
      </c>
      <c r="AH4" s="97">
        <v>24</v>
      </c>
      <c r="AI4" s="97">
        <v>25</v>
      </c>
    </row>
    <row r="5" spans="1:35" ht="15" customHeight="1">
      <c r="A5" s="13"/>
      <c r="B5" s="13"/>
      <c r="D5" s="13"/>
    </row>
    <row r="6" spans="1:35" ht="15" customHeight="1">
      <c r="A6"/>
      <c r="B6" s="14" t="s">
        <v>444</v>
      </c>
      <c r="C6" s="15"/>
      <c r="D6" s="15"/>
      <c r="E6" s="15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</row>
    <row r="7" spans="1:35" ht="15" customHeight="1">
      <c r="A7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26"/>
      <c r="Q7" s="26"/>
      <c r="R7" s="26"/>
      <c r="S7" s="26"/>
      <c r="T7" s="26"/>
      <c r="U7" s="26"/>
      <c r="V7" s="26"/>
      <c r="W7" s="82"/>
      <c r="X7" s="82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</row>
    <row r="8" spans="1:35" ht="15" customHeight="1">
      <c r="A8"/>
      <c r="B8" s="16"/>
      <c r="C8" s="67" t="s">
        <v>445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</row>
    <row r="9" spans="1:35" ht="15" customHeight="1">
      <c r="A9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26"/>
      <c r="Q9" s="26"/>
      <c r="R9" s="26"/>
      <c r="S9" s="26"/>
      <c r="T9" s="26"/>
      <c r="U9" s="26"/>
      <c r="V9" s="26"/>
      <c r="W9" s="82"/>
      <c r="X9" s="82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</row>
    <row r="10" spans="1:35" ht="15" customHeight="1">
      <c r="A10"/>
      <c r="B10" s="16"/>
      <c r="C10" s="16"/>
      <c r="D10" s="16"/>
      <c r="E10" s="102" t="str">
        <f>Inputs!E195</f>
        <v>UK RPI uplift from 2020/21 term to start of regime</v>
      </c>
      <c r="F10" s="102"/>
      <c r="G10" s="102" t="s">
        <v>265</v>
      </c>
      <c r="H10" s="16"/>
      <c r="I10" s="225">
        <f>Inputs!I195</f>
        <v>1.2869420500428246</v>
      </c>
      <c r="J10" s="16"/>
      <c r="K10" s="16"/>
      <c r="L10" s="16"/>
      <c r="M10" s="16"/>
      <c r="N10" s="16"/>
      <c r="O10" s="16"/>
      <c r="P10" s="26"/>
      <c r="Q10" s="26"/>
      <c r="R10" s="26"/>
      <c r="S10" s="26"/>
      <c r="T10" s="26"/>
      <c r="U10" s="26"/>
      <c r="V10" s="26"/>
      <c r="W10" s="82"/>
      <c r="X10" s="82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</row>
    <row r="11" spans="1:35" ht="15" customHeight="1">
      <c r="A11"/>
      <c r="B11" s="16"/>
      <c r="C11" s="16"/>
      <c r="D11" s="16"/>
      <c r="E11" s="13" t="str">
        <f>Inputs!E192</f>
        <v>Long-term expected UK RPI inflation</v>
      </c>
      <c r="G11" s="26" t="s">
        <v>111</v>
      </c>
      <c r="I11" s="194">
        <f>Inputs!I192</f>
        <v>3.4200000000000001E-2</v>
      </c>
      <c r="J11" s="16"/>
      <c r="K11" s="16"/>
      <c r="L11" s="16"/>
      <c r="M11" s="16"/>
      <c r="N11" s="16"/>
      <c r="O11" s="16"/>
      <c r="P11" s="26"/>
      <c r="Q11" s="26"/>
      <c r="R11" s="26"/>
      <c r="S11" s="26"/>
      <c r="T11" s="26"/>
      <c r="U11" s="26"/>
      <c r="V11" s="26"/>
      <c r="W11" s="82"/>
      <c r="X11" s="82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</row>
    <row r="12" spans="1:35" ht="15" customHeight="1">
      <c r="A12"/>
      <c r="B12" s="16"/>
      <c r="C12" s="16"/>
      <c r="D12" s="16"/>
      <c r="E12" s="13" t="s">
        <v>446</v>
      </c>
      <c r="G12" s="102" t="s">
        <v>265</v>
      </c>
      <c r="J12" s="16"/>
      <c r="K12" s="226">
        <f>I10*(1+$I$11)^0.5</f>
        <v>1.3087637520584792</v>
      </c>
      <c r="L12" s="227">
        <f t="shared" ref="L12:AI12" si="0">K12*(1+$I$11)</f>
        <v>1.3535234723788792</v>
      </c>
      <c r="M12" s="150">
        <f t="shared" si="0"/>
        <v>1.3998139751342369</v>
      </c>
      <c r="N12" s="150">
        <f t="shared" si="0"/>
        <v>1.4476876130838279</v>
      </c>
      <c r="O12" s="150">
        <f t="shared" si="0"/>
        <v>1.4971985294512948</v>
      </c>
      <c r="P12" s="150">
        <f t="shared" si="0"/>
        <v>1.5484027191585292</v>
      </c>
      <c r="Q12" s="150">
        <f t="shared" si="0"/>
        <v>1.6013580921537509</v>
      </c>
      <c r="R12" s="150">
        <f t="shared" si="0"/>
        <v>1.6561245389054091</v>
      </c>
      <c r="S12" s="150">
        <f t="shared" si="0"/>
        <v>1.7127639981359741</v>
      </c>
      <c r="T12" s="150">
        <f t="shared" si="0"/>
        <v>1.7713405268722244</v>
      </c>
      <c r="U12" s="150">
        <f t="shared" si="0"/>
        <v>1.8319203728912545</v>
      </c>
      <c r="V12" s="150">
        <f t="shared" si="0"/>
        <v>1.8945720496441354</v>
      </c>
      <c r="W12" s="150">
        <f t="shared" si="0"/>
        <v>1.9593664137419649</v>
      </c>
      <c r="X12" s="150">
        <f t="shared" si="0"/>
        <v>2.0263767450919401</v>
      </c>
      <c r="Y12" s="150">
        <f t="shared" si="0"/>
        <v>2.0956788297740845</v>
      </c>
      <c r="Z12" s="150">
        <f t="shared" si="0"/>
        <v>2.1673510457523584</v>
      </c>
      <c r="AA12" s="150">
        <f t="shared" si="0"/>
        <v>2.2414744515170892</v>
      </c>
      <c r="AB12" s="150">
        <f t="shared" si="0"/>
        <v>2.3181328777589738</v>
      </c>
      <c r="AC12" s="150">
        <f t="shared" si="0"/>
        <v>2.3974130221783305</v>
      </c>
      <c r="AD12" s="150">
        <f t="shared" si="0"/>
        <v>2.4794045475368294</v>
      </c>
      <c r="AE12" s="150">
        <f t="shared" si="0"/>
        <v>2.5642001830625891</v>
      </c>
      <c r="AF12" s="150">
        <f t="shared" si="0"/>
        <v>2.6518958293233297</v>
      </c>
      <c r="AG12" s="150">
        <f t="shared" si="0"/>
        <v>2.7425906666861875</v>
      </c>
      <c r="AH12" s="150">
        <f t="shared" si="0"/>
        <v>2.8363872674868551</v>
      </c>
      <c r="AI12" s="150">
        <f t="shared" si="0"/>
        <v>2.9333917120349056</v>
      </c>
    </row>
    <row r="13" spans="1:35" ht="15" customHeight="1">
      <c r="A13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26"/>
      <c r="Q13" s="26"/>
      <c r="R13" s="26"/>
      <c r="S13" s="26"/>
      <c r="T13" s="26"/>
      <c r="U13" s="26"/>
      <c r="V13" s="26"/>
      <c r="W13" s="82"/>
      <c r="X13" s="82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</row>
    <row r="14" spans="1:35" ht="15" customHeight="1">
      <c r="A14"/>
      <c r="B14" s="16"/>
      <c r="C14" s="67" t="s">
        <v>447</v>
      </c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</row>
    <row r="15" spans="1:35" ht="15" customHeight="1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6"/>
      <c r="Q15" s="26"/>
      <c r="R15" s="26"/>
      <c r="S15" s="26"/>
      <c r="T15" s="26"/>
      <c r="U15" s="26"/>
      <c r="V15" s="26"/>
      <c r="W15" s="82"/>
      <c r="X15" s="82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</row>
    <row r="16" spans="1:35" ht="15" customHeight="1">
      <c r="A16" s="16"/>
      <c r="B16" s="16"/>
      <c r="C16" s="16"/>
      <c r="D16" s="16"/>
      <c r="E16" s="26" t="s">
        <v>448</v>
      </c>
      <c r="F16" s="16"/>
      <c r="G16" s="13" t="s">
        <v>449</v>
      </c>
      <c r="H16" s="16"/>
      <c r="I16" s="16"/>
      <c r="J16" s="16"/>
      <c r="K16" s="26">
        <f t="shared" ref="K16:AI16" si="1">K38</f>
        <v>28.11373435651684</v>
      </c>
      <c r="L16" s="26">
        <f t="shared" si="1"/>
        <v>27.293959368193622</v>
      </c>
      <c r="M16" s="26">
        <f t="shared" si="1"/>
        <v>28.277422250120232</v>
      </c>
      <c r="N16" s="26">
        <f t="shared" si="1"/>
        <v>29.279808130867242</v>
      </c>
      <c r="O16" s="26">
        <f t="shared" si="1"/>
        <v>32.647340770549462</v>
      </c>
      <c r="P16" s="26">
        <f t="shared" si="1"/>
        <v>31.402943605848868</v>
      </c>
      <c r="Q16" s="26">
        <f t="shared" si="1"/>
        <v>32.544336447262268</v>
      </c>
      <c r="R16" s="26">
        <f t="shared" si="1"/>
        <v>33.702807611570805</v>
      </c>
      <c r="S16" s="26">
        <f t="shared" si="1"/>
        <v>32.719902288423192</v>
      </c>
      <c r="T16" s="26">
        <f t="shared" si="1"/>
        <v>33.921504621703285</v>
      </c>
      <c r="U16" s="26">
        <f t="shared" si="1"/>
        <v>34.765333126361028</v>
      </c>
      <c r="V16" s="26">
        <f t="shared" si="1"/>
        <v>38.633706705802609</v>
      </c>
      <c r="W16" s="26">
        <f t="shared" si="1"/>
        <v>37.068668368829996</v>
      </c>
      <c r="X16" s="26">
        <f t="shared" si="1"/>
        <v>38.336416827043983</v>
      </c>
      <c r="Y16" s="26">
        <f t="shared" si="1"/>
        <v>39.64752228252889</v>
      </c>
      <c r="Z16" s="26">
        <f t="shared" si="1"/>
        <v>44.19615746249346</v>
      </c>
      <c r="AA16" s="26">
        <f t="shared" si="1"/>
        <v>42.405786134616413</v>
      </c>
      <c r="AB16" s="26">
        <f t="shared" si="1"/>
        <v>43.856064020420291</v>
      </c>
      <c r="AC16" s="26">
        <f t="shared" si="1"/>
        <v>45.355941409918657</v>
      </c>
      <c r="AD16" s="26">
        <f t="shared" si="1"/>
        <v>50.559485511550442</v>
      </c>
      <c r="AE16" s="26">
        <f t="shared" si="1"/>
        <v>48.511337925667803</v>
      </c>
      <c r="AF16" s="26">
        <f t="shared" si="1"/>
        <v>50.170425682725636</v>
      </c>
      <c r="AG16" s="26">
        <f t="shared" si="1"/>
        <v>51.886254241074859</v>
      </c>
      <c r="AH16" s="26">
        <f t="shared" si="1"/>
        <v>57.839000536687372</v>
      </c>
      <c r="AI16" s="26">
        <f t="shared" si="1"/>
        <v>55.49596226957491</v>
      </c>
    </row>
    <row r="17" spans="1:35" ht="15" customHeight="1">
      <c r="A17" s="16"/>
      <c r="B17" s="16"/>
      <c r="C17" s="16"/>
      <c r="D17" s="16"/>
      <c r="E17" s="26" t="s">
        <v>450</v>
      </c>
      <c r="F17" s="16"/>
      <c r="G17" s="13" t="s">
        <v>449</v>
      </c>
      <c r="H17" s="16"/>
      <c r="I17" s="16"/>
      <c r="J17" s="16"/>
      <c r="K17" s="26">
        <f t="shared" ref="K17:AI17" si="2">K53</f>
        <v>51.548759999999994</v>
      </c>
      <c r="L17" s="26">
        <f t="shared" si="2"/>
        <v>48.455834399999993</v>
      </c>
      <c r="M17" s="26">
        <f t="shared" si="2"/>
        <v>45.548484335999994</v>
      </c>
      <c r="N17" s="26">
        <f t="shared" si="2"/>
        <v>42.815575275839997</v>
      </c>
      <c r="O17" s="26">
        <f t="shared" si="2"/>
        <v>40.246640759289598</v>
      </c>
      <c r="P17" s="26">
        <f t="shared" si="2"/>
        <v>37.831842313732224</v>
      </c>
      <c r="Q17" s="26">
        <f t="shared" si="2"/>
        <v>35.561931774908288</v>
      </c>
      <c r="R17" s="26">
        <f t="shared" si="2"/>
        <v>33.498405218440311</v>
      </c>
      <c r="S17" s="26">
        <f t="shared" si="2"/>
        <v>31.527410923489651</v>
      </c>
      <c r="T17" s="26">
        <f t="shared" si="2"/>
        <v>29.656508152444836</v>
      </c>
      <c r="U17" s="26">
        <f t="shared" si="2"/>
        <v>27.919149475257079</v>
      </c>
      <c r="V17" s="26">
        <f t="shared" si="2"/>
        <v>26.330170038187617</v>
      </c>
      <c r="W17" s="26">
        <f t="shared" si="2"/>
        <v>24.914383735198221</v>
      </c>
      <c r="X17" s="26">
        <f t="shared" si="2"/>
        <v>23.454920805780898</v>
      </c>
      <c r="Y17" s="26">
        <f t="shared" si="2"/>
        <v>22.084116037095942</v>
      </c>
      <c r="Z17" s="26">
        <f t="shared" si="2"/>
        <v>20.969359460133703</v>
      </c>
      <c r="AA17" s="26">
        <f t="shared" si="2"/>
        <v>19.750227001721079</v>
      </c>
      <c r="AB17" s="26">
        <f t="shared" si="2"/>
        <v>18.605710354150695</v>
      </c>
      <c r="AC17" s="26">
        <f t="shared" si="2"/>
        <v>17.531112083173301</v>
      </c>
      <c r="AD17" s="26">
        <f t="shared" si="2"/>
        <v>16.529391304059068</v>
      </c>
      <c r="AE17" s="26">
        <f t="shared" si="2"/>
        <v>15.669267264324574</v>
      </c>
      <c r="AF17" s="26">
        <f t="shared" si="2"/>
        <v>14.894645995586039</v>
      </c>
      <c r="AG17" s="26">
        <f t="shared" si="2"/>
        <v>14.048721904897377</v>
      </c>
      <c r="AH17" s="26">
        <f t="shared" si="2"/>
        <v>13.261047887254097</v>
      </c>
      <c r="AI17" s="26">
        <f t="shared" si="2"/>
        <v>210.72093747321239</v>
      </c>
    </row>
    <row r="18" spans="1:35" ht="15" customHeight="1">
      <c r="A18" s="16"/>
      <c r="B18" s="16"/>
      <c r="C18" s="16"/>
      <c r="D18" s="16"/>
      <c r="E18" s="26" t="s">
        <v>451</v>
      </c>
      <c r="F18" s="16"/>
      <c r="G18" s="13" t="s">
        <v>449</v>
      </c>
      <c r="H18" s="16"/>
      <c r="I18" s="16"/>
      <c r="J18" s="16"/>
      <c r="K18" s="26">
        <f t="shared" ref="K18:AI18" si="3">K69</f>
        <v>27.837880722056831</v>
      </c>
      <c r="L18" s="26">
        <f t="shared" si="3"/>
        <v>27.228540232313101</v>
      </c>
      <c r="M18" s="26">
        <f t="shared" si="3"/>
        <v>26.590672102619319</v>
      </c>
      <c r="N18" s="26">
        <f t="shared" si="3"/>
        <v>25.922940747609314</v>
      </c>
      <c r="O18" s="26">
        <f t="shared" si="3"/>
        <v>25.223948053496283</v>
      </c>
      <c r="P18" s="26">
        <f t="shared" si="3"/>
        <v>24.492230450664714</v>
      </c>
      <c r="Q18" s="26">
        <f t="shared" si="3"/>
        <v>23.726255849209149</v>
      </c>
      <c r="R18" s="26">
        <f t="shared" si="3"/>
        <v>22.924420431003341</v>
      </c>
      <c r="S18" s="26">
        <f t="shared" si="3"/>
        <v>22.085045291582887</v>
      </c>
      <c r="T18" s="26">
        <f t="shared" si="3"/>
        <v>21.206372924810157</v>
      </c>
      <c r="U18" s="26">
        <f t="shared" si="3"/>
        <v>20.286563542960856</v>
      </c>
      <c r="V18" s="26">
        <f t="shared" si="3"/>
        <v>19.323691224527266</v>
      </c>
      <c r="W18" s="26">
        <f t="shared" si="3"/>
        <v>18.315739881672211</v>
      </c>
      <c r="X18" s="26">
        <f t="shared" si="3"/>
        <v>17.26059903889039</v>
      </c>
      <c r="Y18" s="26">
        <f t="shared" si="3"/>
        <v>16.156059414038253</v>
      </c>
      <c r="Z18" s="26">
        <f t="shared" si="3"/>
        <v>14.999808292479901</v>
      </c>
      <c r="AA18" s="26">
        <f t="shared" si="3"/>
        <v>13.789424684663283</v>
      </c>
      <c r="AB18" s="26">
        <f t="shared" si="3"/>
        <v>12.522374256987449</v>
      </c>
      <c r="AC18" s="26">
        <f t="shared" si="3"/>
        <v>11.196004025347014</v>
      </c>
      <c r="AD18" s="26">
        <f t="shared" si="3"/>
        <v>9.8075368002430121</v>
      </c>
      <c r="AE18" s="26">
        <f t="shared" si="3"/>
        <v>8.3540653718291829</v>
      </c>
      <c r="AF18" s="26">
        <f t="shared" si="3"/>
        <v>6.8325464227181598</v>
      </c>
      <c r="AG18" s="26">
        <f t="shared" si="3"/>
        <v>5.2397941558020591</v>
      </c>
      <c r="AH18" s="26">
        <f t="shared" si="3"/>
        <v>3.5724736237452026</v>
      </c>
      <c r="AI18" s="26">
        <f t="shared" si="3"/>
        <v>1.8270937461821126</v>
      </c>
    </row>
    <row r="19" spans="1:35" ht="15" customHeight="1">
      <c r="A19" s="16"/>
      <c r="B19" s="16"/>
      <c r="C19" s="16"/>
      <c r="D19" s="16"/>
      <c r="E19" s="26" t="s">
        <v>176</v>
      </c>
      <c r="F19" s="16"/>
      <c r="G19" s="13" t="s">
        <v>449</v>
      </c>
      <c r="H19" s="16"/>
      <c r="I19" s="16"/>
      <c r="J19" s="16"/>
      <c r="K19" s="228">
        <f>SUMPRODUCT(Finance!K43:AX43,Inputs!K183:AX183)+SUMPRODUCT(Finance!K45:AX45,Inputs!K183:AX183)</f>
        <v>12.487419302501213</v>
      </c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H19" s="184"/>
      <c r="AI19" s="184"/>
    </row>
    <row r="20" spans="1:35" ht="15" customHeight="1">
      <c r="A20" s="16"/>
      <c r="B20" s="16"/>
      <c r="C20" s="16"/>
      <c r="D20" s="16"/>
      <c r="E20" s="16" t="s">
        <v>452</v>
      </c>
      <c r="F20" s="16"/>
      <c r="G20" s="13" t="s">
        <v>449</v>
      </c>
      <c r="H20" s="16"/>
      <c r="I20" s="16"/>
      <c r="J20" s="16"/>
      <c r="K20" s="20">
        <f t="shared" ref="K20:AI20" si="4">SUM(K16:K19)</f>
        <v>119.98779438107486</v>
      </c>
      <c r="L20" s="20">
        <f t="shared" si="4"/>
        <v>102.97833400050672</v>
      </c>
      <c r="M20" s="20">
        <f t="shared" si="4"/>
        <v>100.41657868873955</v>
      </c>
      <c r="N20" s="20">
        <f t="shared" si="4"/>
        <v>98.018324154316559</v>
      </c>
      <c r="O20" s="20">
        <f t="shared" si="4"/>
        <v>98.117929583335354</v>
      </c>
      <c r="P20" s="20">
        <f t="shared" si="4"/>
        <v>93.727016370245821</v>
      </c>
      <c r="Q20" s="20">
        <f t="shared" si="4"/>
        <v>91.832524071379709</v>
      </c>
      <c r="R20" s="20">
        <f t="shared" si="4"/>
        <v>90.125633261014457</v>
      </c>
      <c r="S20" s="20">
        <f t="shared" si="4"/>
        <v>86.332358503495726</v>
      </c>
      <c r="T20" s="20">
        <f t="shared" si="4"/>
        <v>84.784385698958275</v>
      </c>
      <c r="U20" s="20">
        <f t="shared" si="4"/>
        <v>82.971046144578963</v>
      </c>
      <c r="V20" s="20">
        <f t="shared" si="4"/>
        <v>84.287567968517493</v>
      </c>
      <c r="W20" s="20">
        <f t="shared" si="4"/>
        <v>80.298791985700433</v>
      </c>
      <c r="X20" s="20">
        <f t="shared" si="4"/>
        <v>79.051936671715268</v>
      </c>
      <c r="Y20" s="20">
        <f t="shared" si="4"/>
        <v>77.887697733663089</v>
      </c>
      <c r="Z20" s="20">
        <f t="shared" si="4"/>
        <v>80.16532521510706</v>
      </c>
      <c r="AA20" s="20">
        <f t="shared" si="4"/>
        <v>75.94543782100078</v>
      </c>
      <c r="AB20" s="20">
        <f t="shared" si="4"/>
        <v>74.98414863155844</v>
      </c>
      <c r="AC20" s="20">
        <f t="shared" si="4"/>
        <v>74.083057518438963</v>
      </c>
      <c r="AD20" s="20">
        <f t="shared" si="4"/>
        <v>76.896413615852524</v>
      </c>
      <c r="AE20" s="20">
        <f t="shared" si="4"/>
        <v>72.534670561821557</v>
      </c>
      <c r="AF20" s="20">
        <f t="shared" si="4"/>
        <v>71.897618101029849</v>
      </c>
      <c r="AG20" s="20">
        <f t="shared" si="4"/>
        <v>71.174770301774288</v>
      </c>
      <c r="AH20" s="20">
        <f t="shared" si="4"/>
        <v>74.67252204768667</v>
      </c>
      <c r="AI20" s="20">
        <f t="shared" si="4"/>
        <v>268.04399348896942</v>
      </c>
    </row>
    <row r="21" spans="1:35" ht="1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82"/>
      <c r="X21" s="82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</row>
    <row r="22" spans="1:35" ht="15" customHeight="1">
      <c r="A22" s="125"/>
      <c r="B22" s="16"/>
      <c r="C22" s="67" t="s">
        <v>453</v>
      </c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</row>
    <row r="23" spans="1:35" ht="15" customHeight="1">
      <c r="A23" s="119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26"/>
      <c r="Q23" s="26"/>
      <c r="R23" s="26"/>
      <c r="S23" s="26"/>
      <c r="T23" s="26"/>
      <c r="U23" s="26"/>
      <c r="V23" s="26"/>
      <c r="W23" s="82"/>
      <c r="X23" s="82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</row>
    <row r="24" spans="1:35" ht="15" customHeight="1">
      <c r="A24" s="119"/>
      <c r="B24" s="16"/>
      <c r="C24" s="16"/>
      <c r="D24" s="16"/>
      <c r="E24" s="16" t="s">
        <v>454</v>
      </c>
      <c r="F24" s="16"/>
      <c r="G24" s="16" t="s">
        <v>247</v>
      </c>
      <c r="H24" s="16"/>
      <c r="I24" s="16"/>
      <c r="J24" s="16"/>
      <c r="K24" s="16" t="b">
        <f>OR(Allowances_Floor!K56,Allowances_Floor!K74)</f>
        <v>1</v>
      </c>
      <c r="L24" s="16" t="b">
        <f>OR(Allowances_Floor!L56,Allowances_Floor!L74)</f>
        <v>1</v>
      </c>
      <c r="M24" s="16" t="b">
        <f>OR(Allowances_Floor!M56,Allowances_Floor!M74)</f>
        <v>1</v>
      </c>
      <c r="N24" s="16" t="b">
        <f>OR(Allowances_Floor!N56,Allowances_Floor!N74)</f>
        <v>1</v>
      </c>
      <c r="O24" s="16" t="b">
        <f>OR(Allowances_Floor!O56,Allowances_Floor!O74)</f>
        <v>1</v>
      </c>
      <c r="P24" s="16" t="b">
        <f>OR(Allowances_Floor!P56,Allowances_Floor!P74)</f>
        <v>1</v>
      </c>
      <c r="Q24" s="16" t="b">
        <f>OR(Allowances_Floor!Q56,Allowances_Floor!Q74)</f>
        <v>1</v>
      </c>
      <c r="R24" s="16" t="b">
        <f>OR(Allowances_Floor!R56,Allowances_Floor!R74)</f>
        <v>1</v>
      </c>
      <c r="S24" s="16" t="b">
        <f>OR(Allowances_Floor!S56,Allowances_Floor!S74)</f>
        <v>1</v>
      </c>
      <c r="T24" s="16" t="b">
        <f>OR(Allowances_Floor!T56,Allowances_Floor!T74)</f>
        <v>1</v>
      </c>
      <c r="U24" s="16" t="b">
        <f>OR(Allowances_Floor!U56,Allowances_Floor!U74)</f>
        <v>1</v>
      </c>
      <c r="V24" s="16" t="b">
        <f>OR(Allowances_Floor!V56,Allowances_Floor!V74)</f>
        <v>1</v>
      </c>
      <c r="W24" s="16" t="b">
        <f>OR(Allowances_Floor!W56,Allowances_Floor!W74)</f>
        <v>1</v>
      </c>
      <c r="X24" s="16" t="b">
        <f>OR(Allowances_Floor!X56,Allowances_Floor!X74)</f>
        <v>1</v>
      </c>
      <c r="Y24" s="16" t="b">
        <f>OR(Allowances_Floor!Y56,Allowances_Floor!Y74)</f>
        <v>1</v>
      </c>
      <c r="Z24" s="16" t="b">
        <f>OR(Allowances_Floor!Z56,Allowances_Floor!Z74)</f>
        <v>1</v>
      </c>
      <c r="AA24" s="16" t="b">
        <f>OR(Allowances_Floor!AA56,Allowances_Floor!AA74)</f>
        <v>1</v>
      </c>
      <c r="AB24" s="16" t="b">
        <f>OR(Allowances_Floor!AB56,Allowances_Floor!AB74)</f>
        <v>1</v>
      </c>
      <c r="AC24" s="16" t="b">
        <f>OR(Allowances_Floor!AC56,Allowances_Floor!AC74)</f>
        <v>1</v>
      </c>
      <c r="AD24" s="16" t="b">
        <f>OR(Allowances_Floor!AD56,Allowances_Floor!AD74)</f>
        <v>1</v>
      </c>
      <c r="AE24" s="16" t="b">
        <f>OR(Allowances_Floor!AE56,Allowances_Floor!AE74)</f>
        <v>1</v>
      </c>
      <c r="AF24" s="16" t="b">
        <f>OR(Allowances_Floor!AF56,Allowances_Floor!AF74)</f>
        <v>1</v>
      </c>
      <c r="AG24" s="16" t="b">
        <f>OR(Allowances_Floor!AG56,Allowances_Floor!AG74)</f>
        <v>1</v>
      </c>
      <c r="AH24" s="16" t="b">
        <f>OR(Allowances_Floor!AH56,Allowances_Floor!AH74)</f>
        <v>1</v>
      </c>
      <c r="AI24" s="16" t="b">
        <f>OR(Allowances_Floor!AI56,Allowances_Floor!AI74)</f>
        <v>1</v>
      </c>
    </row>
    <row r="25" spans="1:35" ht="15" customHeight="1">
      <c r="A25" s="119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26"/>
      <c r="Q25" s="26"/>
      <c r="R25" s="26"/>
      <c r="S25" s="26"/>
      <c r="T25" s="26"/>
      <c r="U25" s="26"/>
      <c r="V25" s="26"/>
      <c r="W25" s="82"/>
      <c r="X25" s="82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</row>
    <row r="26" spans="1:35" ht="15" customHeight="1">
      <c r="A26" s="119"/>
      <c r="B26" s="16"/>
      <c r="C26" s="16"/>
      <c r="D26" s="16"/>
      <c r="E26" s="26" t="s">
        <v>448</v>
      </c>
      <c r="F26" s="16"/>
      <c r="G26" s="13" t="s">
        <v>449</v>
      </c>
      <c r="H26" s="16"/>
      <c r="I26" s="16"/>
      <c r="J26" s="16"/>
      <c r="K26" s="26">
        <f t="shared" ref="K26:AI26" si="5">K38*K$24</f>
        <v>28.11373435651684</v>
      </c>
      <c r="L26" s="26">
        <f t="shared" si="5"/>
        <v>27.293959368193622</v>
      </c>
      <c r="M26" s="26">
        <f t="shared" si="5"/>
        <v>28.277422250120232</v>
      </c>
      <c r="N26" s="26">
        <f t="shared" si="5"/>
        <v>29.279808130867242</v>
      </c>
      <c r="O26" s="26">
        <f t="shared" si="5"/>
        <v>32.647340770549462</v>
      </c>
      <c r="P26" s="26">
        <f t="shared" si="5"/>
        <v>31.402943605848868</v>
      </c>
      <c r="Q26" s="26">
        <f t="shared" si="5"/>
        <v>32.544336447262268</v>
      </c>
      <c r="R26" s="26">
        <f t="shared" si="5"/>
        <v>33.702807611570805</v>
      </c>
      <c r="S26" s="26">
        <f t="shared" si="5"/>
        <v>32.719902288423192</v>
      </c>
      <c r="T26" s="26">
        <f t="shared" si="5"/>
        <v>33.921504621703285</v>
      </c>
      <c r="U26" s="26">
        <f t="shared" si="5"/>
        <v>34.765333126361028</v>
      </c>
      <c r="V26" s="26">
        <f t="shared" si="5"/>
        <v>38.633706705802609</v>
      </c>
      <c r="W26" s="26">
        <f t="shared" si="5"/>
        <v>37.068668368829996</v>
      </c>
      <c r="X26" s="26">
        <f t="shared" si="5"/>
        <v>38.336416827043983</v>
      </c>
      <c r="Y26" s="26">
        <f t="shared" si="5"/>
        <v>39.64752228252889</v>
      </c>
      <c r="Z26" s="26">
        <f t="shared" si="5"/>
        <v>44.19615746249346</v>
      </c>
      <c r="AA26" s="26">
        <f t="shared" si="5"/>
        <v>42.405786134616413</v>
      </c>
      <c r="AB26" s="26">
        <f t="shared" si="5"/>
        <v>43.856064020420291</v>
      </c>
      <c r="AC26" s="26">
        <f t="shared" si="5"/>
        <v>45.355941409918657</v>
      </c>
      <c r="AD26" s="26">
        <f t="shared" si="5"/>
        <v>50.559485511550442</v>
      </c>
      <c r="AE26" s="26">
        <f t="shared" si="5"/>
        <v>48.511337925667803</v>
      </c>
      <c r="AF26" s="26">
        <f t="shared" si="5"/>
        <v>50.170425682725636</v>
      </c>
      <c r="AG26" s="26">
        <f t="shared" si="5"/>
        <v>51.886254241074859</v>
      </c>
      <c r="AH26" s="26">
        <f t="shared" si="5"/>
        <v>57.839000536687372</v>
      </c>
      <c r="AI26" s="26">
        <f t="shared" si="5"/>
        <v>55.49596226957491</v>
      </c>
    </row>
    <row r="27" spans="1:35" ht="15" customHeight="1">
      <c r="A27" s="119"/>
      <c r="B27" s="16"/>
      <c r="C27" s="16"/>
      <c r="D27" s="16"/>
      <c r="E27" s="26" t="s">
        <v>450</v>
      </c>
      <c r="F27" s="16"/>
      <c r="G27" s="13" t="s">
        <v>449</v>
      </c>
      <c r="H27" s="16"/>
      <c r="I27" s="16"/>
      <c r="J27" s="16"/>
      <c r="K27" s="26">
        <f t="shared" ref="K27:AI27" si="6">K53*K$24</f>
        <v>51.548759999999994</v>
      </c>
      <c r="L27" s="26">
        <f t="shared" si="6"/>
        <v>48.455834399999993</v>
      </c>
      <c r="M27" s="26">
        <f t="shared" si="6"/>
        <v>45.548484335999994</v>
      </c>
      <c r="N27" s="26">
        <f t="shared" si="6"/>
        <v>42.815575275839997</v>
      </c>
      <c r="O27" s="26">
        <f t="shared" si="6"/>
        <v>40.246640759289598</v>
      </c>
      <c r="P27" s="26">
        <f t="shared" si="6"/>
        <v>37.831842313732224</v>
      </c>
      <c r="Q27" s="26">
        <f t="shared" si="6"/>
        <v>35.561931774908288</v>
      </c>
      <c r="R27" s="26">
        <f t="shared" si="6"/>
        <v>33.498405218440311</v>
      </c>
      <c r="S27" s="26">
        <f t="shared" si="6"/>
        <v>31.527410923489651</v>
      </c>
      <c r="T27" s="26">
        <f t="shared" si="6"/>
        <v>29.656508152444836</v>
      </c>
      <c r="U27" s="26">
        <f t="shared" si="6"/>
        <v>27.919149475257079</v>
      </c>
      <c r="V27" s="26">
        <f t="shared" si="6"/>
        <v>26.330170038187617</v>
      </c>
      <c r="W27" s="26">
        <f t="shared" si="6"/>
        <v>24.914383735198221</v>
      </c>
      <c r="X27" s="26">
        <f t="shared" si="6"/>
        <v>23.454920805780898</v>
      </c>
      <c r="Y27" s="26">
        <f t="shared" si="6"/>
        <v>22.084116037095942</v>
      </c>
      <c r="Z27" s="26">
        <f t="shared" si="6"/>
        <v>20.969359460133703</v>
      </c>
      <c r="AA27" s="26">
        <f t="shared" si="6"/>
        <v>19.750227001721079</v>
      </c>
      <c r="AB27" s="26">
        <f t="shared" si="6"/>
        <v>18.605710354150695</v>
      </c>
      <c r="AC27" s="26">
        <f t="shared" si="6"/>
        <v>17.531112083173301</v>
      </c>
      <c r="AD27" s="26">
        <f t="shared" si="6"/>
        <v>16.529391304059068</v>
      </c>
      <c r="AE27" s="26">
        <f t="shared" si="6"/>
        <v>15.669267264324574</v>
      </c>
      <c r="AF27" s="26">
        <f t="shared" si="6"/>
        <v>14.894645995586039</v>
      </c>
      <c r="AG27" s="26">
        <f t="shared" si="6"/>
        <v>14.048721904897377</v>
      </c>
      <c r="AH27" s="26">
        <f t="shared" si="6"/>
        <v>13.261047887254097</v>
      </c>
      <c r="AI27" s="26">
        <f t="shared" si="6"/>
        <v>210.72093747321239</v>
      </c>
    </row>
    <row r="28" spans="1:35" ht="15" customHeight="1">
      <c r="A28" s="119"/>
      <c r="B28" s="16"/>
      <c r="C28" s="16"/>
      <c r="D28" s="16"/>
      <c r="E28" s="26" t="s">
        <v>374</v>
      </c>
      <c r="F28" s="16"/>
      <c r="G28" s="13" t="s">
        <v>449</v>
      </c>
      <c r="H28" s="16"/>
      <c r="I28" s="16"/>
      <c r="J28" s="16"/>
      <c r="K28" s="26">
        <f>SUMIF(Finance!10:10,Tax_Deductions!K4,Finance!140:140)*K$24</f>
        <v>53.401593704433971</v>
      </c>
      <c r="L28" s="26">
        <f>SUMIF(Finance!10:10,Tax_Deductions!L4,Finance!140:140)*L$24</f>
        <v>53.910245638283079</v>
      </c>
      <c r="M28" s="26">
        <f>SUMIF(Finance!10:10,Tax_Deductions!M4,Finance!140:140)*M$24</f>
        <v>51.634982755485659</v>
      </c>
      <c r="N28" s="26">
        <f>SUMIF(Finance!10:10,Tax_Deductions!N4,Finance!140:140)*N$24</f>
        <v>49.742101091386829</v>
      </c>
      <c r="O28" s="26">
        <f>SUMIF(Finance!10:10,Tax_Deductions!O4,Finance!140:140)*O$24</f>
        <v>47.127565517107499</v>
      </c>
      <c r="P28" s="26">
        <f>SUMIF(Finance!10:10,Tax_Deductions!P4,Finance!140:140)*P$24</f>
        <v>44.242522682714295</v>
      </c>
      <c r="Q28" s="26">
        <f>SUMIF(Finance!10:10,Tax_Deductions!Q4,Finance!140:140)*Q$24</f>
        <v>43.145019769196821</v>
      </c>
      <c r="R28" s="26">
        <f>SUMIF(Finance!10:10,Tax_Deductions!R4,Finance!140:140)*R$24</f>
        <v>39.721976670318504</v>
      </c>
      <c r="S28" s="26">
        <f>SUMIF(Finance!10:10,Tax_Deductions!S4,Finance!140:140)*S$24</f>
        <v>36.039957792422904</v>
      </c>
      <c r="T28" s="26">
        <f>SUMIF(Finance!10:10,Tax_Deductions!T4,Finance!140:140)*T$24</f>
        <v>32.08401340074267</v>
      </c>
      <c r="U28" s="26">
        <f>SUMIF(Finance!10:10,Tax_Deductions!U4,Finance!140:140)*U$24</f>
        <v>27.841273557351588</v>
      </c>
      <c r="V28" s="26">
        <f>SUMIF(Finance!10:10,Tax_Deductions!V4,Finance!140:140)*V$24</f>
        <v>28.091762645517917</v>
      </c>
      <c r="W28" s="26">
        <f>SUMIF(Finance!10:10,Tax_Deductions!W4,Finance!140:140)*W$24</f>
        <v>23.528933301292724</v>
      </c>
      <c r="X28" s="26">
        <f>SUMIF(Finance!10:10,Tax_Deductions!X4,Finance!140:140)*X$24</f>
        <v>18.303956660271528</v>
      </c>
      <c r="Y28" s="26">
        <f>SUMIF(Finance!10:10,Tax_Deductions!Y4,Finance!140:140)*Y$24</f>
        <v>12.728671515772366</v>
      </c>
      <c r="Z28" s="26">
        <f>SUMIF(Finance!10:10,Tax_Deductions!Z4,Finance!140:140)*Z$24</f>
        <v>6.7913976381988332</v>
      </c>
      <c r="AA28" s="26">
        <f>SUMIF(Finance!10:10,Tax_Deductions!AA4,Finance!140:140)*AA$24</f>
        <v>-0.24382909875634351</v>
      </c>
      <c r="AB28" s="26">
        <f>SUMIF(Finance!10:10,Tax_Deductions!AB4,Finance!140:140)*AB$24</f>
        <v>-0.24382909875634351</v>
      </c>
      <c r="AC28" s="26">
        <f>SUMIF(Finance!10:10,Tax_Deductions!AC4,Finance!140:140)*AC$24</f>
        <v>-0.24382909875634351</v>
      </c>
      <c r="AD28" s="26">
        <f>SUMIF(Finance!10:10,Tax_Deductions!AD4,Finance!140:140)*AD$24</f>
        <v>-0.24382909875634351</v>
      </c>
      <c r="AE28" s="26">
        <f>SUMIF(Finance!10:10,Tax_Deductions!AE4,Finance!140:140)*AE$24</f>
        <v>-0.24382909875634351</v>
      </c>
      <c r="AF28" s="26">
        <f>SUMIF(Finance!10:10,Tax_Deductions!AF4,Finance!140:140)*AF$24</f>
        <v>-0.24382909875634351</v>
      </c>
      <c r="AG28" s="26">
        <f>SUMIF(Finance!10:10,Tax_Deductions!AG4,Finance!140:140)*AG$24</f>
        <v>-0.24382909875634351</v>
      </c>
      <c r="AH28" s="26">
        <f>SUMIF(Finance!10:10,Tax_Deductions!AH4,Finance!140:140)*AH$24</f>
        <v>-0.24382909875634351</v>
      </c>
      <c r="AI28" s="26">
        <f>SUMIF(Finance!10:10,Tax_Deductions!AI4,Finance!140:140)*AI$24</f>
        <v>0</v>
      </c>
    </row>
    <row r="29" spans="1:35" s="185" customFormat="1" ht="15" customHeight="1">
      <c r="A29" s="119"/>
      <c r="B29" s="16"/>
      <c r="C29" s="16"/>
      <c r="D29" s="16"/>
      <c r="E29" s="26" t="s">
        <v>176</v>
      </c>
      <c r="F29" s="16"/>
      <c r="G29" s="13" t="s">
        <v>449</v>
      </c>
      <c r="H29" s="16"/>
      <c r="I29" s="16"/>
      <c r="J29" s="16"/>
      <c r="K29" s="228">
        <f>IF(Inputs!I128=1,Tax_Deductions!K19,SUMPRODUCT(Finance!108:108,Finance!14:14)+SUMPRODUCT(Finance!109:109,Finance!14:14))</f>
        <v>25.491999999999997</v>
      </c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184"/>
      <c r="AG29" s="184"/>
      <c r="AH29" s="184"/>
      <c r="AI29" s="184"/>
    </row>
    <row r="30" spans="1:35" ht="15" customHeight="1">
      <c r="A30" s="119"/>
      <c r="B30" s="16"/>
      <c r="C30" s="16"/>
      <c r="D30" s="16"/>
      <c r="E30" s="16" t="s">
        <v>452</v>
      </c>
      <c r="F30" s="16"/>
      <c r="G30" s="13" t="s">
        <v>449</v>
      </c>
      <c r="H30" s="16"/>
      <c r="I30" s="16"/>
      <c r="J30" s="16"/>
      <c r="K30" s="20">
        <f t="shared" ref="K30:AI30" si="7">SUM(K26:K29)</f>
        <v>158.5560880609508</v>
      </c>
      <c r="L30" s="20">
        <f t="shared" si="7"/>
        <v>129.6600394064767</v>
      </c>
      <c r="M30" s="20">
        <f t="shared" si="7"/>
        <v>125.46088934160588</v>
      </c>
      <c r="N30" s="20">
        <f t="shared" si="7"/>
        <v>121.83748449809407</v>
      </c>
      <c r="O30" s="20">
        <f t="shared" si="7"/>
        <v>120.02154704694657</v>
      </c>
      <c r="P30" s="20">
        <f t="shared" si="7"/>
        <v>113.47730860229539</v>
      </c>
      <c r="Q30" s="20">
        <f t="shared" si="7"/>
        <v>111.25128799136738</v>
      </c>
      <c r="R30" s="20">
        <f t="shared" si="7"/>
        <v>106.92318950032961</v>
      </c>
      <c r="S30" s="20">
        <f t="shared" si="7"/>
        <v>100.28727100433574</v>
      </c>
      <c r="T30" s="20">
        <f t="shared" si="7"/>
        <v>95.662026174890798</v>
      </c>
      <c r="U30" s="20">
        <f t="shared" si="7"/>
        <v>90.525756158969699</v>
      </c>
      <c r="V30" s="20">
        <f t="shared" si="7"/>
        <v>93.055639389508144</v>
      </c>
      <c r="W30" s="20">
        <f t="shared" si="7"/>
        <v>85.511985405320942</v>
      </c>
      <c r="X30" s="20">
        <f t="shared" si="7"/>
        <v>80.095294293096401</v>
      </c>
      <c r="Y30" s="20">
        <f t="shared" si="7"/>
        <v>74.460309835397197</v>
      </c>
      <c r="Z30" s="20">
        <f t="shared" si="7"/>
        <v>71.956914560825993</v>
      </c>
      <c r="AA30" s="20">
        <f t="shared" si="7"/>
        <v>61.912184037581149</v>
      </c>
      <c r="AB30" s="20">
        <f t="shared" si="7"/>
        <v>62.217945275814643</v>
      </c>
      <c r="AC30" s="20">
        <f t="shared" si="7"/>
        <v>62.643224394335611</v>
      </c>
      <c r="AD30" s="20">
        <f t="shared" si="7"/>
        <v>66.845047716853159</v>
      </c>
      <c r="AE30" s="20">
        <f t="shared" si="7"/>
        <v>63.936776091236034</v>
      </c>
      <c r="AF30" s="20">
        <f t="shared" si="7"/>
        <v>64.821242579555332</v>
      </c>
      <c r="AG30" s="20">
        <f t="shared" si="7"/>
        <v>65.691147047215878</v>
      </c>
      <c r="AH30" s="20">
        <f t="shared" si="7"/>
        <v>70.856219325185123</v>
      </c>
      <c r="AI30" s="20">
        <f t="shared" si="7"/>
        <v>266.21689974278729</v>
      </c>
    </row>
    <row r="31" spans="1:35" ht="15" customHeight="1">
      <c r="A31" s="119"/>
      <c r="B31" s="16"/>
      <c r="C31" s="16"/>
      <c r="D31" s="16"/>
      <c r="E31" s="16"/>
      <c r="F31" s="16"/>
      <c r="G31" s="16"/>
      <c r="H31" s="16"/>
      <c r="I31" s="16"/>
      <c r="J31" s="1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82"/>
      <c r="X31" s="82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</row>
    <row r="32" spans="1:35" ht="15" customHeight="1">
      <c r="A32"/>
      <c r="B32" s="14" t="s">
        <v>455</v>
      </c>
      <c r="C32" s="15"/>
      <c r="D32" s="15"/>
      <c r="E32" s="15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</row>
    <row r="33" spans="1:35" ht="15" customHeight="1">
      <c r="A33" s="13"/>
      <c r="B33" s="13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</row>
    <row r="34" spans="1:35" ht="15" customHeight="1">
      <c r="A34"/>
      <c r="B34" s="16"/>
      <c r="C34" s="67" t="s">
        <v>456</v>
      </c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</row>
    <row r="35" spans="1:35" ht="15" customHeight="1">
      <c r="A35" s="13"/>
      <c r="C35" s="122"/>
      <c r="D35" s="13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146"/>
      <c r="AI35" s="146"/>
    </row>
    <row r="36" spans="1:35" ht="15" customHeight="1">
      <c r="A36" s="13"/>
      <c r="C36" s="122"/>
      <c r="D36" s="13"/>
      <c r="E36" s="146" t="s">
        <v>161</v>
      </c>
      <c r="G36" s="13" t="s">
        <v>449</v>
      </c>
      <c r="K36" s="19">
        <f>Inputs!K61* K$12</f>
        <v>28.11373435651684</v>
      </c>
      <c r="L36" s="19">
        <f>Inputs!L61* L$12</f>
        <v>27.293959368193622</v>
      </c>
      <c r="M36" s="19">
        <f>Inputs!M61* M$12</f>
        <v>28.277422250120232</v>
      </c>
      <c r="N36" s="19">
        <f>Inputs!N61* N$12</f>
        <v>29.279808130867242</v>
      </c>
      <c r="O36" s="19">
        <f>Inputs!O61* O$12</f>
        <v>32.647340770549462</v>
      </c>
      <c r="P36" s="19">
        <f>Inputs!P61* P$12</f>
        <v>31.402943605848868</v>
      </c>
      <c r="Q36" s="19">
        <f>Inputs!Q61* Q$12</f>
        <v>32.544336447262268</v>
      </c>
      <c r="R36" s="19">
        <f>Inputs!R61* R$12</f>
        <v>33.702807611570805</v>
      </c>
      <c r="S36" s="19">
        <f>Inputs!S61* S$12</f>
        <v>32.719902288423192</v>
      </c>
      <c r="T36" s="19">
        <f>Inputs!T61* T$12</f>
        <v>33.921504621703285</v>
      </c>
      <c r="U36" s="19">
        <f>Inputs!U61* U$12</f>
        <v>34.765333126361028</v>
      </c>
      <c r="V36" s="19">
        <f>Inputs!V61* V$12</f>
        <v>38.633706705802609</v>
      </c>
      <c r="W36" s="19">
        <f>Inputs!W61* W$12</f>
        <v>37.068668368829996</v>
      </c>
      <c r="X36" s="19">
        <f>Inputs!X61* X$12</f>
        <v>38.336416827043983</v>
      </c>
      <c r="Y36" s="19">
        <f>Inputs!Y61* Y$12</f>
        <v>39.64752228252889</v>
      </c>
      <c r="Z36" s="19">
        <f>Inputs!Z61* Z$12</f>
        <v>44.19615746249346</v>
      </c>
      <c r="AA36" s="19">
        <f>Inputs!AA61* AA$12</f>
        <v>42.405786134616413</v>
      </c>
      <c r="AB36" s="19">
        <f>Inputs!AB61* AB$12</f>
        <v>43.856064020420291</v>
      </c>
      <c r="AC36" s="19">
        <f>Inputs!AC61* AC$12</f>
        <v>45.355941409918657</v>
      </c>
      <c r="AD36" s="19">
        <f>Inputs!AD61* AD$12</f>
        <v>50.559485511550442</v>
      </c>
      <c r="AE36" s="19">
        <f>Inputs!AE61* AE$12</f>
        <v>48.511337925667803</v>
      </c>
      <c r="AF36" s="19">
        <f>Inputs!AF61* AF$12</f>
        <v>50.170425682725636</v>
      </c>
      <c r="AG36" s="19">
        <f>Inputs!AG61* AG$12</f>
        <v>51.886254241074859</v>
      </c>
      <c r="AH36" s="19">
        <f>Inputs!AH61* AH$12</f>
        <v>57.839000536687372</v>
      </c>
      <c r="AI36" s="19">
        <f>Inputs!AI61* AI$12</f>
        <v>55.49596226957491</v>
      </c>
    </row>
    <row r="37" spans="1:35" ht="15" customHeight="1">
      <c r="A37" s="13"/>
      <c r="C37" s="122"/>
      <c r="D37" s="13"/>
      <c r="E37" s="146" t="s">
        <v>407</v>
      </c>
      <c r="G37" s="13" t="s">
        <v>449</v>
      </c>
      <c r="K37" s="19">
        <f>Inputs!K62* K$12</f>
        <v>0</v>
      </c>
      <c r="L37" s="19">
        <f>Inputs!L62* L$12</f>
        <v>0</v>
      </c>
      <c r="M37" s="19">
        <f>Inputs!M62* M$12</f>
        <v>0</v>
      </c>
      <c r="N37" s="19">
        <f>Inputs!N62* N$12</f>
        <v>0</v>
      </c>
      <c r="O37" s="19">
        <f>Inputs!O62* O$12</f>
        <v>0</v>
      </c>
      <c r="P37" s="19">
        <f>Inputs!P62* P$12</f>
        <v>0</v>
      </c>
      <c r="Q37" s="19">
        <f>Inputs!Q62* Q$12</f>
        <v>0</v>
      </c>
      <c r="R37" s="19">
        <f>Inputs!R62* R$12</f>
        <v>0</v>
      </c>
      <c r="S37" s="19">
        <f>Inputs!S62* S$12</f>
        <v>0</v>
      </c>
      <c r="T37" s="19">
        <f>Inputs!T62* T$12</f>
        <v>0</v>
      </c>
      <c r="U37" s="19">
        <f>Inputs!U62* U$12</f>
        <v>0</v>
      </c>
      <c r="V37" s="19">
        <f>Inputs!V62* V$12</f>
        <v>0</v>
      </c>
      <c r="W37" s="19">
        <f>Inputs!W62* W$12</f>
        <v>0</v>
      </c>
      <c r="X37" s="19">
        <f>Inputs!X62* X$12</f>
        <v>0</v>
      </c>
      <c r="Y37" s="19">
        <f>Inputs!Y62* Y$12</f>
        <v>0</v>
      </c>
      <c r="Z37" s="19">
        <f>Inputs!Z62* Z$12</f>
        <v>0</v>
      </c>
      <c r="AA37" s="19">
        <f>Inputs!AA62* AA$12</f>
        <v>0</v>
      </c>
      <c r="AB37" s="19">
        <f>Inputs!AB62* AB$12</f>
        <v>0</v>
      </c>
      <c r="AC37" s="19">
        <f>Inputs!AC62* AC$12</f>
        <v>0</v>
      </c>
      <c r="AD37" s="19">
        <f>Inputs!AD62* AD$12</f>
        <v>0</v>
      </c>
      <c r="AE37" s="19">
        <f>Inputs!AE62* AE$12</f>
        <v>0</v>
      </c>
      <c r="AF37" s="19">
        <f>Inputs!AF62* AF$12</f>
        <v>0</v>
      </c>
      <c r="AG37" s="19">
        <f>Inputs!AG62* AG$12</f>
        <v>0</v>
      </c>
      <c r="AH37" s="19">
        <f>Inputs!AH62* AH$12</f>
        <v>0</v>
      </c>
      <c r="AI37" s="19">
        <f>Inputs!AI62* AI$12</f>
        <v>0</v>
      </c>
    </row>
    <row r="38" spans="1:35" ht="15" customHeight="1">
      <c r="A38" s="1"/>
      <c r="B38" s="1"/>
      <c r="C38" s="1"/>
      <c r="D38" s="1"/>
      <c r="E38" s="229" t="s">
        <v>448</v>
      </c>
      <c r="F38" s="26"/>
      <c r="G38" s="16" t="s">
        <v>449</v>
      </c>
      <c r="H38" s="1"/>
      <c r="I38" s="230"/>
      <c r="J38" s="1"/>
      <c r="K38" s="196">
        <f t="shared" ref="K38:AI38" si="8">SUM(K36:K37)</f>
        <v>28.11373435651684</v>
      </c>
      <c r="L38" s="196">
        <f t="shared" si="8"/>
        <v>27.293959368193622</v>
      </c>
      <c r="M38" s="196">
        <f t="shared" si="8"/>
        <v>28.277422250120232</v>
      </c>
      <c r="N38" s="196">
        <f t="shared" si="8"/>
        <v>29.279808130867242</v>
      </c>
      <c r="O38" s="196">
        <f t="shared" si="8"/>
        <v>32.647340770549462</v>
      </c>
      <c r="P38" s="196">
        <f t="shared" si="8"/>
        <v>31.402943605848868</v>
      </c>
      <c r="Q38" s="196">
        <f t="shared" si="8"/>
        <v>32.544336447262268</v>
      </c>
      <c r="R38" s="196">
        <f t="shared" si="8"/>
        <v>33.702807611570805</v>
      </c>
      <c r="S38" s="196">
        <f t="shared" si="8"/>
        <v>32.719902288423192</v>
      </c>
      <c r="T38" s="196">
        <f t="shared" si="8"/>
        <v>33.921504621703285</v>
      </c>
      <c r="U38" s="196">
        <f t="shared" si="8"/>
        <v>34.765333126361028</v>
      </c>
      <c r="V38" s="196">
        <f t="shared" si="8"/>
        <v>38.633706705802609</v>
      </c>
      <c r="W38" s="196">
        <f t="shared" si="8"/>
        <v>37.068668368829996</v>
      </c>
      <c r="X38" s="196">
        <f t="shared" si="8"/>
        <v>38.336416827043983</v>
      </c>
      <c r="Y38" s="196">
        <f t="shared" si="8"/>
        <v>39.64752228252889</v>
      </c>
      <c r="Z38" s="196">
        <f t="shared" si="8"/>
        <v>44.19615746249346</v>
      </c>
      <c r="AA38" s="196">
        <f t="shared" si="8"/>
        <v>42.405786134616413</v>
      </c>
      <c r="AB38" s="196">
        <f t="shared" si="8"/>
        <v>43.856064020420291</v>
      </c>
      <c r="AC38" s="196">
        <f t="shared" si="8"/>
        <v>45.355941409918657</v>
      </c>
      <c r="AD38" s="196">
        <f t="shared" si="8"/>
        <v>50.559485511550442</v>
      </c>
      <c r="AE38" s="196">
        <f t="shared" si="8"/>
        <v>48.511337925667803</v>
      </c>
      <c r="AF38" s="196">
        <f t="shared" si="8"/>
        <v>50.170425682725636</v>
      </c>
      <c r="AG38" s="196">
        <f t="shared" si="8"/>
        <v>51.886254241074859</v>
      </c>
      <c r="AH38" s="196">
        <f t="shared" si="8"/>
        <v>57.839000536687372</v>
      </c>
      <c r="AI38" s="196">
        <f t="shared" si="8"/>
        <v>55.49596226957491</v>
      </c>
    </row>
    <row r="39" spans="1:35" ht="15" customHeight="1">
      <c r="A39" s="13"/>
      <c r="C39" s="122"/>
      <c r="D39" s="13"/>
      <c r="O39" s="231"/>
      <c r="S39" s="231"/>
      <c r="T39" s="231"/>
      <c r="U39" s="231"/>
      <c r="V39" s="231"/>
      <c r="W39" s="231"/>
      <c r="X39" s="231"/>
      <c r="Y39" s="231"/>
      <c r="Z39" s="231"/>
      <c r="AA39" s="231"/>
      <c r="AB39" s="231"/>
      <c r="AC39" s="231"/>
      <c r="AD39" s="231"/>
      <c r="AE39" s="231"/>
      <c r="AF39" s="231"/>
      <c r="AG39" s="231"/>
      <c r="AH39" s="231"/>
      <c r="AI39" s="231"/>
    </row>
    <row r="40" spans="1:35" ht="15" customHeight="1">
      <c r="A40"/>
      <c r="B40" s="16"/>
      <c r="C40" s="67" t="s">
        <v>457</v>
      </c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</row>
    <row r="41" spans="1:35" ht="15" customHeight="1">
      <c r="A41" s="13"/>
      <c r="D41" s="13"/>
      <c r="E41" s="16"/>
      <c r="F41" s="16"/>
      <c r="G41" s="16"/>
      <c r="O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ht="15" customHeight="1">
      <c r="A42" s="13"/>
      <c r="B42" s="13"/>
      <c r="D42" s="13"/>
      <c r="E42" s="102" t="s">
        <v>268</v>
      </c>
      <c r="F42" s="16"/>
      <c r="G42" s="102" t="str">
        <f>Inputs!G190</f>
        <v>%</v>
      </c>
      <c r="H42" s="16"/>
      <c r="J42" s="232"/>
      <c r="K42" s="194">
        <f>Inputs!K190</f>
        <v>0.06</v>
      </c>
      <c r="L42" s="194">
        <f>Inputs!L190</f>
        <v>0.06</v>
      </c>
      <c r="M42" s="194">
        <f>Inputs!M190</f>
        <v>0.06</v>
      </c>
      <c r="N42" s="194">
        <f>Inputs!N190</f>
        <v>0.06</v>
      </c>
      <c r="O42" s="194">
        <f>Inputs!O190</f>
        <v>0.06</v>
      </c>
      <c r="P42" s="194">
        <f>Inputs!P190</f>
        <v>0.06</v>
      </c>
      <c r="Q42" s="194">
        <f>Inputs!Q190</f>
        <v>0.06</v>
      </c>
      <c r="R42" s="194">
        <f>Inputs!R190</f>
        <v>0.06</v>
      </c>
      <c r="S42" s="194">
        <f>Inputs!S190</f>
        <v>0.06</v>
      </c>
      <c r="T42" s="194">
        <f>Inputs!T190</f>
        <v>0.06</v>
      </c>
      <c r="U42" s="194">
        <f>Inputs!U190</f>
        <v>0.06</v>
      </c>
      <c r="V42" s="194">
        <f>Inputs!V190</f>
        <v>0.06</v>
      </c>
      <c r="W42" s="194">
        <f>Inputs!W190</f>
        <v>0.06</v>
      </c>
      <c r="X42" s="194">
        <f>Inputs!X190</f>
        <v>0.06</v>
      </c>
      <c r="Y42" s="194">
        <f>Inputs!Y190</f>
        <v>0.06</v>
      </c>
      <c r="Z42" s="194">
        <f>Inputs!Z190</f>
        <v>0.06</v>
      </c>
      <c r="AA42" s="194">
        <f>Inputs!AA190</f>
        <v>0.06</v>
      </c>
      <c r="AB42" s="194">
        <f>Inputs!AB190</f>
        <v>0.06</v>
      </c>
      <c r="AC42" s="194">
        <f>Inputs!AC190</f>
        <v>0.06</v>
      </c>
      <c r="AD42" s="194">
        <f>Inputs!AD190</f>
        <v>0.06</v>
      </c>
      <c r="AE42" s="194">
        <f>Inputs!AE190</f>
        <v>0.06</v>
      </c>
      <c r="AF42" s="194">
        <f>Inputs!AF190</f>
        <v>0.06</v>
      </c>
      <c r="AG42" s="194">
        <f>Inputs!AG190</f>
        <v>0.06</v>
      </c>
      <c r="AH42" s="194">
        <f>Inputs!AH190</f>
        <v>0.06</v>
      </c>
      <c r="AI42" s="194">
        <f>Inputs!AI190</f>
        <v>0.06</v>
      </c>
    </row>
    <row r="43" spans="1:35" ht="15" customHeight="1">
      <c r="A43" s="13"/>
      <c r="B43" s="13"/>
      <c r="D43" s="13"/>
      <c r="E43" s="16" t="s">
        <v>241</v>
      </c>
      <c r="F43" s="16"/>
      <c r="G43" s="16" t="str">
        <f>Inputs!G155</f>
        <v>full years</v>
      </c>
      <c r="H43" s="16"/>
      <c r="I43" s="233">
        <f>Inputs!I155</f>
        <v>25</v>
      </c>
      <c r="J43" s="232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31"/>
      <c r="AA43" s="231"/>
      <c r="AB43" s="231"/>
      <c r="AC43" s="231"/>
      <c r="AD43" s="231"/>
      <c r="AE43" s="231"/>
      <c r="AF43" s="231"/>
      <c r="AG43" s="231"/>
      <c r="AH43" s="231"/>
      <c r="AI43" s="231"/>
    </row>
    <row r="44" spans="1:35" ht="15" customHeight="1">
      <c r="A44" s="13"/>
      <c r="B44" s="13"/>
      <c r="D44" s="13"/>
      <c r="E44" s="16"/>
      <c r="F44" s="16"/>
      <c r="G44" s="16"/>
      <c r="H44" s="16"/>
      <c r="I44" s="1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</row>
    <row r="45" spans="1:35" ht="15" customHeight="1">
      <c r="A45" s="16"/>
      <c r="B45" s="16"/>
      <c r="C45" s="16"/>
      <c r="D45" s="16"/>
      <c r="E45" s="16" t="s">
        <v>458</v>
      </c>
      <c r="F45" s="16"/>
      <c r="G45" s="16" t="s">
        <v>449</v>
      </c>
      <c r="H45" s="16"/>
      <c r="I45" s="16"/>
      <c r="J45" s="26"/>
      <c r="K45" s="184">
        <f t="shared" ref="K45:AI45" si="9">J51</f>
        <v>0</v>
      </c>
      <c r="L45" s="184">
        <f t="shared" si="9"/>
        <v>807.59723999999994</v>
      </c>
      <c r="M45" s="184">
        <f t="shared" si="9"/>
        <v>759.14140559999998</v>
      </c>
      <c r="N45" s="184">
        <f t="shared" si="9"/>
        <v>713.59292126399998</v>
      </c>
      <c r="O45" s="184">
        <f t="shared" si="9"/>
        <v>670.77734598815994</v>
      </c>
      <c r="P45" s="184">
        <f t="shared" si="9"/>
        <v>630.53070522887037</v>
      </c>
      <c r="Q45" s="184">
        <f t="shared" si="9"/>
        <v>592.69886291513819</v>
      </c>
      <c r="R45" s="184">
        <f t="shared" si="9"/>
        <v>557.13693114022988</v>
      </c>
      <c r="S45" s="184">
        <f t="shared" si="9"/>
        <v>524.80834842223157</v>
      </c>
      <c r="T45" s="184">
        <f t="shared" si="9"/>
        <v>493.92943780133788</v>
      </c>
      <c r="U45" s="184">
        <f t="shared" si="9"/>
        <v>464.61862772163579</v>
      </c>
      <c r="V45" s="184">
        <f t="shared" si="9"/>
        <v>437.40000844569425</v>
      </c>
      <c r="W45" s="184">
        <f t="shared" si="9"/>
        <v>412.50599726493931</v>
      </c>
      <c r="X45" s="184">
        <f t="shared" si="9"/>
        <v>390.32534518477217</v>
      </c>
      <c r="Y45" s="184">
        <f t="shared" si="9"/>
        <v>367.46042595723407</v>
      </c>
      <c r="Z45" s="184">
        <f t="shared" si="9"/>
        <v>345.98448458116974</v>
      </c>
      <c r="AA45" s="184">
        <f t="shared" si="9"/>
        <v>328.519964875428</v>
      </c>
      <c r="AB45" s="184">
        <f t="shared" si="9"/>
        <v>309.42022302696358</v>
      </c>
      <c r="AC45" s="184">
        <f t="shared" si="9"/>
        <v>291.48946221502757</v>
      </c>
      <c r="AD45" s="184">
        <f t="shared" si="9"/>
        <v>274.65408930304841</v>
      </c>
      <c r="AE45" s="184">
        <f t="shared" si="9"/>
        <v>258.96046376359209</v>
      </c>
      <c r="AF45" s="184">
        <f t="shared" si="9"/>
        <v>245.48518714108502</v>
      </c>
      <c r="AG45" s="184">
        <f t="shared" si="9"/>
        <v>233.34945393084794</v>
      </c>
      <c r="AH45" s="184">
        <f t="shared" si="9"/>
        <v>220.09664317672559</v>
      </c>
      <c r="AI45" s="184">
        <f t="shared" si="9"/>
        <v>207.75641690031418</v>
      </c>
    </row>
    <row r="46" spans="1:35" ht="15" customHeight="1">
      <c r="A46" s="13"/>
      <c r="D46" s="13"/>
      <c r="E46" s="146" t="s">
        <v>123</v>
      </c>
      <c r="G46" s="13" t="s">
        <v>449</v>
      </c>
      <c r="K46" s="19">
        <f>SUMPRODUCT(Pre_Op_RAV!K21:AX21,Inputs!K183:AX183)</f>
        <v>859.14599999999996</v>
      </c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</row>
    <row r="47" spans="1:35" ht="15" customHeight="1">
      <c r="A47" s="13"/>
      <c r="D47" s="13"/>
      <c r="E47" s="146" t="s">
        <v>158</v>
      </c>
      <c r="G47" s="13" t="s">
        <v>449</v>
      </c>
      <c r="K47" s="19">
        <f>Op_Rav!K13 * K$12</f>
        <v>0</v>
      </c>
      <c r="L47" s="19">
        <f>Op_Rav!L13 * L$12</f>
        <v>0</v>
      </c>
      <c r="M47" s="19">
        <f>Op_Rav!M13 * M$12</f>
        <v>0</v>
      </c>
      <c r="N47" s="19">
        <f>Op_Rav!N13 * N$12</f>
        <v>0</v>
      </c>
      <c r="O47" s="19">
        <f>Op_Rav!O13 * O$12</f>
        <v>0</v>
      </c>
      <c r="P47" s="19">
        <f>Op_Rav!P13 * P$12</f>
        <v>0</v>
      </c>
      <c r="Q47" s="19">
        <f>Op_Rav!Q13 * Q$12</f>
        <v>0</v>
      </c>
      <c r="R47" s="19">
        <f>Op_Rav!R13 * R$12</f>
        <v>1.1698225004419895</v>
      </c>
      <c r="S47" s="19">
        <f>Op_Rav!S13 * S$12</f>
        <v>0.64850030259593261</v>
      </c>
      <c r="T47" s="19">
        <f>Op_Rav!T13 * T$12</f>
        <v>0.34569807274272368</v>
      </c>
      <c r="U47" s="19">
        <f>Op_Rav!U13 * U$12</f>
        <v>0.70053019931557847</v>
      </c>
      <c r="V47" s="19">
        <f>Op_Rav!V13 * V$12</f>
        <v>1.4361588574327002</v>
      </c>
      <c r="W47" s="19">
        <f>Op_Rav!W13 * W$12</f>
        <v>2.7337316550310771</v>
      </c>
      <c r="X47" s="19">
        <f>Op_Rav!X13 * X$12</f>
        <v>0.5900015782428023</v>
      </c>
      <c r="Y47" s="19">
        <f>Op_Rav!Y13 * Y$12</f>
        <v>0.60817466103160944</v>
      </c>
      <c r="Z47" s="19">
        <f>Op_Rav!Z13 * Z$12</f>
        <v>3.5048397543919894</v>
      </c>
      <c r="AA47" s="19">
        <f>Op_Rav!AA13 * AA$12</f>
        <v>0.65048515325670064</v>
      </c>
      <c r="AB47" s="19">
        <f>Op_Rav!AB13 * AB$12</f>
        <v>0.67494954221470238</v>
      </c>
      <c r="AC47" s="19">
        <f>Op_Rav!AC13 * AC$12</f>
        <v>0.6957391711941141</v>
      </c>
      <c r="AD47" s="19">
        <f>Op_Rav!AD13 * AD$12</f>
        <v>0.83576576460271301</v>
      </c>
      <c r="AE47" s="19">
        <f>Op_Rav!AE13 * AE$12</f>
        <v>2.1939906418175008</v>
      </c>
      <c r="AF47" s="19">
        <f>Op_Rav!AF13 * AF$12</f>
        <v>2.758912785348965</v>
      </c>
      <c r="AG47" s="19">
        <f>Op_Rav!AG13 * AG$12</f>
        <v>0.79591115077501473</v>
      </c>
      <c r="AH47" s="19">
        <f>Op_Rav!AH13 * AH$12</f>
        <v>0.92082161084269631</v>
      </c>
      <c r="AI47" s="19">
        <f>Op_Rav!AI13 * AI$12</f>
        <v>2.9645205728982207</v>
      </c>
    </row>
    <row r="48" spans="1:35" ht="15" customHeight="1">
      <c r="A48" s="16"/>
      <c r="B48" s="16"/>
      <c r="C48" s="16"/>
      <c r="D48" s="16"/>
      <c r="E48" s="16" t="s">
        <v>459</v>
      </c>
      <c r="F48" s="16"/>
      <c r="G48" s="16" t="s">
        <v>449</v>
      </c>
      <c r="H48" s="16"/>
      <c r="I48" s="16"/>
      <c r="J48" s="26"/>
      <c r="K48" s="181">
        <f t="shared" ref="K48:AI48" si="10">SUM(K45:K47)</f>
        <v>859.14599999999996</v>
      </c>
      <c r="L48" s="181">
        <f t="shared" si="10"/>
        <v>807.59723999999994</v>
      </c>
      <c r="M48" s="181">
        <f t="shared" si="10"/>
        <v>759.14140559999998</v>
      </c>
      <c r="N48" s="181">
        <f t="shared" si="10"/>
        <v>713.59292126399998</v>
      </c>
      <c r="O48" s="181">
        <f t="shared" si="10"/>
        <v>670.77734598815994</v>
      </c>
      <c r="P48" s="181">
        <f t="shared" si="10"/>
        <v>630.53070522887037</v>
      </c>
      <c r="Q48" s="181">
        <f t="shared" si="10"/>
        <v>592.69886291513819</v>
      </c>
      <c r="R48" s="181">
        <f t="shared" si="10"/>
        <v>558.3067536406719</v>
      </c>
      <c r="S48" s="181">
        <f t="shared" si="10"/>
        <v>525.45684872482752</v>
      </c>
      <c r="T48" s="181">
        <f t="shared" si="10"/>
        <v>494.2751358740806</v>
      </c>
      <c r="U48" s="181">
        <f t="shared" si="10"/>
        <v>465.31915792095134</v>
      </c>
      <c r="V48" s="181">
        <f t="shared" si="10"/>
        <v>438.83616730312696</v>
      </c>
      <c r="W48" s="181">
        <f t="shared" si="10"/>
        <v>415.23972891997039</v>
      </c>
      <c r="X48" s="181">
        <f t="shared" si="10"/>
        <v>390.91534676301495</v>
      </c>
      <c r="Y48" s="181">
        <f t="shared" si="10"/>
        <v>368.06860061826569</v>
      </c>
      <c r="Z48" s="181">
        <f t="shared" si="10"/>
        <v>349.48932433556172</v>
      </c>
      <c r="AA48" s="181">
        <f t="shared" si="10"/>
        <v>329.17045002868468</v>
      </c>
      <c r="AB48" s="181">
        <f t="shared" si="10"/>
        <v>310.09517256917826</v>
      </c>
      <c r="AC48" s="181">
        <f t="shared" si="10"/>
        <v>292.18520138622171</v>
      </c>
      <c r="AD48" s="181">
        <f t="shared" si="10"/>
        <v>275.48985506765115</v>
      </c>
      <c r="AE48" s="181">
        <f t="shared" si="10"/>
        <v>261.15445440540958</v>
      </c>
      <c r="AF48" s="181">
        <f t="shared" si="10"/>
        <v>248.24409992643399</v>
      </c>
      <c r="AG48" s="181">
        <f t="shared" si="10"/>
        <v>234.14536508162297</v>
      </c>
      <c r="AH48" s="181">
        <f t="shared" si="10"/>
        <v>221.01746478756829</v>
      </c>
      <c r="AI48" s="181">
        <f t="shared" si="10"/>
        <v>210.72093747321239</v>
      </c>
    </row>
    <row r="49" spans="1:35" ht="15" customHeight="1">
      <c r="A49" s="16"/>
      <c r="B49" s="16"/>
      <c r="C49" s="16"/>
      <c r="D49" s="16"/>
      <c r="E49" s="16" t="s">
        <v>460</v>
      </c>
      <c r="F49" s="16"/>
      <c r="G49" s="16" t="s">
        <v>449</v>
      </c>
      <c r="H49" s="16"/>
      <c r="I49" s="16"/>
      <c r="J49" s="26"/>
      <c r="K49" s="26">
        <f t="shared" ref="K49:AI49" si="11">-K48 * K42</f>
        <v>-51.548759999999994</v>
      </c>
      <c r="L49" s="26">
        <f t="shared" si="11"/>
        <v>-48.455834399999993</v>
      </c>
      <c r="M49" s="26">
        <f t="shared" si="11"/>
        <v>-45.548484335999994</v>
      </c>
      <c r="N49" s="26">
        <f t="shared" si="11"/>
        <v>-42.815575275839997</v>
      </c>
      <c r="O49" s="26">
        <f t="shared" si="11"/>
        <v>-40.246640759289598</v>
      </c>
      <c r="P49" s="26">
        <f t="shared" si="11"/>
        <v>-37.831842313732224</v>
      </c>
      <c r="Q49" s="26">
        <f t="shared" si="11"/>
        <v>-35.561931774908288</v>
      </c>
      <c r="R49" s="26">
        <f t="shared" si="11"/>
        <v>-33.498405218440311</v>
      </c>
      <c r="S49" s="26">
        <f t="shared" si="11"/>
        <v>-31.527410923489651</v>
      </c>
      <c r="T49" s="26">
        <f t="shared" si="11"/>
        <v>-29.656508152444836</v>
      </c>
      <c r="U49" s="26">
        <f t="shared" si="11"/>
        <v>-27.919149475257079</v>
      </c>
      <c r="V49" s="26">
        <f t="shared" si="11"/>
        <v>-26.330170038187617</v>
      </c>
      <c r="W49" s="26">
        <f t="shared" si="11"/>
        <v>-24.914383735198221</v>
      </c>
      <c r="X49" s="26">
        <f t="shared" si="11"/>
        <v>-23.454920805780898</v>
      </c>
      <c r="Y49" s="26">
        <f t="shared" si="11"/>
        <v>-22.084116037095942</v>
      </c>
      <c r="Z49" s="26">
        <f t="shared" si="11"/>
        <v>-20.969359460133703</v>
      </c>
      <c r="AA49" s="26">
        <f t="shared" si="11"/>
        <v>-19.750227001721079</v>
      </c>
      <c r="AB49" s="26">
        <f t="shared" si="11"/>
        <v>-18.605710354150695</v>
      </c>
      <c r="AC49" s="26">
        <f t="shared" si="11"/>
        <v>-17.531112083173301</v>
      </c>
      <c r="AD49" s="26">
        <f t="shared" si="11"/>
        <v>-16.529391304059068</v>
      </c>
      <c r="AE49" s="26">
        <f t="shared" si="11"/>
        <v>-15.669267264324574</v>
      </c>
      <c r="AF49" s="26">
        <f t="shared" si="11"/>
        <v>-14.894645995586039</v>
      </c>
      <c r="AG49" s="26">
        <f t="shared" si="11"/>
        <v>-14.048721904897377</v>
      </c>
      <c r="AH49" s="26">
        <f t="shared" si="11"/>
        <v>-13.261047887254097</v>
      </c>
      <c r="AI49" s="26">
        <f t="shared" si="11"/>
        <v>-12.643256248392742</v>
      </c>
    </row>
    <row r="50" spans="1:35" ht="15" customHeight="1">
      <c r="A50" s="16"/>
      <c r="B50" s="16"/>
      <c r="C50" s="16"/>
      <c r="D50" s="16"/>
      <c r="E50" s="16" t="s">
        <v>461</v>
      </c>
      <c r="F50" s="16"/>
      <c r="G50" s="16" t="s">
        <v>449</v>
      </c>
      <c r="H50" s="16"/>
      <c r="I50" s="1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>
        <f>-SUM(AI48:AI49)</f>
        <v>-198.07768122481966</v>
      </c>
    </row>
    <row r="51" spans="1:35" ht="15" customHeight="1">
      <c r="A51" s="16"/>
      <c r="B51" s="16"/>
      <c r="C51" s="16"/>
      <c r="D51" s="16"/>
      <c r="E51" s="16" t="s">
        <v>462</v>
      </c>
      <c r="F51" s="16"/>
      <c r="G51" s="16" t="s">
        <v>449</v>
      </c>
      <c r="H51" s="16"/>
      <c r="I51" s="16"/>
      <c r="J51" s="26"/>
      <c r="K51" s="181">
        <f t="shared" ref="K51:AI51" si="12">SUM(K48:K50)</f>
        <v>807.59723999999994</v>
      </c>
      <c r="L51" s="181">
        <f t="shared" si="12"/>
        <v>759.14140559999998</v>
      </c>
      <c r="M51" s="181">
        <f t="shared" si="12"/>
        <v>713.59292126399998</v>
      </c>
      <c r="N51" s="181">
        <f t="shared" si="12"/>
        <v>670.77734598815994</v>
      </c>
      <c r="O51" s="181">
        <f t="shared" si="12"/>
        <v>630.53070522887037</v>
      </c>
      <c r="P51" s="181">
        <f t="shared" si="12"/>
        <v>592.69886291513819</v>
      </c>
      <c r="Q51" s="181">
        <f t="shared" si="12"/>
        <v>557.13693114022988</v>
      </c>
      <c r="R51" s="181">
        <f t="shared" si="12"/>
        <v>524.80834842223157</v>
      </c>
      <c r="S51" s="181">
        <f t="shared" si="12"/>
        <v>493.92943780133788</v>
      </c>
      <c r="T51" s="181">
        <f t="shared" si="12"/>
        <v>464.61862772163579</v>
      </c>
      <c r="U51" s="181">
        <f t="shared" si="12"/>
        <v>437.40000844569425</v>
      </c>
      <c r="V51" s="181">
        <f t="shared" si="12"/>
        <v>412.50599726493931</v>
      </c>
      <c r="W51" s="181">
        <f t="shared" si="12"/>
        <v>390.32534518477217</v>
      </c>
      <c r="X51" s="181">
        <f t="shared" si="12"/>
        <v>367.46042595723407</v>
      </c>
      <c r="Y51" s="181">
        <f t="shared" si="12"/>
        <v>345.98448458116974</v>
      </c>
      <c r="Z51" s="181">
        <f t="shared" si="12"/>
        <v>328.519964875428</v>
      </c>
      <c r="AA51" s="181">
        <f t="shared" si="12"/>
        <v>309.42022302696358</v>
      </c>
      <c r="AB51" s="181">
        <f t="shared" si="12"/>
        <v>291.48946221502757</v>
      </c>
      <c r="AC51" s="181">
        <f t="shared" si="12"/>
        <v>274.65408930304841</v>
      </c>
      <c r="AD51" s="181">
        <f t="shared" si="12"/>
        <v>258.96046376359209</v>
      </c>
      <c r="AE51" s="181">
        <f t="shared" si="12"/>
        <v>245.48518714108502</v>
      </c>
      <c r="AF51" s="181">
        <f t="shared" si="12"/>
        <v>233.34945393084794</v>
      </c>
      <c r="AG51" s="181">
        <f t="shared" si="12"/>
        <v>220.09664317672559</v>
      </c>
      <c r="AH51" s="181">
        <f t="shared" si="12"/>
        <v>207.75641690031418</v>
      </c>
      <c r="AI51" s="181">
        <f t="shared" si="12"/>
        <v>0</v>
      </c>
    </row>
    <row r="52" spans="1:35" ht="15" customHeight="1">
      <c r="A52" s="13"/>
      <c r="D52" s="13"/>
      <c r="E52" s="16"/>
      <c r="F52" s="16"/>
      <c r="G52" s="16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 ht="15" customHeight="1">
      <c r="A53" s="13"/>
      <c r="B53" s="13"/>
      <c r="D53" s="13"/>
      <c r="E53" s="16" t="s">
        <v>450</v>
      </c>
      <c r="F53" s="16"/>
      <c r="G53" s="16" t="s">
        <v>449</v>
      </c>
      <c r="I53" s="192"/>
      <c r="K53" s="196">
        <f t="shared" ref="K53:AI53" si="13">-(K49 + K50)</f>
        <v>51.548759999999994</v>
      </c>
      <c r="L53" s="196">
        <f t="shared" si="13"/>
        <v>48.455834399999993</v>
      </c>
      <c r="M53" s="196">
        <f t="shared" si="13"/>
        <v>45.548484335999994</v>
      </c>
      <c r="N53" s="196">
        <f t="shared" si="13"/>
        <v>42.815575275839997</v>
      </c>
      <c r="O53" s="196">
        <f t="shared" si="13"/>
        <v>40.246640759289598</v>
      </c>
      <c r="P53" s="196">
        <f t="shared" si="13"/>
        <v>37.831842313732224</v>
      </c>
      <c r="Q53" s="196">
        <f t="shared" si="13"/>
        <v>35.561931774908288</v>
      </c>
      <c r="R53" s="196">
        <f t="shared" si="13"/>
        <v>33.498405218440311</v>
      </c>
      <c r="S53" s="196">
        <f t="shared" si="13"/>
        <v>31.527410923489651</v>
      </c>
      <c r="T53" s="196">
        <f t="shared" si="13"/>
        <v>29.656508152444836</v>
      </c>
      <c r="U53" s="196">
        <f t="shared" si="13"/>
        <v>27.919149475257079</v>
      </c>
      <c r="V53" s="196">
        <f t="shared" si="13"/>
        <v>26.330170038187617</v>
      </c>
      <c r="W53" s="196">
        <f t="shared" si="13"/>
        <v>24.914383735198221</v>
      </c>
      <c r="X53" s="196">
        <f t="shared" si="13"/>
        <v>23.454920805780898</v>
      </c>
      <c r="Y53" s="196">
        <f t="shared" si="13"/>
        <v>22.084116037095942</v>
      </c>
      <c r="Z53" s="196">
        <f t="shared" si="13"/>
        <v>20.969359460133703</v>
      </c>
      <c r="AA53" s="196">
        <f t="shared" si="13"/>
        <v>19.750227001721079</v>
      </c>
      <c r="AB53" s="196">
        <f t="shared" si="13"/>
        <v>18.605710354150695</v>
      </c>
      <c r="AC53" s="196">
        <f t="shared" si="13"/>
        <v>17.531112083173301</v>
      </c>
      <c r="AD53" s="196">
        <f t="shared" si="13"/>
        <v>16.529391304059068</v>
      </c>
      <c r="AE53" s="196">
        <f t="shared" si="13"/>
        <v>15.669267264324574</v>
      </c>
      <c r="AF53" s="196">
        <f t="shared" si="13"/>
        <v>14.894645995586039</v>
      </c>
      <c r="AG53" s="196">
        <f t="shared" si="13"/>
        <v>14.048721904897377</v>
      </c>
      <c r="AH53" s="196">
        <f t="shared" si="13"/>
        <v>13.261047887254097</v>
      </c>
      <c r="AI53" s="196">
        <f t="shared" si="13"/>
        <v>210.72093747321239</v>
      </c>
    </row>
    <row r="54" spans="1:35" ht="15" customHeight="1">
      <c r="A54" s="13"/>
      <c r="B54" s="13"/>
      <c r="D54" s="13"/>
      <c r="E54" s="16"/>
      <c r="F54" s="16"/>
      <c r="G54" s="16"/>
      <c r="I54" s="192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 ht="15" customHeight="1">
      <c r="A55"/>
      <c r="B55" s="14" t="s">
        <v>463</v>
      </c>
      <c r="C55" s="15"/>
      <c r="D55" s="15"/>
      <c r="E55" s="15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</row>
    <row r="56" spans="1:35" ht="15" customHeight="1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</row>
    <row r="57" spans="1:35" ht="15" customHeight="1">
      <c r="A57"/>
      <c r="B57" s="16"/>
      <c r="C57" s="67" t="s">
        <v>464</v>
      </c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</row>
    <row r="58" spans="1:35" ht="15" customHeight="1">
      <c r="A58" s="26"/>
      <c r="B58" s="26"/>
      <c r="C58" s="26"/>
      <c r="D58" s="26"/>
      <c r="E58" s="26"/>
      <c r="F58" s="26"/>
      <c r="G58" s="26"/>
      <c r="H58" s="26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26"/>
      <c r="T58" s="26"/>
      <c r="U58" s="26"/>
      <c r="V58" s="26"/>
      <c r="W58" s="231"/>
      <c r="X58" s="231"/>
      <c r="Y58" s="231"/>
      <c r="Z58" s="231"/>
      <c r="AA58" s="231"/>
      <c r="AB58" s="231"/>
      <c r="AC58" s="231"/>
      <c r="AD58" s="231"/>
      <c r="AE58" s="231"/>
      <c r="AF58" s="231"/>
      <c r="AG58" s="231"/>
      <c r="AH58" s="231"/>
      <c r="AI58" s="231"/>
    </row>
    <row r="59" spans="1:35" ht="15" customHeight="1">
      <c r="A59" s="26"/>
      <c r="B59" s="26"/>
      <c r="C59" s="26"/>
      <c r="D59" s="26"/>
      <c r="E59" s="102" t="s">
        <v>172</v>
      </c>
      <c r="F59" s="26"/>
      <c r="G59" s="102" t="str">
        <f>Inputs!G69</f>
        <v>real annual %</v>
      </c>
      <c r="H59" s="26"/>
      <c r="I59" s="194">
        <f>Inputs!I71</f>
        <v>1.2200000000000001E-2</v>
      </c>
      <c r="J59" s="107"/>
      <c r="K59" s="107"/>
      <c r="L59" s="107"/>
      <c r="M59" s="107"/>
      <c r="N59" s="107"/>
      <c r="O59" s="107"/>
      <c r="P59" s="107"/>
      <c r="Q59" s="107"/>
      <c r="R59" s="107"/>
      <c r="S59" s="26"/>
      <c r="T59" s="26"/>
      <c r="U59" s="26"/>
      <c r="V59" s="26"/>
      <c r="W59" s="108"/>
      <c r="X59" s="108"/>
      <c r="Y59" s="108"/>
      <c r="Z59" s="108"/>
      <c r="AA59" s="108"/>
      <c r="AB59" s="108"/>
      <c r="AC59" s="108"/>
      <c r="AD59" s="108"/>
      <c r="AE59" s="108"/>
      <c r="AF59" s="108"/>
      <c r="AG59" s="108"/>
      <c r="AH59" s="108"/>
      <c r="AI59" s="108"/>
    </row>
    <row r="60" spans="1:35" ht="15" customHeight="1">
      <c r="A60" s="26"/>
      <c r="B60" s="26"/>
      <c r="C60" s="26"/>
      <c r="D60" s="26"/>
      <c r="E60" s="102" t="s">
        <v>465</v>
      </c>
      <c r="F60" s="26"/>
      <c r="G60" s="102" t="str">
        <f>Inputs!G192</f>
        <v>%</v>
      </c>
      <c r="H60" s="26"/>
      <c r="I60" s="194">
        <f>Inputs!I192</f>
        <v>3.4200000000000001E-2</v>
      </c>
      <c r="J60" s="107"/>
      <c r="K60" s="107"/>
      <c r="L60" s="107"/>
      <c r="M60" s="107"/>
      <c r="N60" s="107"/>
      <c r="O60" s="107"/>
      <c r="P60" s="107"/>
      <c r="Q60" s="107"/>
      <c r="R60" s="107"/>
      <c r="S60" s="26"/>
      <c r="T60" s="26"/>
      <c r="U60" s="26"/>
      <c r="V60" s="26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</row>
    <row r="61" spans="1:35" ht="15" customHeight="1">
      <c r="A61" s="26"/>
      <c r="B61" s="26"/>
      <c r="C61" s="26"/>
      <c r="D61" s="26"/>
      <c r="E61" s="26" t="s">
        <v>172</v>
      </c>
      <c r="F61" s="26"/>
      <c r="G61" s="26" t="s">
        <v>466</v>
      </c>
      <c r="H61" s="26"/>
      <c r="I61" s="102">
        <f>(1 + I59) * (1 + I$60) - 1</f>
        <v>4.6817239999999982E-2</v>
      </c>
      <c r="J61" s="107"/>
      <c r="K61" s="107"/>
      <c r="L61" s="107"/>
      <c r="M61" s="107"/>
      <c r="N61" s="107"/>
      <c r="O61" s="107"/>
      <c r="P61" s="107"/>
      <c r="Q61" s="107"/>
      <c r="R61" s="107"/>
      <c r="S61" s="26"/>
      <c r="T61" s="26"/>
      <c r="U61" s="26"/>
      <c r="V61" s="82"/>
      <c r="W61" s="108"/>
      <c r="X61" s="108"/>
      <c r="Y61" s="108"/>
      <c r="Z61" s="108"/>
      <c r="AA61" s="108"/>
      <c r="AB61" s="108"/>
      <c r="AC61" s="234"/>
      <c r="AD61" s="108"/>
      <c r="AE61" s="108"/>
      <c r="AF61" s="108"/>
      <c r="AG61" s="108"/>
      <c r="AH61" s="108"/>
      <c r="AI61" s="108"/>
    </row>
    <row r="62" spans="1:35" ht="15" customHeight="1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26"/>
      <c r="T62" s="26"/>
      <c r="U62" s="26"/>
      <c r="V62" s="235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</row>
    <row r="63" spans="1:35" ht="15" customHeight="1">
      <c r="A63"/>
      <c r="B63" s="16"/>
      <c r="C63" s="67" t="s">
        <v>467</v>
      </c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</row>
    <row r="64" spans="1:35" ht="15" customHeight="1">
      <c r="B64" s="128"/>
      <c r="C64" s="128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2"/>
    </row>
    <row r="65" spans="2:35" ht="15" customHeight="1">
      <c r="B65" s="128"/>
      <c r="C65" s="128"/>
      <c r="D65" s="16"/>
      <c r="E65" s="16" t="s">
        <v>241</v>
      </c>
      <c r="F65" s="16"/>
      <c r="G65" s="16" t="str">
        <f>Inputs!G155</f>
        <v>full years</v>
      </c>
      <c r="H65" s="16"/>
      <c r="I65" s="233">
        <f>Inputs!I155</f>
        <v>25</v>
      </c>
      <c r="J65" s="16"/>
      <c r="K65" s="16"/>
      <c r="L65" s="16"/>
      <c r="M65" s="16"/>
      <c r="N65" s="16"/>
      <c r="O65" s="16"/>
      <c r="P65" s="16"/>
      <c r="Q65" s="16"/>
      <c r="R65" s="16"/>
      <c r="S65" s="193"/>
      <c r="T65" s="193"/>
      <c r="U65" s="193"/>
      <c r="V65" s="193"/>
      <c r="W65" s="193"/>
      <c r="X65" s="193"/>
      <c r="Y65" s="193"/>
      <c r="Z65" s="193"/>
      <c r="AA65" s="193"/>
      <c r="AB65" s="193"/>
      <c r="AC65" s="193"/>
      <c r="AD65" s="193"/>
      <c r="AE65" s="193"/>
      <c r="AF65" s="193"/>
      <c r="AG65" s="193"/>
      <c r="AH65" s="193"/>
      <c r="AI65" s="193"/>
    </row>
    <row r="66" spans="2:35" ht="15" customHeight="1">
      <c r="B66" s="128"/>
      <c r="C66" s="128"/>
      <c r="D66" s="16"/>
      <c r="E66" s="102" t="s">
        <v>174</v>
      </c>
      <c r="F66" s="16"/>
      <c r="G66" s="102" t="str">
        <f>Inputs!G74</f>
        <v>%</v>
      </c>
      <c r="H66" s="16"/>
      <c r="I66" s="194">
        <f>Inputs!I74</f>
        <v>0.5</v>
      </c>
      <c r="J66" s="16"/>
      <c r="K66" s="16"/>
      <c r="L66" s="16"/>
      <c r="M66" s="16"/>
      <c r="N66" s="16"/>
      <c r="O66" s="16"/>
      <c r="P66" s="16"/>
      <c r="Q66" s="16"/>
      <c r="R66" s="16"/>
      <c r="S66" s="193"/>
      <c r="T66" s="193"/>
      <c r="U66" s="193"/>
      <c r="V66" s="193"/>
      <c r="W66" s="193"/>
      <c r="X66" s="193"/>
      <c r="Y66" s="193"/>
      <c r="Z66" s="193"/>
      <c r="AA66" s="193"/>
      <c r="AB66" s="193"/>
      <c r="AC66" s="193"/>
      <c r="AD66" s="193"/>
      <c r="AE66" s="193"/>
      <c r="AF66" s="193"/>
      <c r="AG66" s="193"/>
      <c r="AH66" s="193"/>
      <c r="AI66" s="193"/>
    </row>
    <row r="67" spans="2:35" ht="15" customHeight="1">
      <c r="B67" s="128"/>
      <c r="C67" s="128"/>
      <c r="D67" s="16"/>
      <c r="E67" s="16"/>
      <c r="F67" s="16"/>
      <c r="G67" s="16"/>
      <c r="H67" s="16"/>
      <c r="I67" s="78"/>
      <c r="J67" s="16"/>
      <c r="K67" s="193"/>
      <c r="L67" s="193"/>
      <c r="M67" s="193"/>
      <c r="N67" s="193"/>
      <c r="O67" s="193"/>
      <c r="P67" s="193"/>
      <c r="Q67" s="193"/>
      <c r="R67" s="193"/>
      <c r="S67" s="193"/>
      <c r="T67" s="193"/>
      <c r="U67" s="193"/>
      <c r="V67" s="193"/>
      <c r="W67" s="193"/>
      <c r="X67" s="193"/>
      <c r="Y67" s="193"/>
      <c r="Z67" s="193"/>
      <c r="AA67" s="193"/>
      <c r="AB67" s="193"/>
      <c r="AC67" s="193"/>
      <c r="AD67" s="193"/>
      <c r="AE67" s="193"/>
      <c r="AF67" s="193"/>
      <c r="AG67" s="193"/>
      <c r="AH67" s="193"/>
      <c r="AI67" s="193"/>
    </row>
    <row r="68" spans="2:35" ht="15" customHeight="1">
      <c r="B68" s="128"/>
      <c r="C68" s="128"/>
      <c r="D68" s="16"/>
      <c r="E68" s="16" t="s">
        <v>468</v>
      </c>
      <c r="F68" s="16"/>
      <c r="G68" s="26" t="s">
        <v>449</v>
      </c>
      <c r="H68" s="16"/>
      <c r="I68" s="16"/>
      <c r="J68" s="16"/>
      <c r="K68" s="26">
        <f t="shared" ref="K68:AI68" si="14">K70 - K69</f>
        <v>13.015301409133293</v>
      </c>
      <c r="L68" s="26">
        <f t="shared" si="14"/>
        <v>13.624641898877023</v>
      </c>
      <c r="M68" s="26">
        <f t="shared" si="14"/>
        <v>14.262510028570805</v>
      </c>
      <c r="N68" s="26">
        <f t="shared" si="14"/>
        <v>14.93024138358081</v>
      </c>
      <c r="O68" s="26">
        <f t="shared" si="14"/>
        <v>15.629234077693841</v>
      </c>
      <c r="P68" s="26">
        <f t="shared" si="14"/>
        <v>16.36095168052541</v>
      </c>
      <c r="Q68" s="26">
        <f t="shared" si="14"/>
        <v>17.126926281980975</v>
      </c>
      <c r="R68" s="26">
        <f t="shared" si="14"/>
        <v>17.928761700186783</v>
      </c>
      <c r="S68" s="26">
        <f t="shared" si="14"/>
        <v>18.768136839607237</v>
      </c>
      <c r="T68" s="26">
        <f t="shared" si="14"/>
        <v>19.646809206379967</v>
      </c>
      <c r="U68" s="26">
        <f t="shared" si="14"/>
        <v>20.566618588229268</v>
      </c>
      <c r="V68" s="26">
        <f t="shared" si="14"/>
        <v>21.529490906662858</v>
      </c>
      <c r="W68" s="26">
        <f t="shared" si="14"/>
        <v>22.537442249517913</v>
      </c>
      <c r="X68" s="26">
        <f t="shared" si="14"/>
        <v>23.592583092299733</v>
      </c>
      <c r="Y68" s="26">
        <f t="shared" si="14"/>
        <v>24.697122717151871</v>
      </c>
      <c r="Z68" s="26">
        <f t="shared" si="14"/>
        <v>25.853373838710223</v>
      </c>
      <c r="AA68" s="26">
        <f t="shared" si="14"/>
        <v>27.063757446526843</v>
      </c>
      <c r="AB68" s="26">
        <f t="shared" si="14"/>
        <v>28.330807874202677</v>
      </c>
      <c r="AC68" s="26">
        <f t="shared" si="14"/>
        <v>29.657178105843109</v>
      </c>
      <c r="AD68" s="26">
        <f t="shared" si="14"/>
        <v>31.04564533094711</v>
      </c>
      <c r="AE68" s="26">
        <f t="shared" si="14"/>
        <v>32.499116759360945</v>
      </c>
      <c r="AF68" s="26">
        <f t="shared" si="14"/>
        <v>34.020635708471964</v>
      </c>
      <c r="AG68" s="26">
        <f t="shared" si="14"/>
        <v>35.613387975388065</v>
      </c>
      <c r="AH68" s="26">
        <f t="shared" si="14"/>
        <v>37.28070850744492</v>
      </c>
      <c r="AI68" s="26">
        <f t="shared" si="14"/>
        <v>39.026088385008009</v>
      </c>
    </row>
    <row r="69" spans="2:35" ht="15" customHeight="1">
      <c r="B69" s="128"/>
      <c r="C69" s="128"/>
      <c r="D69" s="16"/>
      <c r="E69" s="16" t="s">
        <v>469</v>
      </c>
      <c r="F69" s="16"/>
      <c r="G69" s="26" t="s">
        <v>449</v>
      </c>
      <c r="H69" s="16"/>
      <c r="I69" s="16"/>
      <c r="J69" s="16"/>
      <c r="K69" s="196">
        <f t="shared" ref="K69:AI69" si="15">$I61 * K72</f>
        <v>27.837880722056831</v>
      </c>
      <c r="L69" s="196">
        <f t="shared" si="15"/>
        <v>27.228540232313101</v>
      </c>
      <c r="M69" s="196">
        <f t="shared" si="15"/>
        <v>26.590672102619319</v>
      </c>
      <c r="N69" s="196">
        <f t="shared" si="15"/>
        <v>25.922940747609314</v>
      </c>
      <c r="O69" s="196">
        <f t="shared" si="15"/>
        <v>25.223948053496283</v>
      </c>
      <c r="P69" s="196">
        <f t="shared" si="15"/>
        <v>24.492230450664714</v>
      </c>
      <c r="Q69" s="196">
        <f t="shared" si="15"/>
        <v>23.726255849209149</v>
      </c>
      <c r="R69" s="196">
        <f t="shared" si="15"/>
        <v>22.924420431003341</v>
      </c>
      <c r="S69" s="196">
        <f t="shared" si="15"/>
        <v>22.085045291582887</v>
      </c>
      <c r="T69" s="196">
        <f t="shared" si="15"/>
        <v>21.206372924810157</v>
      </c>
      <c r="U69" s="196">
        <f t="shared" si="15"/>
        <v>20.286563542960856</v>
      </c>
      <c r="V69" s="196">
        <f t="shared" si="15"/>
        <v>19.323691224527266</v>
      </c>
      <c r="W69" s="196">
        <f t="shared" si="15"/>
        <v>18.315739881672211</v>
      </c>
      <c r="X69" s="196">
        <f t="shared" si="15"/>
        <v>17.26059903889039</v>
      </c>
      <c r="Y69" s="196">
        <f t="shared" si="15"/>
        <v>16.156059414038253</v>
      </c>
      <c r="Z69" s="196">
        <f t="shared" si="15"/>
        <v>14.999808292479901</v>
      </c>
      <c r="AA69" s="196">
        <f t="shared" si="15"/>
        <v>13.789424684663283</v>
      </c>
      <c r="AB69" s="196">
        <f t="shared" si="15"/>
        <v>12.522374256987449</v>
      </c>
      <c r="AC69" s="196">
        <f t="shared" si="15"/>
        <v>11.196004025347014</v>
      </c>
      <c r="AD69" s="196">
        <f t="shared" si="15"/>
        <v>9.8075368002430121</v>
      </c>
      <c r="AE69" s="196">
        <f t="shared" si="15"/>
        <v>8.3540653718291829</v>
      </c>
      <c r="AF69" s="196">
        <f t="shared" si="15"/>
        <v>6.8325464227181598</v>
      </c>
      <c r="AG69" s="196">
        <f t="shared" si="15"/>
        <v>5.2397941558020591</v>
      </c>
      <c r="AH69" s="196">
        <f t="shared" si="15"/>
        <v>3.5724736237452026</v>
      </c>
      <c r="AI69" s="196">
        <f t="shared" si="15"/>
        <v>1.8270937461821126</v>
      </c>
    </row>
    <row r="70" spans="2:35" ht="15" customHeight="1">
      <c r="B70" s="128"/>
      <c r="C70" s="128"/>
      <c r="D70" s="16"/>
      <c r="E70" s="16" t="s">
        <v>470</v>
      </c>
      <c r="F70" s="16"/>
      <c r="G70" s="26" t="s">
        <v>449</v>
      </c>
      <c r="H70" s="16"/>
      <c r="I70" s="16"/>
      <c r="J70" s="16"/>
      <c r="K70" s="26">
        <f t="shared" ref="K70:AI70" si="16">$K$72*$I61/(1-(1+$I61)^(-$I65))</f>
        <v>40.853182131190124</v>
      </c>
      <c r="L70" s="26">
        <f t="shared" si="16"/>
        <v>40.853182131190124</v>
      </c>
      <c r="M70" s="26">
        <f t="shared" si="16"/>
        <v>40.853182131190124</v>
      </c>
      <c r="N70" s="26">
        <f t="shared" si="16"/>
        <v>40.853182131190124</v>
      </c>
      <c r="O70" s="26">
        <f t="shared" si="16"/>
        <v>40.853182131190124</v>
      </c>
      <c r="P70" s="26">
        <f t="shared" si="16"/>
        <v>40.853182131190124</v>
      </c>
      <c r="Q70" s="26">
        <f t="shared" si="16"/>
        <v>40.853182131190124</v>
      </c>
      <c r="R70" s="26">
        <f t="shared" si="16"/>
        <v>40.853182131190124</v>
      </c>
      <c r="S70" s="26">
        <f t="shared" si="16"/>
        <v>40.853182131190124</v>
      </c>
      <c r="T70" s="26">
        <f t="shared" si="16"/>
        <v>40.853182131190124</v>
      </c>
      <c r="U70" s="26">
        <f t="shared" si="16"/>
        <v>40.853182131190124</v>
      </c>
      <c r="V70" s="26">
        <f t="shared" si="16"/>
        <v>40.853182131190124</v>
      </c>
      <c r="W70" s="26">
        <f t="shared" si="16"/>
        <v>40.853182131190124</v>
      </c>
      <c r="X70" s="26">
        <f t="shared" si="16"/>
        <v>40.853182131190124</v>
      </c>
      <c r="Y70" s="26">
        <f t="shared" si="16"/>
        <v>40.853182131190124</v>
      </c>
      <c r="Z70" s="26">
        <f t="shared" si="16"/>
        <v>40.853182131190124</v>
      </c>
      <c r="AA70" s="26">
        <f t="shared" si="16"/>
        <v>40.853182131190124</v>
      </c>
      <c r="AB70" s="26">
        <f t="shared" si="16"/>
        <v>40.853182131190124</v>
      </c>
      <c r="AC70" s="26">
        <f t="shared" si="16"/>
        <v>40.853182131190124</v>
      </c>
      <c r="AD70" s="26">
        <f t="shared" si="16"/>
        <v>40.853182131190124</v>
      </c>
      <c r="AE70" s="26">
        <f t="shared" si="16"/>
        <v>40.853182131190124</v>
      </c>
      <c r="AF70" s="26">
        <f t="shared" si="16"/>
        <v>40.853182131190124</v>
      </c>
      <c r="AG70" s="26">
        <f t="shared" si="16"/>
        <v>40.853182131190124</v>
      </c>
      <c r="AH70" s="26">
        <f t="shared" si="16"/>
        <v>40.853182131190124</v>
      </c>
      <c r="AI70" s="26">
        <f t="shared" si="16"/>
        <v>40.853182131190124</v>
      </c>
    </row>
    <row r="71" spans="2:35" ht="15" customHeight="1">
      <c r="B71" s="128"/>
      <c r="C71" s="128"/>
      <c r="D71" s="16"/>
      <c r="E71" s="16"/>
      <c r="F71" s="16"/>
      <c r="G71" s="16"/>
      <c r="H71" s="16"/>
      <c r="I71" s="78"/>
      <c r="J71" s="16"/>
      <c r="K71" s="193"/>
      <c r="L71" s="193"/>
      <c r="M71" s="193"/>
      <c r="N71" s="193"/>
      <c r="O71" s="193"/>
      <c r="P71" s="193"/>
      <c r="Q71" s="193"/>
      <c r="R71" s="193"/>
      <c r="S71" s="193"/>
      <c r="T71" s="193"/>
      <c r="U71" s="193"/>
      <c r="V71" s="193"/>
      <c r="W71" s="193"/>
      <c r="X71" s="193"/>
      <c r="Y71" s="193"/>
      <c r="Z71" s="193"/>
      <c r="AA71" s="193"/>
      <c r="AB71" s="193"/>
      <c r="AC71" s="193"/>
      <c r="AD71" s="193"/>
      <c r="AE71" s="193"/>
      <c r="AF71" s="193"/>
      <c r="AG71" s="193"/>
      <c r="AH71" s="193"/>
      <c r="AI71" s="193"/>
    </row>
    <row r="72" spans="2:35" ht="15" customHeight="1">
      <c r="B72" s="128"/>
      <c r="C72" s="128"/>
      <c r="D72" s="16"/>
      <c r="E72" s="16" t="s">
        <v>471</v>
      </c>
      <c r="F72" s="16"/>
      <c r="G72" s="26" t="s">
        <v>449</v>
      </c>
      <c r="H72" s="16"/>
      <c r="I72" s="16"/>
      <c r="J72" s="16"/>
      <c r="K72" s="236">
        <f>Op_Rav!K12*I10*I66</f>
        <v>594.60747199230116</v>
      </c>
      <c r="L72" s="26">
        <f t="shared" ref="L72:AI72" si="17">K74</f>
        <v>581.5921705831679</v>
      </c>
      <c r="M72" s="26">
        <f t="shared" si="17"/>
        <v>567.96752868429087</v>
      </c>
      <c r="N72" s="26">
        <f t="shared" si="17"/>
        <v>553.7050186557201</v>
      </c>
      <c r="O72" s="26">
        <f t="shared" si="17"/>
        <v>538.77477727213932</v>
      </c>
      <c r="P72" s="26">
        <f t="shared" si="17"/>
        <v>523.14554319444551</v>
      </c>
      <c r="Q72" s="26">
        <f t="shared" si="17"/>
        <v>506.78459151392008</v>
      </c>
      <c r="R72" s="26">
        <f t="shared" si="17"/>
        <v>489.65766523193912</v>
      </c>
      <c r="S72" s="26">
        <f t="shared" si="17"/>
        <v>471.72890353175234</v>
      </c>
      <c r="T72" s="26">
        <f t="shared" si="17"/>
        <v>452.96076669214511</v>
      </c>
      <c r="U72" s="26">
        <f t="shared" si="17"/>
        <v>433.31395748576517</v>
      </c>
      <c r="V72" s="26">
        <f t="shared" si="17"/>
        <v>412.74733889753588</v>
      </c>
      <c r="W72" s="26">
        <f t="shared" si="17"/>
        <v>391.217847990873</v>
      </c>
      <c r="X72" s="26">
        <f t="shared" si="17"/>
        <v>368.68040574135506</v>
      </c>
      <c r="Y72" s="26">
        <f t="shared" si="17"/>
        <v>345.08782264905534</v>
      </c>
      <c r="Z72" s="26">
        <f t="shared" si="17"/>
        <v>320.39069993190344</v>
      </c>
      <c r="AA72" s="26">
        <f t="shared" si="17"/>
        <v>294.5373260931932</v>
      </c>
      <c r="AB72" s="26">
        <f t="shared" si="17"/>
        <v>267.47356864666637</v>
      </c>
      <c r="AC72" s="26">
        <f t="shared" si="17"/>
        <v>239.1427607724637</v>
      </c>
      <c r="AD72" s="26">
        <f t="shared" si="17"/>
        <v>209.48558266662059</v>
      </c>
      <c r="AE72" s="26">
        <f t="shared" si="17"/>
        <v>178.43993733567348</v>
      </c>
      <c r="AF72" s="26">
        <f t="shared" si="17"/>
        <v>145.94082057631255</v>
      </c>
      <c r="AG72" s="26">
        <f t="shared" si="17"/>
        <v>111.92018486784059</v>
      </c>
      <c r="AH72" s="26">
        <f t="shared" si="17"/>
        <v>76.306796892452525</v>
      </c>
      <c r="AI72" s="26">
        <f t="shared" si="17"/>
        <v>39.026088385007604</v>
      </c>
    </row>
    <row r="73" spans="2:35" ht="15" customHeight="1">
      <c r="B73" s="128"/>
      <c r="C73" s="128"/>
      <c r="D73" s="16"/>
      <c r="E73" s="16" t="s">
        <v>472</v>
      </c>
      <c r="F73" s="16"/>
      <c r="G73" s="26" t="s">
        <v>449</v>
      </c>
      <c r="H73" s="16"/>
      <c r="I73" s="78"/>
      <c r="J73" s="16"/>
      <c r="K73" s="26">
        <f t="shared" ref="K73:AI73" si="18">IF(K3 = "Year "&amp;$I65, -K72, -K68)</f>
        <v>-13.015301409133293</v>
      </c>
      <c r="L73" s="26">
        <f t="shared" si="18"/>
        <v>-13.624641898877023</v>
      </c>
      <c r="M73" s="26">
        <f t="shared" si="18"/>
        <v>-14.262510028570805</v>
      </c>
      <c r="N73" s="26">
        <f t="shared" si="18"/>
        <v>-14.93024138358081</v>
      </c>
      <c r="O73" s="26">
        <f t="shared" si="18"/>
        <v>-15.629234077693841</v>
      </c>
      <c r="P73" s="26">
        <f t="shared" si="18"/>
        <v>-16.36095168052541</v>
      </c>
      <c r="Q73" s="26">
        <f t="shared" si="18"/>
        <v>-17.126926281980975</v>
      </c>
      <c r="R73" s="26">
        <f t="shared" si="18"/>
        <v>-17.928761700186783</v>
      </c>
      <c r="S73" s="26">
        <f t="shared" si="18"/>
        <v>-18.768136839607237</v>
      </c>
      <c r="T73" s="26">
        <f t="shared" si="18"/>
        <v>-19.646809206379967</v>
      </c>
      <c r="U73" s="26">
        <f t="shared" si="18"/>
        <v>-20.566618588229268</v>
      </c>
      <c r="V73" s="26">
        <f t="shared" si="18"/>
        <v>-21.529490906662858</v>
      </c>
      <c r="W73" s="26">
        <f t="shared" si="18"/>
        <v>-22.537442249517913</v>
      </c>
      <c r="X73" s="26">
        <f t="shared" si="18"/>
        <v>-23.592583092299733</v>
      </c>
      <c r="Y73" s="26">
        <f t="shared" si="18"/>
        <v>-24.697122717151871</v>
      </c>
      <c r="Z73" s="26">
        <f t="shared" si="18"/>
        <v>-25.853373838710223</v>
      </c>
      <c r="AA73" s="26">
        <f t="shared" si="18"/>
        <v>-27.063757446526843</v>
      </c>
      <c r="AB73" s="26">
        <f t="shared" si="18"/>
        <v>-28.330807874202677</v>
      </c>
      <c r="AC73" s="26">
        <f t="shared" si="18"/>
        <v>-29.657178105843109</v>
      </c>
      <c r="AD73" s="26">
        <f t="shared" si="18"/>
        <v>-31.04564533094711</v>
      </c>
      <c r="AE73" s="26">
        <f t="shared" si="18"/>
        <v>-32.499116759360945</v>
      </c>
      <c r="AF73" s="26">
        <f t="shared" si="18"/>
        <v>-34.020635708471964</v>
      </c>
      <c r="AG73" s="26">
        <f t="shared" si="18"/>
        <v>-35.613387975388065</v>
      </c>
      <c r="AH73" s="26">
        <f t="shared" si="18"/>
        <v>-37.28070850744492</v>
      </c>
      <c r="AI73" s="26">
        <f t="shared" si="18"/>
        <v>-39.026088385007604</v>
      </c>
    </row>
    <row r="74" spans="2:35" ht="15" customHeight="1">
      <c r="B74" s="128"/>
      <c r="C74" s="128"/>
      <c r="D74" s="16"/>
      <c r="E74" s="16" t="s">
        <v>473</v>
      </c>
      <c r="F74" s="16"/>
      <c r="G74" s="26" t="s">
        <v>449</v>
      </c>
      <c r="H74" s="16"/>
      <c r="I74" s="78"/>
      <c r="J74" s="16"/>
      <c r="K74" s="26">
        <f t="shared" ref="K74:AI74" si="19">SUM(K72:K73)</f>
        <v>581.5921705831679</v>
      </c>
      <c r="L74" s="26">
        <f t="shared" si="19"/>
        <v>567.96752868429087</v>
      </c>
      <c r="M74" s="26">
        <f t="shared" si="19"/>
        <v>553.7050186557201</v>
      </c>
      <c r="N74" s="26">
        <f t="shared" si="19"/>
        <v>538.77477727213932</v>
      </c>
      <c r="O74" s="26">
        <f t="shared" si="19"/>
        <v>523.14554319444551</v>
      </c>
      <c r="P74" s="26">
        <f t="shared" si="19"/>
        <v>506.78459151392008</v>
      </c>
      <c r="Q74" s="26">
        <f t="shared" si="19"/>
        <v>489.65766523193912</v>
      </c>
      <c r="R74" s="26">
        <f t="shared" si="19"/>
        <v>471.72890353175234</v>
      </c>
      <c r="S74" s="26">
        <f t="shared" si="19"/>
        <v>452.96076669214511</v>
      </c>
      <c r="T74" s="26">
        <f t="shared" si="19"/>
        <v>433.31395748576517</v>
      </c>
      <c r="U74" s="26">
        <f t="shared" si="19"/>
        <v>412.74733889753588</v>
      </c>
      <c r="V74" s="26">
        <f t="shared" si="19"/>
        <v>391.217847990873</v>
      </c>
      <c r="W74" s="26">
        <f t="shared" si="19"/>
        <v>368.68040574135506</v>
      </c>
      <c r="X74" s="26">
        <f t="shared" si="19"/>
        <v>345.08782264905534</v>
      </c>
      <c r="Y74" s="26">
        <f t="shared" si="19"/>
        <v>320.39069993190344</v>
      </c>
      <c r="Z74" s="26">
        <f t="shared" si="19"/>
        <v>294.5373260931932</v>
      </c>
      <c r="AA74" s="26">
        <f t="shared" si="19"/>
        <v>267.47356864666637</v>
      </c>
      <c r="AB74" s="26">
        <f t="shared" si="19"/>
        <v>239.1427607724637</v>
      </c>
      <c r="AC74" s="26">
        <f t="shared" si="19"/>
        <v>209.48558266662059</v>
      </c>
      <c r="AD74" s="26">
        <f t="shared" si="19"/>
        <v>178.43993733567348</v>
      </c>
      <c r="AE74" s="26">
        <f t="shared" si="19"/>
        <v>145.94082057631255</v>
      </c>
      <c r="AF74" s="26">
        <f t="shared" si="19"/>
        <v>111.92018486784059</v>
      </c>
      <c r="AG74" s="26">
        <f t="shared" si="19"/>
        <v>76.306796892452525</v>
      </c>
      <c r="AH74" s="26">
        <f t="shared" si="19"/>
        <v>39.026088385007604</v>
      </c>
      <c r="AI74" s="26">
        <f t="shared" si="19"/>
        <v>0</v>
      </c>
    </row>
    <row r="75" spans="2:35" ht="15" customHeight="1">
      <c r="B75" s="128"/>
      <c r="C75" s="128"/>
      <c r="D75" s="16"/>
      <c r="E75" s="16"/>
      <c r="F75" s="16"/>
      <c r="G75" s="16"/>
      <c r="H75" s="16"/>
      <c r="I75" s="78"/>
      <c r="J75" s="16"/>
      <c r="K75" s="193"/>
      <c r="L75" s="193"/>
      <c r="M75" s="193"/>
      <c r="N75" s="193"/>
      <c r="O75" s="193"/>
      <c r="P75" s="193"/>
      <c r="Q75" s="193"/>
      <c r="R75" s="193"/>
      <c r="S75" s="193"/>
      <c r="T75" s="193"/>
      <c r="U75" s="193"/>
      <c r="V75" s="193"/>
      <c r="W75" s="193"/>
      <c r="X75" s="193"/>
      <c r="Y75" s="193"/>
      <c r="Z75" s="193"/>
      <c r="AA75" s="193"/>
      <c r="AB75" s="193"/>
      <c r="AC75" s="193"/>
      <c r="AD75" s="193"/>
      <c r="AE75" s="193"/>
      <c r="AF75" s="193"/>
      <c r="AG75" s="193"/>
      <c r="AH75" s="193"/>
      <c r="AI75" s="193"/>
    </row>
    <row r="76" spans="2:35" ht="15" customHeight="1">
      <c r="B76" s="14" t="s">
        <v>47</v>
      </c>
      <c r="C76" s="15"/>
      <c r="D76" s="15"/>
      <c r="E76" s="15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6"/>
      <c r="Z76" s="106"/>
      <c r="AA76" s="106"/>
      <c r="AB76" s="106"/>
      <c r="AC76" s="106"/>
      <c r="AD76" s="106"/>
      <c r="AE76" s="106"/>
      <c r="AF76" s="106"/>
      <c r="AG76" s="106"/>
      <c r="AH76" s="106"/>
      <c r="AI76" s="106"/>
    </row>
    <row r="77" spans="2:35" ht="15" customHeight="1"/>
    <row r="78" spans="2:35" ht="0" hidden="1" customHeight="1"/>
    <row r="79" spans="2:35" ht="0" hidden="1" customHeight="1"/>
    <row r="80" spans="2:35" ht="0" hidden="1" customHeight="1"/>
  </sheetData>
  <sheetProtection sheet="1" objects="1" scenarios="1"/>
  <pageMargins left="0.23622047244094502" right="0.23622047244094502" top="0.74803149606299213" bottom="0.74803149606299213" header="0.31496062992126012" footer="0.31496062992126012"/>
  <pageSetup paperSize="0" fitToHeight="0" orientation="landscape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C0DA"/>
    <pageSetUpPr fitToPage="1"/>
  </sheetPr>
  <dimension ref="A1:AY64"/>
  <sheetViews>
    <sheetView workbookViewId="0"/>
  </sheetViews>
  <sheetFormatPr defaultColWidth="0" defaultRowHeight="0" customHeight="1" zeroHeight="1"/>
  <cols>
    <col min="1" max="4" width="2.59765625" style="13" customWidth="1"/>
    <col min="5" max="5" width="50.59765625" style="13" customWidth="1"/>
    <col min="6" max="6" width="1.59765625" style="13" customWidth="1"/>
    <col min="7" max="7" width="15.59765625" style="13" customWidth="1"/>
    <col min="8" max="8" width="10.69921875" style="13" customWidth="1"/>
    <col min="9" max="9" width="10.59765625" style="192" customWidth="1"/>
    <col min="10" max="10" width="1.59765625" style="13" customWidth="1"/>
    <col min="11" max="35" width="10.59765625" style="13" customWidth="1"/>
    <col min="36" max="36" width="3.09765625" customWidth="1"/>
    <col min="37" max="50" width="10.59765625" hidden="1" customWidth="1"/>
    <col min="51" max="51" width="2.59765625" hidden="1" customWidth="1"/>
    <col min="52" max="52" width="9.09765625" hidden="1" customWidth="1"/>
    <col min="53" max="16384" width="9.09765625" hidden="1"/>
  </cols>
  <sheetData>
    <row r="1" spans="1:35" ht="14.5">
      <c r="A1" s="52" t="s">
        <v>38</v>
      </c>
      <c r="B1" s="53"/>
      <c r="C1" s="53"/>
      <c r="D1" s="53"/>
      <c r="E1" s="53"/>
      <c r="F1" s="53"/>
      <c r="G1" s="53"/>
      <c r="H1" s="53" t="s">
        <v>101</v>
      </c>
      <c r="I1" s="176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3"/>
      <c r="AH1" s="53"/>
      <c r="AI1" s="53"/>
    </row>
    <row r="2" spans="1:35" ht="15" customHeight="1">
      <c r="A2" s="53"/>
      <c r="B2" s="53"/>
      <c r="C2" s="53"/>
      <c r="D2" s="53"/>
      <c r="E2" s="55" t="s">
        <v>102</v>
      </c>
      <c r="F2" s="55"/>
      <c r="G2" s="55" t="s">
        <v>103</v>
      </c>
      <c r="H2" s="55" t="s">
        <v>104</v>
      </c>
      <c r="I2" s="56" t="s">
        <v>105</v>
      </c>
      <c r="J2" s="57"/>
      <c r="K2" s="55" t="s">
        <v>106</v>
      </c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</row>
    <row r="3" spans="1:35" ht="15" customHeight="1">
      <c r="A3" s="53"/>
      <c r="B3" s="53"/>
      <c r="C3" s="53"/>
      <c r="D3" s="53"/>
      <c r="E3" s="57" t="s">
        <v>386</v>
      </c>
      <c r="F3" s="55"/>
      <c r="G3" s="55"/>
      <c r="H3" s="55"/>
      <c r="I3" s="56"/>
      <c r="J3" s="57"/>
      <c r="K3" s="97" t="s">
        <v>133</v>
      </c>
      <c r="L3" s="97" t="s">
        <v>134</v>
      </c>
      <c r="M3" s="97" t="s">
        <v>135</v>
      </c>
      <c r="N3" s="97" t="s">
        <v>136</v>
      </c>
      <c r="O3" s="97" t="s">
        <v>137</v>
      </c>
      <c r="P3" s="97" t="s">
        <v>138</v>
      </c>
      <c r="Q3" s="97" t="s">
        <v>139</v>
      </c>
      <c r="R3" s="97" t="s">
        <v>140</v>
      </c>
      <c r="S3" s="97" t="s">
        <v>141</v>
      </c>
      <c r="T3" s="97" t="s">
        <v>142</v>
      </c>
      <c r="U3" s="97" t="s">
        <v>143</v>
      </c>
      <c r="V3" s="97" t="s">
        <v>144</v>
      </c>
      <c r="W3" s="97" t="s">
        <v>145</v>
      </c>
      <c r="X3" s="97" t="s">
        <v>146</v>
      </c>
      <c r="Y3" s="97" t="s">
        <v>147</v>
      </c>
      <c r="Z3" s="97" t="s">
        <v>148</v>
      </c>
      <c r="AA3" s="97" t="s">
        <v>149</v>
      </c>
      <c r="AB3" s="97" t="s">
        <v>150</v>
      </c>
      <c r="AC3" s="97" t="s">
        <v>151</v>
      </c>
      <c r="AD3" s="97" t="s">
        <v>152</v>
      </c>
      <c r="AE3" s="97" t="s">
        <v>153</v>
      </c>
      <c r="AF3" s="97" t="s">
        <v>154</v>
      </c>
      <c r="AG3" s="97" t="s">
        <v>155</v>
      </c>
      <c r="AH3" s="97" t="s">
        <v>156</v>
      </c>
      <c r="AI3" s="97" t="s">
        <v>157</v>
      </c>
    </row>
    <row r="4" spans="1:35" ht="15" customHeight="1">
      <c r="A4" s="26"/>
      <c r="B4" s="26"/>
      <c r="C4" s="26"/>
      <c r="D4" s="26"/>
      <c r="E4" s="26"/>
      <c r="F4" s="26"/>
      <c r="G4" s="26"/>
      <c r="H4" s="26"/>
      <c r="I4" s="66"/>
      <c r="J4" s="107"/>
      <c r="K4" s="107"/>
      <c r="L4" s="107"/>
      <c r="M4" s="107"/>
      <c r="N4" s="107"/>
      <c r="O4" s="107"/>
      <c r="P4" s="107"/>
      <c r="Q4" s="107"/>
      <c r="R4" s="107"/>
      <c r="S4" s="26"/>
      <c r="T4" s="26"/>
      <c r="U4" s="26"/>
      <c r="V4" s="26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</row>
    <row r="5" spans="1:35" ht="15" customHeight="1">
      <c r="A5"/>
      <c r="B5" s="14" t="s">
        <v>474</v>
      </c>
      <c r="C5" s="15"/>
      <c r="D5" s="15"/>
      <c r="E5" s="15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</row>
    <row r="6" spans="1:35" ht="15" customHeight="1">
      <c r="A6"/>
      <c r="B6" s="16"/>
      <c r="C6" s="16"/>
      <c r="D6" s="16"/>
      <c r="E6" s="16"/>
      <c r="F6" s="16"/>
      <c r="G6" s="16"/>
      <c r="H6" s="26"/>
      <c r="I6" s="1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</row>
    <row r="7" spans="1:35" ht="15" customHeight="1">
      <c r="A7"/>
      <c r="B7" s="26"/>
      <c r="C7" s="237" t="s">
        <v>475</v>
      </c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37"/>
      <c r="AD7" s="237"/>
      <c r="AE7" s="237"/>
      <c r="AF7" s="237"/>
      <c r="AG7" s="237"/>
      <c r="AH7" s="237"/>
      <c r="AI7" s="237"/>
    </row>
    <row r="8" spans="1:35" ht="15" customHeight="1">
      <c r="A8"/>
      <c r="E8" s="16"/>
      <c r="F8" s="16"/>
      <c r="G8" s="16"/>
    </row>
    <row r="9" spans="1:35" ht="15" customHeight="1">
      <c r="A9"/>
      <c r="E9" s="26" t="s">
        <v>417</v>
      </c>
      <c r="F9" s="16"/>
      <c r="G9" s="16" t="s">
        <v>122</v>
      </c>
      <c r="I9" s="13"/>
      <c r="K9" s="19">
        <f>Allowances_Cap!K34* Tax_Deductions!K$12</f>
        <v>137.78539766812432</v>
      </c>
      <c r="L9" s="19">
        <f>Allowances_Cap!L34* Tax_Deductions!L$12</f>
        <v>142.49765826837418</v>
      </c>
      <c r="M9" s="19">
        <f>Allowances_Cap!M34* Tax_Deductions!M$12</f>
        <v>147.37107818115257</v>
      </c>
      <c r="N9" s="19">
        <f>Allowances_Cap!N34* Tax_Deductions!N$12</f>
        <v>152.411169054948</v>
      </c>
      <c r="O9" s="19">
        <f>Allowances_Cap!O34* Tax_Deductions!O$12</f>
        <v>157.62363103662722</v>
      </c>
      <c r="P9" s="19">
        <f>Allowances_Cap!P34* Tax_Deductions!P$12</f>
        <v>163.01435921807987</v>
      </c>
      <c r="Q9" s="19">
        <f>Allowances_Cap!Q34* Tax_Deductions!Q$12</f>
        <v>168.58945030333823</v>
      </c>
      <c r="R9" s="19">
        <f>Allowances_Cap!R34* Tax_Deductions!R$12</f>
        <v>174.35520950371239</v>
      </c>
      <c r="S9" s="19">
        <f>Allowances_Cap!S34* Tax_Deductions!S$12</f>
        <v>180.31815766873933</v>
      </c>
      <c r="T9" s="19">
        <f>Allowances_Cap!T34* Tax_Deductions!T$12</f>
        <v>186.48503866101024</v>
      </c>
      <c r="U9" s="19">
        <f>Allowances_Cap!U34* Tax_Deductions!U$12</f>
        <v>192.86282698321679</v>
      </c>
      <c r="V9" s="19">
        <f>Allowances_Cap!V34* Tax_Deductions!V$12</f>
        <v>199.4587356660428</v>
      </c>
      <c r="W9" s="19">
        <f>Allowances_Cap!W34* Tax_Deductions!W$12</f>
        <v>206.28022442582144</v>
      </c>
      <c r="X9" s="19">
        <f>Allowances_Cap!X34* Tax_Deductions!X$12</f>
        <v>213.33500810118454</v>
      </c>
      <c r="Y9" s="19">
        <f>Allowances_Cap!Y34* Tax_Deductions!Y$12</f>
        <v>220.63106537824507</v>
      </c>
      <c r="Z9" s="19">
        <f>Allowances_Cap!Z34* Tax_Deductions!Z$12</f>
        <v>228.17664781418108</v>
      </c>
      <c r="AA9" s="19">
        <f>Allowances_Cap!AA34* Tax_Deductions!AA$12</f>
        <v>235.98028916942607</v>
      </c>
      <c r="AB9" s="19">
        <f>Allowances_Cap!AB34* Tax_Deductions!AB$12</f>
        <v>244.05081505902047</v>
      </c>
      <c r="AC9" s="19">
        <f>Allowances_Cap!AC34* Tax_Deductions!AC$12</f>
        <v>252.39735293403896</v>
      </c>
      <c r="AD9" s="19">
        <f>Allowances_Cap!AD34* Tax_Deductions!AD$12</f>
        <v>261.0293424043831</v>
      </c>
      <c r="AE9" s="19">
        <f>Allowances_Cap!AE34* Tax_Deductions!AE$12</f>
        <v>269.956545914613</v>
      </c>
      <c r="AF9" s="19">
        <f>Allowances_Cap!AF34* Tax_Deductions!AF$12</f>
        <v>279.18905978489278</v>
      </c>
      <c r="AG9" s="19">
        <f>Allowances_Cap!AG34* Tax_Deductions!AG$12</f>
        <v>288.73732562953609</v>
      </c>
      <c r="AH9" s="19">
        <f>Allowances_Cap!AH34* Tax_Deductions!AH$12</f>
        <v>298.61214216606623</v>
      </c>
      <c r="AI9" s="19">
        <f>Allowances_Cap!AI34* Tax_Deductions!AI$12</f>
        <v>308.82467742814566</v>
      </c>
    </row>
    <row r="10" spans="1:35" ht="15" customHeight="1">
      <c r="A10"/>
      <c r="E10" s="26" t="s">
        <v>476</v>
      </c>
      <c r="F10" s="16"/>
      <c r="G10" s="16" t="s">
        <v>122</v>
      </c>
      <c r="K10" s="19">
        <f>-Tax_Deductions!K20</f>
        <v>-119.98779438107486</v>
      </c>
      <c r="L10" s="19">
        <f>-Tax_Deductions!L20</f>
        <v>-102.97833400050672</v>
      </c>
      <c r="M10" s="19">
        <f>-Tax_Deductions!M20</f>
        <v>-100.41657868873955</v>
      </c>
      <c r="N10" s="19">
        <f>-Tax_Deductions!N20</f>
        <v>-98.018324154316559</v>
      </c>
      <c r="O10" s="19">
        <f>-Tax_Deductions!O20</f>
        <v>-98.117929583335354</v>
      </c>
      <c r="P10" s="19">
        <f>-Tax_Deductions!P20</f>
        <v>-93.727016370245821</v>
      </c>
      <c r="Q10" s="19">
        <f>-Tax_Deductions!Q20</f>
        <v>-91.832524071379709</v>
      </c>
      <c r="R10" s="19">
        <f>-Tax_Deductions!R20</f>
        <v>-90.125633261014457</v>
      </c>
      <c r="S10" s="19">
        <f>-Tax_Deductions!S20</f>
        <v>-86.332358503495726</v>
      </c>
      <c r="T10" s="19">
        <f>-Tax_Deductions!T20</f>
        <v>-84.784385698958275</v>
      </c>
      <c r="U10" s="19">
        <f>-Tax_Deductions!U20</f>
        <v>-82.971046144578963</v>
      </c>
      <c r="V10" s="19">
        <f>-Tax_Deductions!V20</f>
        <v>-84.287567968517493</v>
      </c>
      <c r="W10" s="19">
        <f>-Tax_Deductions!W20</f>
        <v>-80.298791985700433</v>
      </c>
      <c r="X10" s="19">
        <f>-Tax_Deductions!X20</f>
        <v>-79.051936671715268</v>
      </c>
      <c r="Y10" s="19">
        <f>-Tax_Deductions!Y20</f>
        <v>-77.887697733663089</v>
      </c>
      <c r="Z10" s="19">
        <f>-Tax_Deductions!Z20</f>
        <v>-80.16532521510706</v>
      </c>
      <c r="AA10" s="19">
        <f>-Tax_Deductions!AA20</f>
        <v>-75.94543782100078</v>
      </c>
      <c r="AB10" s="19">
        <f>-Tax_Deductions!AB20</f>
        <v>-74.98414863155844</v>
      </c>
      <c r="AC10" s="19">
        <f>-Tax_Deductions!AC20</f>
        <v>-74.083057518438963</v>
      </c>
      <c r="AD10" s="19">
        <f>-Tax_Deductions!AD20</f>
        <v>-76.896413615852524</v>
      </c>
      <c r="AE10" s="19">
        <f>-Tax_Deductions!AE20</f>
        <v>-72.534670561821557</v>
      </c>
      <c r="AF10" s="19">
        <f>-Tax_Deductions!AF20</f>
        <v>-71.897618101029849</v>
      </c>
      <c r="AG10" s="19">
        <f>-Tax_Deductions!AG20</f>
        <v>-71.174770301774288</v>
      </c>
      <c r="AH10" s="19">
        <f>-Tax_Deductions!AH20</f>
        <v>-74.67252204768667</v>
      </c>
      <c r="AI10" s="19">
        <f>-Tax_Deductions!AI20</f>
        <v>-268.04399348896942</v>
      </c>
    </row>
    <row r="11" spans="1:35" ht="15" customHeight="1">
      <c r="A11"/>
      <c r="E11" s="16" t="s">
        <v>475</v>
      </c>
      <c r="F11" s="16"/>
      <c r="G11" s="16" t="s">
        <v>122</v>
      </c>
      <c r="K11" s="238">
        <f t="shared" ref="K11:AI11" si="0">SUM(K9:K10)</f>
        <v>17.797603287049455</v>
      </c>
      <c r="L11" s="238">
        <f t="shared" si="0"/>
        <v>39.519324267867461</v>
      </c>
      <c r="M11" s="238">
        <f t="shared" si="0"/>
        <v>46.954499492413021</v>
      </c>
      <c r="N11" s="238">
        <f t="shared" si="0"/>
        <v>54.392844900631445</v>
      </c>
      <c r="O11" s="238">
        <f t="shared" si="0"/>
        <v>59.505701453291863</v>
      </c>
      <c r="P11" s="238">
        <f t="shared" si="0"/>
        <v>69.287342847834054</v>
      </c>
      <c r="Q11" s="238">
        <f t="shared" si="0"/>
        <v>76.756926231958516</v>
      </c>
      <c r="R11" s="238">
        <f t="shared" si="0"/>
        <v>84.229576242697931</v>
      </c>
      <c r="S11" s="238">
        <f t="shared" si="0"/>
        <v>93.985799165243606</v>
      </c>
      <c r="T11" s="238">
        <f t="shared" si="0"/>
        <v>101.70065296205196</v>
      </c>
      <c r="U11" s="238">
        <f t="shared" si="0"/>
        <v>109.89178083863783</v>
      </c>
      <c r="V11" s="238">
        <f t="shared" si="0"/>
        <v>115.17116769752531</v>
      </c>
      <c r="W11" s="238">
        <f t="shared" si="0"/>
        <v>125.98143244012101</v>
      </c>
      <c r="X11" s="238">
        <f t="shared" si="0"/>
        <v>134.28307142946926</v>
      </c>
      <c r="Y11" s="238">
        <f t="shared" si="0"/>
        <v>142.74336764458198</v>
      </c>
      <c r="Z11" s="238">
        <f t="shared" si="0"/>
        <v>148.01132259907402</v>
      </c>
      <c r="AA11" s="238">
        <f t="shared" si="0"/>
        <v>160.03485134842529</v>
      </c>
      <c r="AB11" s="238">
        <f t="shared" si="0"/>
        <v>169.06666642746202</v>
      </c>
      <c r="AC11" s="238">
        <f t="shared" si="0"/>
        <v>178.31429541559999</v>
      </c>
      <c r="AD11" s="238">
        <f t="shared" si="0"/>
        <v>184.13292878853059</v>
      </c>
      <c r="AE11" s="238">
        <f t="shared" si="0"/>
        <v>197.42187535279146</v>
      </c>
      <c r="AF11" s="238">
        <f t="shared" si="0"/>
        <v>207.29144168386293</v>
      </c>
      <c r="AG11" s="238">
        <f t="shared" si="0"/>
        <v>217.5625553277618</v>
      </c>
      <c r="AH11" s="238">
        <f t="shared" si="0"/>
        <v>223.93962011837957</v>
      </c>
      <c r="AI11" s="238">
        <f t="shared" si="0"/>
        <v>40.780683939176242</v>
      </c>
    </row>
    <row r="12" spans="1:35" ht="15" customHeight="1">
      <c r="A12"/>
      <c r="E12" s="16"/>
      <c r="F12" s="16"/>
      <c r="G12" s="16"/>
      <c r="W12" s="231"/>
      <c r="X12" s="231"/>
      <c r="Y12" s="231"/>
      <c r="Z12" s="231"/>
      <c r="AA12" s="231"/>
      <c r="AB12" s="231"/>
      <c r="AC12" s="231"/>
      <c r="AD12" s="231"/>
      <c r="AE12" s="231"/>
      <c r="AF12" s="231"/>
      <c r="AG12" s="231"/>
      <c r="AH12" s="231"/>
      <c r="AI12" s="231"/>
    </row>
    <row r="13" spans="1:35" ht="15" customHeight="1">
      <c r="A13"/>
      <c r="B13" s="16"/>
      <c r="C13" s="237" t="s">
        <v>477</v>
      </c>
      <c r="D13" s="237"/>
      <c r="E13" s="237"/>
      <c r="F13" s="237"/>
      <c r="G13" s="237"/>
      <c r="H13" s="237"/>
      <c r="I13" s="237"/>
      <c r="J13" s="237"/>
      <c r="K13" s="237"/>
      <c r="L13" s="237"/>
      <c r="M13" s="237"/>
      <c r="N13" s="237"/>
      <c r="O13" s="237"/>
      <c r="P13" s="237"/>
      <c r="Q13" s="237"/>
      <c r="R13" s="237"/>
      <c r="S13" s="237"/>
      <c r="T13" s="237"/>
      <c r="U13" s="237"/>
      <c r="V13" s="237"/>
      <c r="W13" s="237"/>
      <c r="X13" s="237"/>
      <c r="Y13" s="237"/>
      <c r="Z13" s="237"/>
      <c r="AA13" s="237"/>
      <c r="AB13" s="237"/>
      <c r="AC13" s="237"/>
      <c r="AD13" s="237"/>
      <c r="AE13" s="237"/>
      <c r="AF13" s="237"/>
      <c r="AG13" s="237"/>
      <c r="AH13" s="237"/>
      <c r="AI13" s="237"/>
    </row>
    <row r="14" spans="1:35" ht="15" customHeight="1">
      <c r="A14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</row>
    <row r="15" spans="1:35" ht="15" customHeight="1">
      <c r="A15"/>
      <c r="B15" s="16"/>
      <c r="C15" s="16"/>
      <c r="D15" s="16"/>
      <c r="E15" s="26" t="s">
        <v>478</v>
      </c>
      <c r="F15" s="16"/>
      <c r="G15" s="16" t="s">
        <v>122</v>
      </c>
      <c r="H15" s="16"/>
      <c r="I15" s="16"/>
      <c r="J15" s="16"/>
      <c r="K15" s="26">
        <f t="shared" ref="K15:AI15" si="1">J18</f>
        <v>0</v>
      </c>
      <c r="L15" s="26">
        <f t="shared" si="1"/>
        <v>0</v>
      </c>
      <c r="M15" s="26">
        <f t="shared" si="1"/>
        <v>0</v>
      </c>
      <c r="N15" s="26">
        <f t="shared" si="1"/>
        <v>0</v>
      </c>
      <c r="O15" s="26">
        <f t="shared" si="1"/>
        <v>0</v>
      </c>
      <c r="P15" s="26">
        <f t="shared" si="1"/>
        <v>0</v>
      </c>
      <c r="Q15" s="26">
        <f t="shared" si="1"/>
        <v>0</v>
      </c>
      <c r="R15" s="26">
        <f t="shared" si="1"/>
        <v>0</v>
      </c>
      <c r="S15" s="26">
        <f t="shared" si="1"/>
        <v>0</v>
      </c>
      <c r="T15" s="26">
        <f t="shared" si="1"/>
        <v>0</v>
      </c>
      <c r="U15" s="26">
        <f t="shared" si="1"/>
        <v>0</v>
      </c>
      <c r="V15" s="26">
        <f t="shared" si="1"/>
        <v>0</v>
      </c>
      <c r="W15" s="26">
        <f t="shared" si="1"/>
        <v>0</v>
      </c>
      <c r="X15" s="26">
        <f t="shared" si="1"/>
        <v>0</v>
      </c>
      <c r="Y15" s="26">
        <f t="shared" si="1"/>
        <v>0</v>
      </c>
      <c r="Z15" s="26">
        <f t="shared" si="1"/>
        <v>0</v>
      </c>
      <c r="AA15" s="26">
        <f t="shared" si="1"/>
        <v>0</v>
      </c>
      <c r="AB15" s="26">
        <f t="shared" si="1"/>
        <v>0</v>
      </c>
      <c r="AC15" s="26">
        <f t="shared" si="1"/>
        <v>0</v>
      </c>
      <c r="AD15" s="26">
        <f t="shared" si="1"/>
        <v>0</v>
      </c>
      <c r="AE15" s="26">
        <f t="shared" si="1"/>
        <v>0</v>
      </c>
      <c r="AF15" s="26">
        <f t="shared" si="1"/>
        <v>0</v>
      </c>
      <c r="AG15" s="26">
        <f t="shared" si="1"/>
        <v>0</v>
      </c>
      <c r="AH15" s="26">
        <f t="shared" si="1"/>
        <v>0</v>
      </c>
      <c r="AI15" s="26">
        <f t="shared" si="1"/>
        <v>0</v>
      </c>
    </row>
    <row r="16" spans="1:35" ht="15" customHeight="1">
      <c r="A16"/>
      <c r="B16" s="16"/>
      <c r="C16" s="16"/>
      <c r="D16" s="16"/>
      <c r="E16" s="26" t="s">
        <v>479</v>
      </c>
      <c r="F16" s="16"/>
      <c r="G16" s="16" t="s">
        <v>122</v>
      </c>
      <c r="H16" s="16"/>
      <c r="I16" s="16"/>
      <c r="J16" s="16"/>
      <c r="K16" s="26">
        <f t="shared" ref="K16:AI16" si="2">MIN(K11, 0)</f>
        <v>0</v>
      </c>
      <c r="L16" s="26">
        <f t="shared" si="2"/>
        <v>0</v>
      </c>
      <c r="M16" s="26">
        <f t="shared" si="2"/>
        <v>0</v>
      </c>
      <c r="N16" s="26">
        <f t="shared" si="2"/>
        <v>0</v>
      </c>
      <c r="O16" s="26">
        <f t="shared" si="2"/>
        <v>0</v>
      </c>
      <c r="P16" s="26">
        <f t="shared" si="2"/>
        <v>0</v>
      </c>
      <c r="Q16" s="26">
        <f t="shared" si="2"/>
        <v>0</v>
      </c>
      <c r="R16" s="26">
        <f t="shared" si="2"/>
        <v>0</v>
      </c>
      <c r="S16" s="26">
        <f t="shared" si="2"/>
        <v>0</v>
      </c>
      <c r="T16" s="26">
        <f t="shared" si="2"/>
        <v>0</v>
      </c>
      <c r="U16" s="26">
        <f t="shared" si="2"/>
        <v>0</v>
      </c>
      <c r="V16" s="26">
        <f t="shared" si="2"/>
        <v>0</v>
      </c>
      <c r="W16" s="26">
        <f t="shared" si="2"/>
        <v>0</v>
      </c>
      <c r="X16" s="26">
        <f t="shared" si="2"/>
        <v>0</v>
      </c>
      <c r="Y16" s="26">
        <f t="shared" si="2"/>
        <v>0</v>
      </c>
      <c r="Z16" s="26">
        <f t="shared" si="2"/>
        <v>0</v>
      </c>
      <c r="AA16" s="26">
        <f t="shared" si="2"/>
        <v>0</v>
      </c>
      <c r="AB16" s="26">
        <f t="shared" si="2"/>
        <v>0</v>
      </c>
      <c r="AC16" s="26">
        <f t="shared" si="2"/>
        <v>0</v>
      </c>
      <c r="AD16" s="26">
        <f t="shared" si="2"/>
        <v>0</v>
      </c>
      <c r="AE16" s="26">
        <f t="shared" si="2"/>
        <v>0</v>
      </c>
      <c r="AF16" s="26">
        <f t="shared" si="2"/>
        <v>0</v>
      </c>
      <c r="AG16" s="26">
        <f t="shared" si="2"/>
        <v>0</v>
      </c>
      <c r="AH16" s="26">
        <f t="shared" si="2"/>
        <v>0</v>
      </c>
      <c r="AI16" s="26">
        <f t="shared" si="2"/>
        <v>0</v>
      </c>
    </row>
    <row r="17" spans="2:35" customFormat="1" ht="15" customHeight="1">
      <c r="B17" s="16"/>
      <c r="C17" s="16"/>
      <c r="D17" s="16"/>
      <c r="E17" s="16" t="s">
        <v>480</v>
      </c>
      <c r="F17" s="16"/>
      <c r="G17" s="16" t="s">
        <v>122</v>
      </c>
      <c r="H17" s="16"/>
      <c r="I17" s="16"/>
      <c r="J17" s="16"/>
      <c r="K17" s="26">
        <f t="shared" ref="K17:AI17" si="3">IF(K11 &gt;= 0, MIN(K11, -K15), 0)</f>
        <v>0</v>
      </c>
      <c r="L17" s="26">
        <f t="shared" si="3"/>
        <v>0</v>
      </c>
      <c r="M17" s="26">
        <f t="shared" si="3"/>
        <v>0</v>
      </c>
      <c r="N17" s="26">
        <f t="shared" si="3"/>
        <v>0</v>
      </c>
      <c r="O17" s="26">
        <f t="shared" si="3"/>
        <v>0</v>
      </c>
      <c r="P17" s="26">
        <f t="shared" si="3"/>
        <v>0</v>
      </c>
      <c r="Q17" s="26">
        <f t="shared" si="3"/>
        <v>0</v>
      </c>
      <c r="R17" s="26">
        <f t="shared" si="3"/>
        <v>0</v>
      </c>
      <c r="S17" s="26">
        <f t="shared" si="3"/>
        <v>0</v>
      </c>
      <c r="T17" s="26">
        <f t="shared" si="3"/>
        <v>0</v>
      </c>
      <c r="U17" s="26">
        <f t="shared" si="3"/>
        <v>0</v>
      </c>
      <c r="V17" s="26">
        <f t="shared" si="3"/>
        <v>0</v>
      </c>
      <c r="W17" s="26">
        <f t="shared" si="3"/>
        <v>0</v>
      </c>
      <c r="X17" s="26">
        <f t="shared" si="3"/>
        <v>0</v>
      </c>
      <c r="Y17" s="26">
        <f t="shared" si="3"/>
        <v>0</v>
      </c>
      <c r="Z17" s="26">
        <f t="shared" si="3"/>
        <v>0</v>
      </c>
      <c r="AA17" s="26">
        <f t="shared" si="3"/>
        <v>0</v>
      </c>
      <c r="AB17" s="26">
        <f t="shared" si="3"/>
        <v>0</v>
      </c>
      <c r="AC17" s="26">
        <f t="shared" si="3"/>
        <v>0</v>
      </c>
      <c r="AD17" s="26">
        <f t="shared" si="3"/>
        <v>0</v>
      </c>
      <c r="AE17" s="26">
        <f t="shared" si="3"/>
        <v>0</v>
      </c>
      <c r="AF17" s="26">
        <f t="shared" si="3"/>
        <v>0</v>
      </c>
      <c r="AG17" s="26">
        <f t="shared" si="3"/>
        <v>0</v>
      </c>
      <c r="AH17" s="26">
        <f t="shared" si="3"/>
        <v>0</v>
      </c>
      <c r="AI17" s="26">
        <f t="shared" si="3"/>
        <v>0</v>
      </c>
    </row>
    <row r="18" spans="2:35" customFormat="1" ht="15" customHeight="1">
      <c r="B18" s="16"/>
      <c r="C18" s="16"/>
      <c r="D18" s="16"/>
      <c r="E18" s="26" t="s">
        <v>481</v>
      </c>
      <c r="F18" s="16"/>
      <c r="G18" s="16" t="s">
        <v>122</v>
      </c>
      <c r="H18" s="16"/>
      <c r="I18" s="16"/>
      <c r="J18" s="16"/>
      <c r="K18" s="181">
        <f t="shared" ref="K18:AI18" si="4">SUM(K15:K17)</f>
        <v>0</v>
      </c>
      <c r="L18" s="181">
        <f t="shared" si="4"/>
        <v>0</v>
      </c>
      <c r="M18" s="181">
        <f t="shared" si="4"/>
        <v>0</v>
      </c>
      <c r="N18" s="181">
        <f t="shared" si="4"/>
        <v>0</v>
      </c>
      <c r="O18" s="181">
        <f t="shared" si="4"/>
        <v>0</v>
      </c>
      <c r="P18" s="181">
        <f t="shared" si="4"/>
        <v>0</v>
      </c>
      <c r="Q18" s="181">
        <f t="shared" si="4"/>
        <v>0</v>
      </c>
      <c r="R18" s="181">
        <f t="shared" si="4"/>
        <v>0</v>
      </c>
      <c r="S18" s="181">
        <f t="shared" si="4"/>
        <v>0</v>
      </c>
      <c r="T18" s="181">
        <f t="shared" si="4"/>
        <v>0</v>
      </c>
      <c r="U18" s="181">
        <f t="shared" si="4"/>
        <v>0</v>
      </c>
      <c r="V18" s="181">
        <f t="shared" si="4"/>
        <v>0</v>
      </c>
      <c r="W18" s="181">
        <f t="shared" si="4"/>
        <v>0</v>
      </c>
      <c r="X18" s="181">
        <f t="shared" si="4"/>
        <v>0</v>
      </c>
      <c r="Y18" s="181">
        <f t="shared" si="4"/>
        <v>0</v>
      </c>
      <c r="Z18" s="181">
        <f t="shared" si="4"/>
        <v>0</v>
      </c>
      <c r="AA18" s="181">
        <f t="shared" si="4"/>
        <v>0</v>
      </c>
      <c r="AB18" s="181">
        <f t="shared" si="4"/>
        <v>0</v>
      </c>
      <c r="AC18" s="181">
        <f t="shared" si="4"/>
        <v>0</v>
      </c>
      <c r="AD18" s="181">
        <f t="shared" si="4"/>
        <v>0</v>
      </c>
      <c r="AE18" s="181">
        <f t="shared" si="4"/>
        <v>0</v>
      </c>
      <c r="AF18" s="181">
        <f t="shared" si="4"/>
        <v>0</v>
      </c>
      <c r="AG18" s="181">
        <f t="shared" si="4"/>
        <v>0</v>
      </c>
      <c r="AH18" s="181">
        <f t="shared" si="4"/>
        <v>0</v>
      </c>
      <c r="AI18" s="181">
        <f t="shared" si="4"/>
        <v>0</v>
      </c>
    </row>
    <row r="19" spans="2:35" ht="15" customHeight="1">
      <c r="B19" s="16"/>
      <c r="C19" s="16"/>
      <c r="D19" s="16"/>
      <c r="E19" s="16"/>
      <c r="F19" s="16"/>
      <c r="G19" s="16"/>
      <c r="H19" s="16"/>
      <c r="I19" s="16"/>
      <c r="J19" s="1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</row>
    <row r="20" spans="2:35" ht="15" customHeight="1">
      <c r="B20" s="16"/>
      <c r="C20" s="237" t="s">
        <v>482</v>
      </c>
      <c r="D20" s="237"/>
      <c r="E20" s="237"/>
      <c r="F20" s="237"/>
      <c r="G20" s="237"/>
      <c r="H20" s="237"/>
      <c r="I20" s="237"/>
      <c r="J20" s="237"/>
      <c r="K20" s="237"/>
      <c r="L20" s="237"/>
      <c r="M20" s="237"/>
      <c r="N20" s="237"/>
      <c r="O20" s="237"/>
      <c r="P20" s="237"/>
      <c r="Q20" s="237"/>
      <c r="R20" s="237"/>
      <c r="S20" s="237"/>
      <c r="T20" s="237"/>
      <c r="U20" s="237"/>
      <c r="V20" s="237"/>
      <c r="W20" s="237"/>
      <c r="X20" s="237"/>
      <c r="Y20" s="237"/>
      <c r="Z20" s="237"/>
      <c r="AA20" s="237"/>
      <c r="AB20" s="237"/>
      <c r="AC20" s="237"/>
      <c r="AD20" s="237"/>
      <c r="AE20" s="237"/>
      <c r="AF20" s="237"/>
      <c r="AG20" s="237"/>
      <c r="AH20" s="237"/>
      <c r="AI20" s="237"/>
    </row>
    <row r="21" spans="2:35" ht="15" customHeight="1">
      <c r="B21" s="26"/>
      <c r="C21" s="26"/>
      <c r="D21" s="26"/>
      <c r="E21" s="26"/>
      <c r="F21" s="26"/>
      <c r="G21" s="26"/>
      <c r="H21" s="26"/>
      <c r="I21" s="26"/>
      <c r="J21" s="108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</row>
    <row r="22" spans="2:35" customFormat="1" ht="15" customHeight="1">
      <c r="B22" s="26"/>
      <c r="C22" s="26"/>
      <c r="D22" s="26"/>
      <c r="E22" s="16" t="s">
        <v>483</v>
      </c>
      <c r="F22" s="16"/>
      <c r="G22" s="16" t="s">
        <v>122</v>
      </c>
      <c r="H22" s="26"/>
      <c r="I22" s="26"/>
      <c r="J22" s="108"/>
      <c r="K22" s="26">
        <f t="shared" ref="K22:AI22" si="5">MAX(K11 - K17,0)</f>
        <v>17.797603287049455</v>
      </c>
      <c r="L22" s="26">
        <f t="shared" si="5"/>
        <v>39.519324267867461</v>
      </c>
      <c r="M22" s="26">
        <f t="shared" si="5"/>
        <v>46.954499492413021</v>
      </c>
      <c r="N22" s="26">
        <f t="shared" si="5"/>
        <v>54.392844900631445</v>
      </c>
      <c r="O22" s="26">
        <f t="shared" si="5"/>
        <v>59.505701453291863</v>
      </c>
      <c r="P22" s="26">
        <f t="shared" si="5"/>
        <v>69.287342847834054</v>
      </c>
      <c r="Q22" s="26">
        <f t="shared" si="5"/>
        <v>76.756926231958516</v>
      </c>
      <c r="R22" s="26">
        <f t="shared" si="5"/>
        <v>84.229576242697931</v>
      </c>
      <c r="S22" s="26">
        <f t="shared" si="5"/>
        <v>93.985799165243606</v>
      </c>
      <c r="T22" s="26">
        <f t="shared" si="5"/>
        <v>101.70065296205196</v>
      </c>
      <c r="U22" s="26">
        <f t="shared" si="5"/>
        <v>109.89178083863783</v>
      </c>
      <c r="V22" s="26">
        <f t="shared" si="5"/>
        <v>115.17116769752531</v>
      </c>
      <c r="W22" s="26">
        <f t="shared" si="5"/>
        <v>125.98143244012101</v>
      </c>
      <c r="X22" s="26">
        <f t="shared" si="5"/>
        <v>134.28307142946926</v>
      </c>
      <c r="Y22" s="26">
        <f t="shared" si="5"/>
        <v>142.74336764458198</v>
      </c>
      <c r="Z22" s="26">
        <f t="shared" si="5"/>
        <v>148.01132259907402</v>
      </c>
      <c r="AA22" s="26">
        <f t="shared" si="5"/>
        <v>160.03485134842529</v>
      </c>
      <c r="AB22" s="26">
        <f t="shared" si="5"/>
        <v>169.06666642746202</v>
      </c>
      <c r="AC22" s="26">
        <f t="shared" si="5"/>
        <v>178.31429541559999</v>
      </c>
      <c r="AD22" s="26">
        <f t="shared" si="5"/>
        <v>184.13292878853059</v>
      </c>
      <c r="AE22" s="26">
        <f t="shared" si="5"/>
        <v>197.42187535279146</v>
      </c>
      <c r="AF22" s="26">
        <f t="shared" si="5"/>
        <v>207.29144168386293</v>
      </c>
      <c r="AG22" s="26">
        <f t="shared" si="5"/>
        <v>217.5625553277618</v>
      </c>
      <c r="AH22" s="26">
        <f t="shared" si="5"/>
        <v>223.93962011837957</v>
      </c>
      <c r="AI22" s="26">
        <f t="shared" si="5"/>
        <v>40.780683939176242</v>
      </c>
    </row>
    <row r="23" spans="2:35" customFormat="1" ht="15" customHeight="1">
      <c r="B23" s="26"/>
      <c r="C23" s="26"/>
      <c r="D23" s="26"/>
      <c r="E23" s="239" t="s">
        <v>267</v>
      </c>
      <c r="F23" s="16"/>
      <c r="G23" s="239" t="str">
        <f>Inputs!G189</f>
        <v>%</v>
      </c>
      <c r="H23" s="26"/>
      <c r="I23" s="26"/>
      <c r="J23" s="108"/>
      <c r="K23" s="240">
        <f>Inputs!K189</f>
        <v>0.25</v>
      </c>
      <c r="L23" s="240">
        <f>Inputs!L189</f>
        <v>0.25</v>
      </c>
      <c r="M23" s="240">
        <f>Inputs!M189</f>
        <v>0.25</v>
      </c>
      <c r="N23" s="240">
        <f>Inputs!N189</f>
        <v>0.25</v>
      </c>
      <c r="O23" s="240">
        <f>Inputs!O189</f>
        <v>0.25</v>
      </c>
      <c r="P23" s="240">
        <f>Inputs!P189</f>
        <v>0.25</v>
      </c>
      <c r="Q23" s="240">
        <f>Inputs!Q189</f>
        <v>0.25</v>
      </c>
      <c r="R23" s="240">
        <f>Inputs!R189</f>
        <v>0.25</v>
      </c>
      <c r="S23" s="240">
        <f>Inputs!S189</f>
        <v>0.25</v>
      </c>
      <c r="T23" s="240">
        <f>Inputs!T189</f>
        <v>0.25</v>
      </c>
      <c r="U23" s="240">
        <f>Inputs!U189</f>
        <v>0.25</v>
      </c>
      <c r="V23" s="240">
        <f>Inputs!V189</f>
        <v>0.25</v>
      </c>
      <c r="W23" s="240">
        <f>Inputs!W189</f>
        <v>0.25</v>
      </c>
      <c r="X23" s="240">
        <f>Inputs!X189</f>
        <v>0.25</v>
      </c>
      <c r="Y23" s="240">
        <f>Inputs!Y189</f>
        <v>0.25</v>
      </c>
      <c r="Z23" s="240">
        <f>Inputs!Z189</f>
        <v>0.25</v>
      </c>
      <c r="AA23" s="240">
        <f>Inputs!AA189</f>
        <v>0.25</v>
      </c>
      <c r="AB23" s="240">
        <f>Inputs!AB189</f>
        <v>0.25</v>
      </c>
      <c r="AC23" s="240">
        <f>Inputs!AC189</f>
        <v>0.25</v>
      </c>
      <c r="AD23" s="240">
        <f>Inputs!AD189</f>
        <v>0.25</v>
      </c>
      <c r="AE23" s="240">
        <f>Inputs!AE189</f>
        <v>0.25</v>
      </c>
      <c r="AF23" s="240">
        <f>Inputs!AF189</f>
        <v>0.25</v>
      </c>
      <c r="AG23" s="240">
        <f>Inputs!AG189</f>
        <v>0.25</v>
      </c>
      <c r="AH23" s="240">
        <f>Inputs!AH189</f>
        <v>0.25</v>
      </c>
      <c r="AI23" s="240">
        <f>Inputs!AI189</f>
        <v>0.25</v>
      </c>
    </row>
    <row r="24" spans="2:35" customFormat="1" ht="15" customHeight="1">
      <c r="B24" s="16"/>
      <c r="C24" s="16"/>
      <c r="D24" s="16"/>
      <c r="E24" s="16" t="s">
        <v>484</v>
      </c>
      <c r="F24" s="16"/>
      <c r="G24" s="16" t="s">
        <v>122</v>
      </c>
      <c r="H24" s="16"/>
      <c r="I24" s="16"/>
      <c r="J24" s="16"/>
      <c r="K24" s="184">
        <f t="shared" ref="K24:AI24" si="6">K22 * K23</f>
        <v>4.4494008217623637</v>
      </c>
      <c r="L24" s="184">
        <f t="shared" si="6"/>
        <v>9.8798310669668652</v>
      </c>
      <c r="M24" s="184">
        <f t="shared" si="6"/>
        <v>11.738624873103255</v>
      </c>
      <c r="N24" s="184">
        <f t="shared" si="6"/>
        <v>13.598211225157861</v>
      </c>
      <c r="O24" s="184">
        <f t="shared" si="6"/>
        <v>14.876425363322966</v>
      </c>
      <c r="P24" s="184">
        <f t="shared" si="6"/>
        <v>17.321835711958514</v>
      </c>
      <c r="Q24" s="184">
        <f t="shared" si="6"/>
        <v>19.189231557989629</v>
      </c>
      <c r="R24" s="184">
        <f t="shared" si="6"/>
        <v>21.057394060674483</v>
      </c>
      <c r="S24" s="184">
        <f t="shared" si="6"/>
        <v>23.496449791310901</v>
      </c>
      <c r="T24" s="184">
        <f t="shared" si="6"/>
        <v>25.42516324051299</v>
      </c>
      <c r="U24" s="184">
        <f t="shared" si="6"/>
        <v>27.472945209659457</v>
      </c>
      <c r="V24" s="184">
        <f t="shared" si="6"/>
        <v>28.792791924381326</v>
      </c>
      <c r="W24" s="184">
        <f t="shared" si="6"/>
        <v>31.495358110030253</v>
      </c>
      <c r="X24" s="184">
        <f t="shared" si="6"/>
        <v>33.570767857367315</v>
      </c>
      <c r="Y24" s="184">
        <f t="shared" si="6"/>
        <v>35.685841911145495</v>
      </c>
      <c r="Z24" s="184">
        <f t="shared" si="6"/>
        <v>37.002830649768505</v>
      </c>
      <c r="AA24" s="184">
        <f t="shared" si="6"/>
        <v>40.008712837106323</v>
      </c>
      <c r="AB24" s="184">
        <f t="shared" si="6"/>
        <v>42.266666606865506</v>
      </c>
      <c r="AC24" s="184">
        <f t="shared" si="6"/>
        <v>44.578573853899996</v>
      </c>
      <c r="AD24" s="184">
        <f t="shared" si="6"/>
        <v>46.033232197132648</v>
      </c>
      <c r="AE24" s="184">
        <f t="shared" si="6"/>
        <v>49.355468838197865</v>
      </c>
      <c r="AF24" s="184">
        <f t="shared" si="6"/>
        <v>51.822860420965732</v>
      </c>
      <c r="AG24" s="184">
        <f t="shared" si="6"/>
        <v>54.39063883194045</v>
      </c>
      <c r="AH24" s="184">
        <f t="shared" si="6"/>
        <v>55.984905029594891</v>
      </c>
      <c r="AI24" s="184">
        <f t="shared" si="6"/>
        <v>10.195170984794061</v>
      </c>
    </row>
    <row r="25" spans="2:35" ht="15" customHeight="1">
      <c r="B25" s="16"/>
      <c r="C25" s="16"/>
      <c r="D25" s="16"/>
      <c r="E25" s="16"/>
      <c r="F25" s="16"/>
      <c r="G25" s="16"/>
      <c r="H25" s="16"/>
      <c r="I25" s="16"/>
      <c r="J25" s="1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</row>
    <row r="26" spans="2:35" customFormat="1" ht="15" customHeight="1">
      <c r="B26" s="16"/>
      <c r="C26" s="16"/>
      <c r="D26" s="16"/>
      <c r="E26" s="26" t="s">
        <v>485</v>
      </c>
      <c r="F26" s="16"/>
      <c r="G26" s="26" t="s">
        <v>265</v>
      </c>
      <c r="H26" s="16"/>
      <c r="I26" s="16"/>
      <c r="J26" s="16"/>
      <c r="K26" s="241">
        <f t="shared" ref="K26:AI26" si="7">1 / (1 - K23)</f>
        <v>1.3333333333333333</v>
      </c>
      <c r="L26" s="241">
        <f t="shared" si="7"/>
        <v>1.3333333333333333</v>
      </c>
      <c r="M26" s="241">
        <f t="shared" si="7"/>
        <v>1.3333333333333333</v>
      </c>
      <c r="N26" s="241">
        <f t="shared" si="7"/>
        <v>1.3333333333333333</v>
      </c>
      <c r="O26" s="241">
        <f t="shared" si="7"/>
        <v>1.3333333333333333</v>
      </c>
      <c r="P26" s="241">
        <f t="shared" si="7"/>
        <v>1.3333333333333333</v>
      </c>
      <c r="Q26" s="241">
        <f t="shared" si="7"/>
        <v>1.3333333333333333</v>
      </c>
      <c r="R26" s="241">
        <f t="shared" si="7"/>
        <v>1.3333333333333333</v>
      </c>
      <c r="S26" s="241">
        <f t="shared" si="7"/>
        <v>1.3333333333333333</v>
      </c>
      <c r="T26" s="241">
        <f t="shared" si="7"/>
        <v>1.3333333333333333</v>
      </c>
      <c r="U26" s="241">
        <f t="shared" si="7"/>
        <v>1.3333333333333333</v>
      </c>
      <c r="V26" s="241">
        <f t="shared" si="7"/>
        <v>1.3333333333333333</v>
      </c>
      <c r="W26" s="241">
        <f t="shared" si="7"/>
        <v>1.3333333333333333</v>
      </c>
      <c r="X26" s="241">
        <f t="shared" si="7"/>
        <v>1.3333333333333333</v>
      </c>
      <c r="Y26" s="241">
        <f t="shared" si="7"/>
        <v>1.3333333333333333</v>
      </c>
      <c r="Z26" s="241">
        <f t="shared" si="7"/>
        <v>1.3333333333333333</v>
      </c>
      <c r="AA26" s="241">
        <f t="shared" si="7"/>
        <v>1.3333333333333333</v>
      </c>
      <c r="AB26" s="241">
        <f t="shared" si="7"/>
        <v>1.3333333333333333</v>
      </c>
      <c r="AC26" s="241">
        <f t="shared" si="7"/>
        <v>1.3333333333333333</v>
      </c>
      <c r="AD26" s="241">
        <f t="shared" si="7"/>
        <v>1.3333333333333333</v>
      </c>
      <c r="AE26" s="241">
        <f t="shared" si="7"/>
        <v>1.3333333333333333</v>
      </c>
      <c r="AF26" s="241">
        <f t="shared" si="7"/>
        <v>1.3333333333333333</v>
      </c>
      <c r="AG26" s="241">
        <f t="shared" si="7"/>
        <v>1.3333333333333333</v>
      </c>
      <c r="AH26" s="241">
        <f t="shared" si="7"/>
        <v>1.3333333333333333</v>
      </c>
      <c r="AI26" s="241">
        <f t="shared" si="7"/>
        <v>1.3333333333333333</v>
      </c>
    </row>
    <row r="27" spans="2:35" ht="15" customHeight="1">
      <c r="B27" s="16"/>
      <c r="C27" s="16"/>
      <c r="D27" s="16"/>
      <c r="E27" s="16"/>
      <c r="F27" s="16"/>
      <c r="G27" s="16"/>
      <c r="H27" s="16"/>
      <c r="I27" s="16"/>
      <c r="J27" s="1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</row>
    <row r="28" spans="2:35" customFormat="1" ht="15" customHeight="1">
      <c r="B28" s="16"/>
      <c r="C28" s="16"/>
      <c r="D28" s="16"/>
      <c r="E28" s="26" t="s">
        <v>474</v>
      </c>
      <c r="F28" s="16"/>
      <c r="G28" s="16" t="s">
        <v>122</v>
      </c>
      <c r="H28" s="16"/>
      <c r="I28" s="16"/>
      <c r="J28" s="16"/>
      <c r="K28" s="196">
        <f t="shared" ref="K28:AI28" si="8">K24 * K26</f>
        <v>5.932534429016485</v>
      </c>
      <c r="L28" s="196">
        <f t="shared" si="8"/>
        <v>13.173108089289153</v>
      </c>
      <c r="M28" s="196">
        <f t="shared" si="8"/>
        <v>15.65149983080434</v>
      </c>
      <c r="N28" s="196">
        <f t="shared" si="8"/>
        <v>18.130948300210481</v>
      </c>
      <c r="O28" s="196">
        <f t="shared" si="8"/>
        <v>19.835233817763953</v>
      </c>
      <c r="P28" s="196">
        <f t="shared" si="8"/>
        <v>23.095780949278016</v>
      </c>
      <c r="Q28" s="196">
        <f t="shared" si="8"/>
        <v>25.585642077319505</v>
      </c>
      <c r="R28" s="196">
        <f t="shared" si="8"/>
        <v>28.076525414232641</v>
      </c>
      <c r="S28" s="196">
        <f t="shared" si="8"/>
        <v>31.328599721747867</v>
      </c>
      <c r="T28" s="196">
        <f t="shared" si="8"/>
        <v>33.900217654017318</v>
      </c>
      <c r="U28" s="196">
        <f t="shared" si="8"/>
        <v>36.630593612879274</v>
      </c>
      <c r="V28" s="196">
        <f t="shared" si="8"/>
        <v>38.390389232508433</v>
      </c>
      <c r="W28" s="196">
        <f t="shared" si="8"/>
        <v>41.99381081337367</v>
      </c>
      <c r="X28" s="196">
        <f t="shared" si="8"/>
        <v>44.761023809823087</v>
      </c>
      <c r="Y28" s="196">
        <f t="shared" si="8"/>
        <v>47.581122548193989</v>
      </c>
      <c r="Z28" s="196">
        <f t="shared" si="8"/>
        <v>49.337107533024671</v>
      </c>
      <c r="AA28" s="196">
        <f t="shared" si="8"/>
        <v>53.344950449475093</v>
      </c>
      <c r="AB28" s="196">
        <f t="shared" si="8"/>
        <v>56.355555475820672</v>
      </c>
      <c r="AC28" s="196">
        <f t="shared" si="8"/>
        <v>59.43809847186666</v>
      </c>
      <c r="AD28" s="196">
        <f t="shared" si="8"/>
        <v>61.377642929510195</v>
      </c>
      <c r="AE28" s="196">
        <f t="shared" si="8"/>
        <v>65.807291784263811</v>
      </c>
      <c r="AF28" s="196">
        <f t="shared" si="8"/>
        <v>69.097147227954309</v>
      </c>
      <c r="AG28" s="196">
        <f t="shared" si="8"/>
        <v>72.52085177592059</v>
      </c>
      <c r="AH28" s="196">
        <f t="shared" si="8"/>
        <v>74.64654003945985</v>
      </c>
      <c r="AI28" s="196">
        <f t="shared" si="8"/>
        <v>13.593561313058746</v>
      </c>
    </row>
    <row r="29" spans="2:35" ht="15" customHeight="1">
      <c r="B29" s="26"/>
      <c r="C29" s="26"/>
      <c r="D29" s="26"/>
      <c r="E29" s="26"/>
      <c r="F29" s="26"/>
      <c r="G29" s="26"/>
      <c r="H29" s="26"/>
      <c r="I29" s="66"/>
      <c r="J29" s="107"/>
      <c r="K29" s="107"/>
      <c r="L29" s="107"/>
      <c r="M29" s="107"/>
      <c r="N29" s="107"/>
      <c r="O29" s="107"/>
      <c r="P29" s="107"/>
      <c r="Q29" s="107"/>
      <c r="R29" s="107"/>
      <c r="S29" s="26"/>
      <c r="T29" s="26"/>
      <c r="U29" s="26"/>
      <c r="V29" s="26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</row>
    <row r="30" spans="2:35" ht="15" customHeight="1">
      <c r="B30" s="15" t="s">
        <v>486</v>
      </c>
      <c r="C30" s="15"/>
      <c r="D30" s="15"/>
      <c r="E30" s="15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</row>
    <row r="31" spans="2:35" ht="15" customHeight="1">
      <c r="B31" s="26"/>
      <c r="C31" s="26"/>
      <c r="D31" s="26"/>
      <c r="E31" s="16"/>
      <c r="F31" s="16"/>
      <c r="G31" s="16"/>
      <c r="H31" s="16"/>
      <c r="I31" s="16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93"/>
      <c r="W31" s="193"/>
      <c r="X31" s="193"/>
      <c r="Y31" s="193"/>
      <c r="Z31" s="193"/>
      <c r="AA31" s="193"/>
      <c r="AB31" s="193"/>
      <c r="AC31" s="193"/>
      <c r="AD31" s="193"/>
      <c r="AE31" s="193"/>
      <c r="AF31" s="193"/>
      <c r="AG31" s="193"/>
      <c r="AH31" s="193"/>
      <c r="AI31" s="193"/>
    </row>
    <row r="32" spans="2:35" customFormat="1" ht="15" customHeight="1">
      <c r="B32" s="26"/>
      <c r="C32" s="26"/>
      <c r="D32" s="26"/>
      <c r="E32" s="193" t="s">
        <v>474</v>
      </c>
      <c r="F32" s="16"/>
      <c r="G32" s="26" t="str">
        <f>Inputs!$I$11</f>
        <v>£m 20/21 prices</v>
      </c>
      <c r="H32" s="16"/>
      <c r="I32" s="16"/>
      <c r="J32" s="193"/>
      <c r="K32" s="26">
        <f>Tax_Cap!K28 / Tax_Deductions!K12</f>
        <v>4.5329299651564643</v>
      </c>
      <c r="L32" s="26">
        <f>Tax_Cap!L28 / Tax_Deductions!L12</f>
        <v>9.732456332018252</v>
      </c>
      <c r="M32" s="26">
        <f>Tax_Cap!M28 / Tax_Deductions!M12</f>
        <v>11.181128427656553</v>
      </c>
      <c r="N32" s="26">
        <f>Tax_Cap!N28 / Tax_Deductions!N12</f>
        <v>12.524075039633992</v>
      </c>
      <c r="O32" s="26">
        <f>Tax_Cap!O28 / Tax_Deductions!O12</f>
        <v>13.24823223345893</v>
      </c>
      <c r="P32" s="26">
        <f>Tax_Cap!P28 / Tax_Deductions!P12</f>
        <v>14.915874703338993</v>
      </c>
      <c r="Q32" s="26">
        <f>Tax_Cap!Q28 / Tax_Deductions!Q12</f>
        <v>15.977464505086447</v>
      </c>
      <c r="R32" s="26">
        <f>Tax_Cap!R28 / Tax_Deductions!R12</f>
        <v>16.953148603660811</v>
      </c>
      <c r="S32" s="26">
        <f>Tax_Cap!S28 / Tax_Deductions!S12</f>
        <v>18.291253059874702</v>
      </c>
      <c r="T32" s="26">
        <f>Tax_Cap!T28 / Tax_Deductions!T12</f>
        <v>19.138170859714492</v>
      </c>
      <c r="U32" s="26">
        <f>Tax_Cap!U28 / Tax_Deductions!U12</f>
        <v>19.995734615400622</v>
      </c>
      <c r="V32" s="26">
        <f>Tax_Cap!V28 / Tax_Deductions!V12</f>
        <v>20.263356698268321</v>
      </c>
      <c r="W32" s="26">
        <f>Tax_Cap!W28 / Tax_Deductions!W12</f>
        <v>21.432341862579239</v>
      </c>
      <c r="X32" s="26">
        <f>Tax_Cap!X28 / Tax_Deductions!X12</f>
        <v>22.089191419235423</v>
      </c>
      <c r="Y32" s="26">
        <f>Tax_Cap!Y28 / Tax_Deductions!Y12</f>
        <v>22.704396242492589</v>
      </c>
      <c r="Z32" s="26">
        <f>Tax_Cap!Z28 / Tax_Deductions!Z12</f>
        <v>22.763782373749311</v>
      </c>
      <c r="AA32" s="26">
        <f>Tax_Cap!AA28 / Tax_Deductions!AA12</f>
        <v>23.799044603595558</v>
      </c>
      <c r="AB32" s="26">
        <f>Tax_Cap!AB28 / Tax_Deductions!AB12</f>
        <v>24.310752854815512</v>
      </c>
      <c r="AC32" s="26">
        <f>Tax_Cap!AC28 / Tax_Deductions!AC12</f>
        <v>24.792598489291674</v>
      </c>
      <c r="AD32" s="26">
        <f>Tax_Cap!AD28 / Tax_Deductions!AD12</f>
        <v>24.754993286789752</v>
      </c>
      <c r="AE32" s="26">
        <f>Tax_Cap!AE28 / Tax_Deductions!AE12</f>
        <v>25.663866736670276</v>
      </c>
      <c r="AF32" s="26">
        <f>Tax_Cap!AF28 / Tax_Deductions!AF12</f>
        <v>26.055754703451328</v>
      </c>
      <c r="AG32" s="26">
        <f>Tax_Cap!AG28 / Tax_Deductions!AG12</f>
        <v>26.442462835165248</v>
      </c>
      <c r="AH32" s="26">
        <f>Tax_Cap!AH28 / Tax_Deductions!AH12</f>
        <v>26.317471134891768</v>
      </c>
      <c r="AI32" s="26">
        <f>Tax_Cap!AI28 / Tax_Deductions!AI12</f>
        <v>4.6340764028506918</v>
      </c>
    </row>
    <row r="33" spans="1:35" ht="15" customHeight="1">
      <c r="A33"/>
      <c r="B33" s="26"/>
      <c r="C33" s="26"/>
      <c r="D33" s="26"/>
      <c r="E33" s="26" t="s">
        <v>412</v>
      </c>
      <c r="F33" s="16"/>
      <c r="G33" s="26" t="str">
        <f>Allowances_Cap!G24</f>
        <v>scalar</v>
      </c>
      <c r="H33" s="16"/>
      <c r="I33" s="16"/>
      <c r="J33" s="193"/>
      <c r="K33" s="242">
        <f>Allowances_Cap!K24</f>
        <v>0.92506938020351526</v>
      </c>
      <c r="L33" s="242">
        <f>Allowances_Cap!L24</f>
        <v>0.85575335819011589</v>
      </c>
      <c r="M33" s="242">
        <f>Allowances_Cap!M24</f>
        <v>0.79163122866800739</v>
      </c>
      <c r="N33" s="242">
        <f>Allowances_Cap!N24</f>
        <v>0.73231381005366081</v>
      </c>
      <c r="O33" s="242">
        <f>Allowances_Cap!O24</f>
        <v>0.67744108238081491</v>
      </c>
      <c r="P33" s="242">
        <f>Allowances_Cap!P24</f>
        <v>0.62668000220241893</v>
      </c>
      <c r="Q33" s="242">
        <f>Allowances_Cap!Q24</f>
        <v>0.57972248122332926</v>
      </c>
      <c r="R33" s="242">
        <f>Allowances_Cap!R24</f>
        <v>0.53628351639530925</v>
      </c>
      <c r="S33" s="242">
        <f>Allowances_Cap!S24</f>
        <v>0.49609946012517048</v>
      </c>
      <c r="T33" s="242">
        <f>Allowances_Cap!T24</f>
        <v>0.45892642009728996</v>
      </c>
      <c r="U33" s="242">
        <f>Allowances_Cap!U24</f>
        <v>0.42453877899841808</v>
      </c>
      <c r="V33" s="242">
        <f>Allowances_Cap!V24</f>
        <v>0.39272782516042376</v>
      </c>
      <c r="W33" s="242">
        <f>Allowances_Cap!W24</f>
        <v>0.36330048580982777</v>
      </c>
      <c r="X33" s="242">
        <f>Allowances_Cap!X24</f>
        <v>0.33607815523573337</v>
      </c>
      <c r="Y33" s="242">
        <f>Allowances_Cap!Y24</f>
        <v>0.31089561076386063</v>
      </c>
      <c r="Z33" s="242">
        <f>Allowances_Cap!Z24</f>
        <v>0.28760000995731788</v>
      </c>
      <c r="AA33" s="242">
        <f>Allowances_Cap!AA24</f>
        <v>0.26604996295774092</v>
      </c>
      <c r="AB33" s="242">
        <f>Allowances_Cap!AB24</f>
        <v>0.24611467433648557</v>
      </c>
      <c r="AC33" s="242">
        <f>Allowances_Cap!AC24</f>
        <v>0.22767314924744272</v>
      </c>
      <c r="AD33" s="242">
        <f>Allowances_Cap!AD24</f>
        <v>0.21061345906331425</v>
      </c>
      <c r="AE33" s="242">
        <f>Allowances_Cap!AE24</f>
        <v>0.19483206203821857</v>
      </c>
      <c r="AF33" s="242">
        <f>Allowances_Cap!AF24</f>
        <v>0.18023317487346768</v>
      </c>
      <c r="AG33" s="242">
        <f>Allowances_Cap!AG24</f>
        <v>0.16672819137231054</v>
      </c>
      <c r="AH33" s="242">
        <f>Allowances_Cap!AH24</f>
        <v>0.15423514465523638</v>
      </c>
      <c r="AI33" s="242">
        <f>Allowances_Cap!AI24</f>
        <v>0.14267820967181905</v>
      </c>
    </row>
    <row r="34" spans="1:35" ht="15" customHeight="1">
      <c r="A34"/>
      <c r="B34" s="231"/>
      <c r="C34" s="231"/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31"/>
      <c r="Z34" s="231"/>
      <c r="AA34" s="231"/>
      <c r="AB34" s="231"/>
      <c r="AC34" s="231"/>
      <c r="AD34" s="231"/>
      <c r="AE34" s="231"/>
      <c r="AF34" s="231"/>
      <c r="AG34" s="231"/>
      <c r="AH34" s="231"/>
      <c r="AI34" s="231"/>
    </row>
    <row r="35" spans="1:35" ht="15" customHeight="1">
      <c r="A35"/>
      <c r="B35" s="26"/>
      <c r="C35" s="26"/>
      <c r="D35" s="26"/>
      <c r="E35" s="16" t="s">
        <v>487</v>
      </c>
      <c r="F35" s="16"/>
      <c r="G35" s="26" t="str">
        <f>Inputs!$I$11</f>
        <v>£m 20/21 prices</v>
      </c>
      <c r="H35" s="16"/>
      <c r="I35" s="16"/>
      <c r="J35" s="193"/>
      <c r="K35" s="196">
        <f t="shared" ref="K35:AI35" si="9">K32 * K33</f>
        <v>4.1932747133732322</v>
      </c>
      <c r="L35" s="196">
        <f t="shared" si="9"/>
        <v>8.3285821895632761</v>
      </c>
      <c r="M35" s="196">
        <f t="shared" si="9"/>
        <v>8.8513304350805431</v>
      </c>
      <c r="N35" s="196">
        <f t="shared" si="9"/>
        <v>9.1715531096723222</v>
      </c>
      <c r="O35" s="196">
        <f t="shared" si="9"/>
        <v>8.9748967838668179</v>
      </c>
      <c r="P35" s="196">
        <f t="shared" si="9"/>
        <v>9.3474803919394844</v>
      </c>
      <c r="Q35" s="196">
        <f t="shared" si="9"/>
        <v>9.2624953665463874</v>
      </c>
      <c r="R35" s="196">
        <f t="shared" si="9"/>
        <v>9.0916941471434463</v>
      </c>
      <c r="S35" s="196">
        <f t="shared" si="9"/>
        <v>9.0742807680167115</v>
      </c>
      <c r="T35" s="196">
        <f t="shared" si="9"/>
        <v>8.7830122398590458</v>
      </c>
      <c r="U35" s="196">
        <f t="shared" si="9"/>
        <v>8.4889647587985824</v>
      </c>
      <c r="V35" s="196">
        <f t="shared" si="9"/>
        <v>7.9579840065608227</v>
      </c>
      <c r="W35" s="196">
        <f t="shared" si="9"/>
        <v>7.7863802107173461</v>
      </c>
      <c r="X35" s="196">
        <f t="shared" si="9"/>
        <v>7.4236947028256317</v>
      </c>
      <c r="Y35" s="196">
        <f t="shared" si="9"/>
        <v>7.0586971368344358</v>
      </c>
      <c r="Z35" s="196">
        <f t="shared" si="9"/>
        <v>6.546864037356519</v>
      </c>
      <c r="AA35" s="196">
        <f t="shared" si="9"/>
        <v>6.3317349352162218</v>
      </c>
      <c r="AB35" s="196">
        <f t="shared" si="9"/>
        <v>5.9832330217377061</v>
      </c>
      <c r="AC35" s="196">
        <f t="shared" si="9"/>
        <v>5.6446089760844265</v>
      </c>
      <c r="AD35" s="196">
        <f t="shared" si="9"/>
        <v>5.213734765219912</v>
      </c>
      <c r="AE35" s="196">
        <f t="shared" si="9"/>
        <v>5.0001440761795166</v>
      </c>
      <c r="AF35" s="196">
        <f t="shared" si="9"/>
        <v>4.6961113939273211</v>
      </c>
      <c r="AG35" s="196">
        <f t="shared" si="9"/>
        <v>4.4087040039366405</v>
      </c>
      <c r="AH35" s="196">
        <f t="shared" si="9"/>
        <v>4.0590789674500396</v>
      </c>
      <c r="AI35" s="196">
        <f t="shared" si="9"/>
        <v>0.66118172464115998</v>
      </c>
    </row>
    <row r="36" spans="1:35" ht="15" customHeight="1">
      <c r="A36"/>
      <c r="B36" s="26"/>
      <c r="C36" s="26"/>
      <c r="D36" s="26"/>
      <c r="E36" s="16" t="s">
        <v>488</v>
      </c>
      <c r="F36" s="16"/>
      <c r="G36" s="26" t="str">
        <f>Inputs!$I$11</f>
        <v>£m 20/21 prices</v>
      </c>
      <c r="H36" s="16"/>
      <c r="I36" s="221">
        <f>SUM(K35:AI35)</f>
        <v>172.3397168625475</v>
      </c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3"/>
      <c r="X36" s="193"/>
      <c r="Y36" s="193"/>
      <c r="Z36" s="193"/>
      <c r="AA36" s="193"/>
      <c r="AB36" s="193"/>
      <c r="AC36" s="193"/>
      <c r="AD36" s="193"/>
      <c r="AE36" s="193"/>
      <c r="AF36" s="193"/>
      <c r="AG36" s="193"/>
      <c r="AH36" s="193"/>
      <c r="AI36" s="193"/>
    </row>
    <row r="37" spans="1:35" ht="15" customHeight="1">
      <c r="A37"/>
      <c r="B37" s="26"/>
      <c r="C37" s="26"/>
      <c r="D37" s="2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</row>
    <row r="38" spans="1:35" ht="15" customHeight="1">
      <c r="A38"/>
      <c r="B38" s="26"/>
      <c r="C38" s="26"/>
      <c r="D38" s="26"/>
      <c r="E38" s="75" t="s">
        <v>410</v>
      </c>
      <c r="F38" s="16"/>
      <c r="G38" s="75" t="str">
        <f>Allowances_Cap!G31</f>
        <v>scalar</v>
      </c>
      <c r="H38" s="16"/>
      <c r="I38" s="243">
        <f>Allowances_Cap!I31</f>
        <v>9.4480276733656082E-2</v>
      </c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</row>
    <row r="39" spans="1:35" ht="15" customHeight="1">
      <c r="A39"/>
      <c r="B39" s="26"/>
      <c r="C39" s="26"/>
      <c r="D39" s="2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</row>
    <row r="40" spans="1:35" ht="15" customHeight="1">
      <c r="A40"/>
      <c r="B40" s="26"/>
      <c r="C40" s="26"/>
      <c r="D40" s="26"/>
      <c r="E40" s="16" t="s">
        <v>489</v>
      </c>
      <c r="F40" s="16"/>
      <c r="G40" s="26" t="str">
        <f>Inputs!$I$11</f>
        <v>£m 20/21 prices</v>
      </c>
      <c r="H40" s="16"/>
      <c r="I40" s="222">
        <f>I36 * I38</f>
        <v>16.282704141373422</v>
      </c>
      <c r="J40" s="193"/>
      <c r="K40" s="193"/>
      <c r="L40" s="16"/>
      <c r="M40" s="16"/>
      <c r="N40" s="193"/>
      <c r="O40" s="193"/>
      <c r="P40" s="193"/>
      <c r="Q40" s="193"/>
      <c r="R40" s="193"/>
      <c r="S40" s="193"/>
      <c r="T40" s="193"/>
      <c r="U40" s="193"/>
      <c r="V40" s="193"/>
      <c r="W40" s="193"/>
      <c r="X40" s="193"/>
      <c r="Y40" s="193"/>
      <c r="Z40" s="193"/>
      <c r="AA40" s="193"/>
      <c r="AB40" s="193"/>
      <c r="AC40" s="193"/>
      <c r="AD40" s="193"/>
      <c r="AE40" s="193"/>
      <c r="AF40" s="193"/>
      <c r="AG40" s="193"/>
      <c r="AH40" s="193"/>
      <c r="AI40" s="193"/>
    </row>
    <row r="41" spans="1:35" ht="15" customHeight="1">
      <c r="A4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</row>
    <row r="42" spans="1:35" ht="15" customHeight="1">
      <c r="A42"/>
      <c r="B42" s="14" t="s">
        <v>47</v>
      </c>
      <c r="C42" s="15"/>
      <c r="D42" s="15"/>
      <c r="E42" s="15"/>
      <c r="F42" s="106"/>
      <c r="G42" s="106"/>
      <c r="H42" s="106"/>
      <c r="I42" s="207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</row>
    <row r="43" spans="1:35" ht="15" customHeight="1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</row>
    <row r="44" spans="1:35" ht="15" hidden="1" customHeight="1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</row>
    <row r="45" spans="1:35" ht="15" hidden="1" customHeight="1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</row>
    <row r="46" spans="1:35" ht="15" hidden="1" customHeight="1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</row>
    <row r="47" spans="1:35" ht="15" hidden="1" customHeight="1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</row>
    <row r="48" spans="1:35" ht="15" hidden="1" customHeight="1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</row>
    <row r="49" spans="1:35" ht="15" hidden="1" customHeight="1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</row>
    <row r="50" spans="1:35" ht="15" hidden="1" customHeight="1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</row>
    <row r="51" spans="1:35" ht="15" hidden="1" customHeight="1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</row>
    <row r="52" spans="1:35" ht="15" hidden="1" customHeight="1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</row>
    <row r="53" spans="1:35" ht="15" hidden="1" customHeight="1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</row>
    <row r="54" spans="1:35" ht="15" hidden="1" customHeight="1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</row>
    <row r="55" spans="1:35" ht="15" hidden="1" customHeight="1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</row>
    <row r="56" spans="1:35" ht="15" hidden="1" customHeight="1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</row>
    <row r="57" spans="1:35" ht="15" hidden="1" customHeight="1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</row>
    <row r="58" spans="1:35" ht="15" hidden="1" customHeight="1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</row>
    <row r="59" spans="1:35" ht="15" hidden="1" customHeight="1">
      <c r="E59" s="16"/>
      <c r="F59" s="16"/>
      <c r="G59" s="26"/>
      <c r="H59" s="16"/>
      <c r="I59" s="244"/>
    </row>
    <row r="60" spans="1:35" ht="15" hidden="1" customHeight="1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</row>
    <row r="61" spans="1:35" ht="0" hidden="1" customHeight="1"/>
    <row r="62" spans="1:35" ht="0" hidden="1" customHeight="1"/>
    <row r="63" spans="1:35" ht="0" hidden="1" customHeight="1"/>
    <row r="64" spans="1:35" ht="0" hidden="1" customHeight="1"/>
  </sheetData>
  <sheetProtection sheet="1" objects="1" scenarios="1"/>
  <pageMargins left="0.23622047244094502" right="0.23622047244094502" top="0.74803149606299213" bottom="0.74803149606299213" header="0.31496062992126012" footer="0.31496062992126012"/>
  <pageSetup paperSize="0" fitToHeight="0" orientation="landscape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C0DA"/>
    <pageSetUpPr fitToPage="1"/>
  </sheetPr>
  <dimension ref="A1:AY112"/>
  <sheetViews>
    <sheetView workbookViewId="0"/>
  </sheetViews>
  <sheetFormatPr defaultColWidth="0" defaultRowHeight="0" customHeight="1" zeroHeight="1"/>
  <cols>
    <col min="1" max="4" width="2.59765625" style="13" customWidth="1"/>
    <col min="5" max="5" width="50.59765625" style="13" customWidth="1"/>
    <col min="6" max="6" width="1.59765625" style="13" customWidth="1"/>
    <col min="7" max="7" width="15.59765625" style="13" customWidth="1"/>
    <col min="8" max="8" width="10.69921875" style="13" customWidth="1"/>
    <col min="9" max="9" width="10.59765625" style="192" customWidth="1"/>
    <col min="10" max="10" width="1.59765625" style="13" customWidth="1"/>
    <col min="11" max="35" width="10.59765625" style="13" customWidth="1"/>
    <col min="36" max="36" width="3.09765625" customWidth="1"/>
    <col min="37" max="50" width="10.59765625" hidden="1" customWidth="1"/>
    <col min="51" max="51" width="2.59765625" hidden="1" customWidth="1"/>
    <col min="52" max="52" width="9.09765625" hidden="1" customWidth="1"/>
    <col min="53" max="16384" width="9.09765625" hidden="1"/>
  </cols>
  <sheetData>
    <row r="1" spans="1:35" ht="14.5">
      <c r="A1" s="52" t="s">
        <v>40</v>
      </c>
      <c r="B1" s="53"/>
      <c r="C1" s="53"/>
      <c r="D1" s="53"/>
      <c r="E1" s="53"/>
      <c r="F1" s="53"/>
      <c r="G1" s="53"/>
      <c r="H1" s="53" t="s">
        <v>101</v>
      </c>
      <c r="I1" s="176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3"/>
      <c r="AH1" s="53"/>
      <c r="AI1" s="53"/>
    </row>
    <row r="2" spans="1:35" ht="15" customHeight="1">
      <c r="A2" s="53"/>
      <c r="B2" s="53"/>
      <c r="C2" s="53"/>
      <c r="D2" s="53"/>
      <c r="E2" s="55" t="s">
        <v>102</v>
      </c>
      <c r="F2" s="55"/>
      <c r="G2" s="55" t="s">
        <v>103</v>
      </c>
      <c r="H2" s="55" t="s">
        <v>104</v>
      </c>
      <c r="I2" s="56" t="s">
        <v>105</v>
      </c>
      <c r="J2" s="57"/>
      <c r="K2" s="55" t="s">
        <v>106</v>
      </c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</row>
    <row r="3" spans="1:35" ht="15" customHeight="1">
      <c r="A3" s="53"/>
      <c r="B3" s="53"/>
      <c r="C3" s="53"/>
      <c r="D3" s="53"/>
      <c r="E3" s="57" t="s">
        <v>386</v>
      </c>
      <c r="F3" s="55"/>
      <c r="G3" s="55"/>
      <c r="H3" s="55"/>
      <c r="I3" s="56"/>
      <c r="J3" s="57"/>
      <c r="K3" s="97" t="s">
        <v>133</v>
      </c>
      <c r="L3" s="97" t="s">
        <v>134</v>
      </c>
      <c r="M3" s="97" t="s">
        <v>135</v>
      </c>
      <c r="N3" s="97" t="s">
        <v>136</v>
      </c>
      <c r="O3" s="97" t="s">
        <v>137</v>
      </c>
      <c r="P3" s="97" t="s">
        <v>138</v>
      </c>
      <c r="Q3" s="97" t="s">
        <v>139</v>
      </c>
      <c r="R3" s="97" t="s">
        <v>140</v>
      </c>
      <c r="S3" s="97" t="s">
        <v>141</v>
      </c>
      <c r="T3" s="97" t="s">
        <v>142</v>
      </c>
      <c r="U3" s="97" t="s">
        <v>143</v>
      </c>
      <c r="V3" s="97" t="s">
        <v>144</v>
      </c>
      <c r="W3" s="97" t="s">
        <v>145</v>
      </c>
      <c r="X3" s="97" t="s">
        <v>146</v>
      </c>
      <c r="Y3" s="97" t="s">
        <v>147</v>
      </c>
      <c r="Z3" s="97" t="s">
        <v>148</v>
      </c>
      <c r="AA3" s="97" t="s">
        <v>149</v>
      </c>
      <c r="AB3" s="97" t="s">
        <v>150</v>
      </c>
      <c r="AC3" s="97" t="s">
        <v>151</v>
      </c>
      <c r="AD3" s="97" t="s">
        <v>152</v>
      </c>
      <c r="AE3" s="97" t="s">
        <v>153</v>
      </c>
      <c r="AF3" s="97" t="s">
        <v>154</v>
      </c>
      <c r="AG3" s="97" t="s">
        <v>155</v>
      </c>
      <c r="AH3" s="97" t="s">
        <v>156</v>
      </c>
      <c r="AI3" s="97" t="s">
        <v>157</v>
      </c>
    </row>
    <row r="4" spans="1:35" ht="15" customHeight="1">
      <c r="A4" s="26"/>
      <c r="B4" s="26"/>
      <c r="C4" s="26"/>
      <c r="D4" s="26"/>
      <c r="E4" s="26"/>
      <c r="F4" s="26"/>
      <c r="G4" s="26"/>
      <c r="H4" s="26"/>
      <c r="I4" s="66"/>
      <c r="J4" s="107"/>
      <c r="K4" s="107"/>
      <c r="L4" s="107"/>
      <c r="M4" s="107"/>
      <c r="N4" s="107"/>
      <c r="O4" s="107"/>
      <c r="P4" s="107"/>
      <c r="Q4" s="107"/>
      <c r="R4" s="107"/>
      <c r="S4" s="26"/>
      <c r="T4" s="26"/>
      <c r="U4" s="26"/>
      <c r="V4" s="26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</row>
    <row r="5" spans="1:35" ht="15" customHeight="1">
      <c r="A5"/>
      <c r="B5" s="14" t="s">
        <v>490</v>
      </c>
      <c r="C5" s="15"/>
      <c r="D5" s="15"/>
      <c r="E5" s="15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</row>
    <row r="6" spans="1:35" ht="15" customHeight="1">
      <c r="A6"/>
      <c r="B6" s="16"/>
      <c r="C6" s="16"/>
      <c r="D6" s="16"/>
      <c r="E6" s="16"/>
      <c r="F6" s="16"/>
      <c r="G6" s="16"/>
      <c r="H6" s="26"/>
      <c r="I6" s="1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</row>
    <row r="7" spans="1:35" ht="15" customHeight="1">
      <c r="A7"/>
      <c r="B7" s="26"/>
      <c r="C7" s="237" t="s">
        <v>475</v>
      </c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37"/>
      <c r="AD7" s="237"/>
      <c r="AE7" s="237"/>
      <c r="AF7" s="237"/>
      <c r="AG7" s="237"/>
      <c r="AH7" s="237"/>
      <c r="AI7" s="237"/>
    </row>
    <row r="8" spans="1:35" ht="15" customHeight="1">
      <c r="A8"/>
    </row>
    <row r="9" spans="1:35" ht="15" customHeight="1">
      <c r="A9"/>
      <c r="E9" s="26" t="s">
        <v>426</v>
      </c>
      <c r="G9" s="13" t="s">
        <v>122</v>
      </c>
      <c r="I9" s="13"/>
      <c r="K9" s="19">
        <f>Allowances_Floor!K34* Tax_Deductions!K$12</f>
        <v>85.599111281069469</v>
      </c>
      <c r="L9" s="19">
        <f>Allowances_Floor!L34* Tax_Deductions!L$12</f>
        <v>88.526600886882051</v>
      </c>
      <c r="M9" s="19">
        <f>Allowances_Floor!M34* Tax_Deductions!M$12</f>
        <v>91.554210637213416</v>
      </c>
      <c r="N9" s="19">
        <f>Allowances_Floor!N34* Tax_Deductions!N$12</f>
        <v>94.685364641006117</v>
      </c>
      <c r="O9" s="19">
        <f>Allowances_Floor!O34* Tax_Deductions!O$12</f>
        <v>97.923604111728537</v>
      </c>
      <c r="P9" s="19">
        <f>Allowances_Floor!P34* Tax_Deductions!P$12</f>
        <v>101.27259137234965</v>
      </c>
      <c r="Q9" s="19">
        <f>Allowances_Floor!Q34* Tax_Deductions!Q$12</f>
        <v>104.73611399728401</v>
      </c>
      <c r="R9" s="19">
        <f>Allowances_Floor!R34* Tax_Deductions!R$12</f>
        <v>108.31808909599113</v>
      </c>
      <c r="S9" s="19">
        <f>Allowances_Floor!S34* Tax_Deductions!S$12</f>
        <v>112.02256774307402</v>
      </c>
      <c r="T9" s="19">
        <f>Allowances_Floor!T34* Tax_Deductions!T$12</f>
        <v>115.85373955988715</v>
      </c>
      <c r="U9" s="19">
        <f>Allowances_Floor!U34* Tax_Deductions!U$12</f>
        <v>119.81593745283529</v>
      </c>
      <c r="V9" s="19">
        <f>Allowances_Floor!V34* Tax_Deductions!V$12</f>
        <v>123.91364251372225</v>
      </c>
      <c r="W9" s="19">
        <f>Allowances_Floor!W34* Tax_Deductions!W$12</f>
        <v>128.15148908769154</v>
      </c>
      <c r="X9" s="19">
        <f>Allowances_Floor!X34* Tax_Deductions!X$12</f>
        <v>132.5342700144906</v>
      </c>
      <c r="Y9" s="19">
        <f>Allowances_Floor!Y34* Tax_Deductions!Y$12</f>
        <v>137.06694204898619</v>
      </c>
      <c r="Z9" s="19">
        <f>Allowances_Floor!Z34* Tax_Deductions!Z$12</f>
        <v>141.75463146706153</v>
      </c>
      <c r="AA9" s="19">
        <f>Allowances_Floor!AA34* Tax_Deductions!AA$12</f>
        <v>146.60263986323505</v>
      </c>
      <c r="AB9" s="19">
        <f>Allowances_Floor!AB34* Tax_Deductions!AB$12</f>
        <v>151.6164501465577</v>
      </c>
      <c r="AC9" s="19">
        <f>Allowances_Floor!AC34* Tax_Deductions!AC$12</f>
        <v>156.80173274156996</v>
      </c>
      <c r="AD9" s="19">
        <f>Allowances_Floor!AD34* Tax_Deductions!AD$12</f>
        <v>162.16435200133165</v>
      </c>
      <c r="AE9" s="19">
        <f>Allowances_Floor!AE34* Tax_Deductions!AE$12</f>
        <v>167.71037283977719</v>
      </c>
      <c r="AF9" s="19">
        <f>Allowances_Floor!AF34* Tax_Deductions!AF$12</f>
        <v>173.44606759089757</v>
      </c>
      <c r="AG9" s="19">
        <f>Allowances_Floor!AG34* Tax_Deductions!AG$12</f>
        <v>179.37792310250629</v>
      </c>
      <c r="AH9" s="19">
        <f>Allowances_Floor!AH34* Tax_Deductions!AH$12</f>
        <v>185.512648072612</v>
      </c>
      <c r="AI9" s="19">
        <f>Allowances_Floor!AI34* Tax_Deductions!AI$12</f>
        <v>191.85718063669532</v>
      </c>
    </row>
    <row r="10" spans="1:35" ht="15" customHeight="1">
      <c r="A10"/>
      <c r="E10" s="26" t="s">
        <v>476</v>
      </c>
      <c r="F10" s="16"/>
      <c r="G10" s="16" t="s">
        <v>122</v>
      </c>
      <c r="K10" s="19">
        <f>-Tax_Deductions!K20</f>
        <v>-119.98779438107486</v>
      </c>
      <c r="L10" s="19">
        <f>-Tax_Deductions!L20</f>
        <v>-102.97833400050672</v>
      </c>
      <c r="M10" s="19">
        <f>-Tax_Deductions!M20</f>
        <v>-100.41657868873955</v>
      </c>
      <c r="N10" s="19">
        <f>-Tax_Deductions!N20</f>
        <v>-98.018324154316559</v>
      </c>
      <c r="O10" s="19">
        <f>-Tax_Deductions!O20</f>
        <v>-98.117929583335354</v>
      </c>
      <c r="P10" s="19">
        <f>-Tax_Deductions!P20</f>
        <v>-93.727016370245821</v>
      </c>
      <c r="Q10" s="19">
        <f>-Tax_Deductions!Q20</f>
        <v>-91.832524071379709</v>
      </c>
      <c r="R10" s="19">
        <f>-Tax_Deductions!R20</f>
        <v>-90.125633261014457</v>
      </c>
      <c r="S10" s="19">
        <f>-Tax_Deductions!S20</f>
        <v>-86.332358503495726</v>
      </c>
      <c r="T10" s="19">
        <f>-Tax_Deductions!T20</f>
        <v>-84.784385698958275</v>
      </c>
      <c r="U10" s="19">
        <f>-Tax_Deductions!U20</f>
        <v>-82.971046144578963</v>
      </c>
      <c r="V10" s="19">
        <f>-Tax_Deductions!V20</f>
        <v>-84.287567968517493</v>
      </c>
      <c r="W10" s="19">
        <f>-Tax_Deductions!W20</f>
        <v>-80.298791985700433</v>
      </c>
      <c r="X10" s="19">
        <f>-Tax_Deductions!X20</f>
        <v>-79.051936671715268</v>
      </c>
      <c r="Y10" s="19">
        <f>-Tax_Deductions!Y20</f>
        <v>-77.887697733663089</v>
      </c>
      <c r="Z10" s="19">
        <f>-Tax_Deductions!Z20</f>
        <v>-80.16532521510706</v>
      </c>
      <c r="AA10" s="19">
        <f>-Tax_Deductions!AA20</f>
        <v>-75.94543782100078</v>
      </c>
      <c r="AB10" s="19">
        <f>-Tax_Deductions!AB20</f>
        <v>-74.98414863155844</v>
      </c>
      <c r="AC10" s="19">
        <f>-Tax_Deductions!AC20</f>
        <v>-74.083057518438963</v>
      </c>
      <c r="AD10" s="19">
        <f>-Tax_Deductions!AD20</f>
        <v>-76.896413615852524</v>
      </c>
      <c r="AE10" s="19">
        <f>-Tax_Deductions!AE20</f>
        <v>-72.534670561821557</v>
      </c>
      <c r="AF10" s="19">
        <f>-Tax_Deductions!AF20</f>
        <v>-71.897618101029849</v>
      </c>
      <c r="AG10" s="19">
        <f>-Tax_Deductions!AG20</f>
        <v>-71.174770301774288</v>
      </c>
      <c r="AH10" s="19">
        <f>-Tax_Deductions!AH20</f>
        <v>-74.67252204768667</v>
      </c>
      <c r="AI10" s="19">
        <f>-Tax_Deductions!AI20</f>
        <v>-268.04399348896942</v>
      </c>
    </row>
    <row r="11" spans="1:35" ht="15" customHeight="1">
      <c r="A11"/>
      <c r="E11" s="13" t="s">
        <v>475</v>
      </c>
      <c r="G11" s="13" t="s">
        <v>122</v>
      </c>
      <c r="K11" s="238">
        <f t="shared" ref="K11:AI11" si="0">SUM(K9:K10)</f>
        <v>-34.388683100005395</v>
      </c>
      <c r="L11" s="238">
        <f t="shared" si="0"/>
        <v>-14.45173311362467</v>
      </c>
      <c r="M11" s="238">
        <f t="shared" si="0"/>
        <v>-8.8623680515261327</v>
      </c>
      <c r="N11" s="238">
        <f t="shared" si="0"/>
        <v>-3.3329595133104419</v>
      </c>
      <c r="O11" s="238">
        <f t="shared" si="0"/>
        <v>-0.19432547160681679</v>
      </c>
      <c r="P11" s="238">
        <f t="shared" si="0"/>
        <v>7.5455750021038313</v>
      </c>
      <c r="Q11" s="238">
        <f t="shared" si="0"/>
        <v>12.903589925904299</v>
      </c>
      <c r="R11" s="238">
        <f t="shared" si="0"/>
        <v>18.19245583497667</v>
      </c>
      <c r="S11" s="238">
        <f t="shared" si="0"/>
        <v>25.690209239578294</v>
      </c>
      <c r="T11" s="238">
        <f t="shared" si="0"/>
        <v>31.069353860928871</v>
      </c>
      <c r="U11" s="238">
        <f t="shared" si="0"/>
        <v>36.844891308256322</v>
      </c>
      <c r="V11" s="238">
        <f t="shared" si="0"/>
        <v>39.626074545204759</v>
      </c>
      <c r="W11" s="238">
        <f t="shared" si="0"/>
        <v>47.852697101991112</v>
      </c>
      <c r="X11" s="238">
        <f t="shared" si="0"/>
        <v>53.482333342775334</v>
      </c>
      <c r="Y11" s="238">
        <f t="shared" si="0"/>
        <v>59.179244315323103</v>
      </c>
      <c r="Z11" s="238">
        <f t="shared" si="0"/>
        <v>61.589306251954469</v>
      </c>
      <c r="AA11" s="238">
        <f t="shared" si="0"/>
        <v>70.657202042234275</v>
      </c>
      <c r="AB11" s="238">
        <f t="shared" si="0"/>
        <v>76.632301514999256</v>
      </c>
      <c r="AC11" s="238">
        <f t="shared" si="0"/>
        <v>82.718675223131001</v>
      </c>
      <c r="AD11" s="238">
        <f t="shared" si="0"/>
        <v>85.267938385479127</v>
      </c>
      <c r="AE11" s="238">
        <f t="shared" si="0"/>
        <v>95.175702277955637</v>
      </c>
      <c r="AF11" s="238">
        <f t="shared" si="0"/>
        <v>101.54844948986772</v>
      </c>
      <c r="AG11" s="238">
        <f t="shared" si="0"/>
        <v>108.203152800732</v>
      </c>
      <c r="AH11" s="238">
        <f t="shared" si="0"/>
        <v>110.84012602492533</v>
      </c>
      <c r="AI11" s="238">
        <f t="shared" si="0"/>
        <v>-76.186812852274102</v>
      </c>
    </row>
    <row r="12" spans="1:35" ht="15" customHeight="1">
      <c r="A12"/>
    </row>
    <row r="13" spans="1:35" ht="15" customHeight="1">
      <c r="A13"/>
      <c r="B13" s="16"/>
      <c r="C13" s="237" t="s">
        <v>477</v>
      </c>
      <c r="D13" s="237"/>
      <c r="E13" s="237"/>
      <c r="F13" s="237"/>
      <c r="G13" s="237"/>
      <c r="H13" s="237"/>
      <c r="I13" s="237"/>
      <c r="J13" s="237"/>
      <c r="K13" s="237"/>
      <c r="L13" s="237"/>
      <c r="M13" s="237"/>
      <c r="N13" s="237"/>
      <c r="O13" s="237"/>
      <c r="P13" s="237"/>
      <c r="Q13" s="237"/>
      <c r="R13" s="237"/>
      <c r="S13" s="237"/>
      <c r="T13" s="237"/>
      <c r="U13" s="237"/>
      <c r="V13" s="237"/>
      <c r="W13" s="237"/>
      <c r="X13" s="237"/>
      <c r="Y13" s="237"/>
      <c r="Z13" s="237"/>
      <c r="AA13" s="237"/>
      <c r="AB13" s="237"/>
      <c r="AC13" s="237"/>
      <c r="AD13" s="237"/>
      <c r="AE13" s="237"/>
      <c r="AF13" s="237"/>
      <c r="AG13" s="237"/>
      <c r="AH13" s="237"/>
      <c r="AI13" s="237"/>
    </row>
    <row r="14" spans="1:35" ht="15" customHeight="1">
      <c r="A14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</row>
    <row r="15" spans="1:35" ht="15" customHeight="1">
      <c r="A15"/>
      <c r="B15" s="16"/>
      <c r="C15" s="16"/>
      <c r="D15" s="16"/>
      <c r="E15" s="26" t="s">
        <v>478</v>
      </c>
      <c r="F15" s="16"/>
      <c r="G15" s="13" t="s">
        <v>122</v>
      </c>
      <c r="H15" s="16"/>
      <c r="I15" s="16"/>
      <c r="J15" s="16"/>
      <c r="K15" s="26">
        <f t="shared" ref="K15:AI15" si="1">J18</f>
        <v>0</v>
      </c>
      <c r="L15" s="26">
        <f t="shared" si="1"/>
        <v>-34.388683100005395</v>
      </c>
      <c r="M15" s="26">
        <f t="shared" si="1"/>
        <v>-48.840416213630064</v>
      </c>
      <c r="N15" s="26">
        <f t="shared" si="1"/>
        <v>-57.702784265156197</v>
      </c>
      <c r="O15" s="26">
        <f t="shared" si="1"/>
        <v>-61.035743778466639</v>
      </c>
      <c r="P15" s="26">
        <f t="shared" si="1"/>
        <v>-61.230069250073456</v>
      </c>
      <c r="Q15" s="26">
        <f t="shared" si="1"/>
        <v>-53.684494247969624</v>
      </c>
      <c r="R15" s="26">
        <f t="shared" si="1"/>
        <v>-40.780904322065325</v>
      </c>
      <c r="S15" s="26">
        <f t="shared" si="1"/>
        <v>-22.588448487088655</v>
      </c>
      <c r="T15" s="26">
        <f t="shared" si="1"/>
        <v>0</v>
      </c>
      <c r="U15" s="26">
        <f t="shared" si="1"/>
        <v>0</v>
      </c>
      <c r="V15" s="26">
        <f t="shared" si="1"/>
        <v>0</v>
      </c>
      <c r="W15" s="26">
        <f t="shared" si="1"/>
        <v>0</v>
      </c>
      <c r="X15" s="26">
        <f t="shared" si="1"/>
        <v>0</v>
      </c>
      <c r="Y15" s="26">
        <f t="shared" si="1"/>
        <v>0</v>
      </c>
      <c r="Z15" s="26">
        <f t="shared" si="1"/>
        <v>0</v>
      </c>
      <c r="AA15" s="26">
        <f t="shared" si="1"/>
        <v>0</v>
      </c>
      <c r="AB15" s="26">
        <f t="shared" si="1"/>
        <v>0</v>
      </c>
      <c r="AC15" s="26">
        <f t="shared" si="1"/>
        <v>0</v>
      </c>
      <c r="AD15" s="26">
        <f t="shared" si="1"/>
        <v>0</v>
      </c>
      <c r="AE15" s="26">
        <f t="shared" si="1"/>
        <v>0</v>
      </c>
      <c r="AF15" s="26">
        <f t="shared" si="1"/>
        <v>0</v>
      </c>
      <c r="AG15" s="26">
        <f t="shared" si="1"/>
        <v>0</v>
      </c>
      <c r="AH15" s="26">
        <f t="shared" si="1"/>
        <v>0</v>
      </c>
      <c r="AI15" s="26">
        <f t="shared" si="1"/>
        <v>0</v>
      </c>
    </row>
    <row r="16" spans="1:35" ht="15" customHeight="1">
      <c r="A16"/>
      <c r="B16" s="16"/>
      <c r="C16" s="16"/>
      <c r="D16" s="16"/>
      <c r="E16" s="26" t="s">
        <v>479</v>
      </c>
      <c r="F16" s="16"/>
      <c r="G16" s="13" t="s">
        <v>122</v>
      </c>
      <c r="H16" s="16"/>
      <c r="I16" s="16"/>
      <c r="J16" s="16"/>
      <c r="K16" s="26">
        <f t="shared" ref="K16:AI16" si="2">MIN(K11, 0)</f>
        <v>-34.388683100005395</v>
      </c>
      <c r="L16" s="26">
        <f t="shared" si="2"/>
        <v>-14.45173311362467</v>
      </c>
      <c r="M16" s="26">
        <f t="shared" si="2"/>
        <v>-8.8623680515261327</v>
      </c>
      <c r="N16" s="26">
        <f t="shared" si="2"/>
        <v>-3.3329595133104419</v>
      </c>
      <c r="O16" s="26">
        <f t="shared" si="2"/>
        <v>-0.19432547160681679</v>
      </c>
      <c r="P16" s="26">
        <f t="shared" si="2"/>
        <v>0</v>
      </c>
      <c r="Q16" s="26">
        <f t="shared" si="2"/>
        <v>0</v>
      </c>
      <c r="R16" s="26">
        <f t="shared" si="2"/>
        <v>0</v>
      </c>
      <c r="S16" s="26">
        <f t="shared" si="2"/>
        <v>0</v>
      </c>
      <c r="T16" s="26">
        <f t="shared" si="2"/>
        <v>0</v>
      </c>
      <c r="U16" s="26">
        <f t="shared" si="2"/>
        <v>0</v>
      </c>
      <c r="V16" s="26">
        <f t="shared" si="2"/>
        <v>0</v>
      </c>
      <c r="W16" s="26">
        <f t="shared" si="2"/>
        <v>0</v>
      </c>
      <c r="X16" s="26">
        <f t="shared" si="2"/>
        <v>0</v>
      </c>
      <c r="Y16" s="26">
        <f t="shared" si="2"/>
        <v>0</v>
      </c>
      <c r="Z16" s="26">
        <f t="shared" si="2"/>
        <v>0</v>
      </c>
      <c r="AA16" s="26">
        <f t="shared" si="2"/>
        <v>0</v>
      </c>
      <c r="AB16" s="26">
        <f t="shared" si="2"/>
        <v>0</v>
      </c>
      <c r="AC16" s="26">
        <f t="shared" si="2"/>
        <v>0</v>
      </c>
      <c r="AD16" s="26">
        <f t="shared" si="2"/>
        <v>0</v>
      </c>
      <c r="AE16" s="26">
        <f t="shared" si="2"/>
        <v>0</v>
      </c>
      <c r="AF16" s="26">
        <f t="shared" si="2"/>
        <v>0</v>
      </c>
      <c r="AG16" s="26">
        <f t="shared" si="2"/>
        <v>0</v>
      </c>
      <c r="AH16" s="26">
        <f t="shared" si="2"/>
        <v>0</v>
      </c>
      <c r="AI16" s="26">
        <f t="shared" si="2"/>
        <v>-76.186812852274102</v>
      </c>
    </row>
    <row r="17" spans="2:35" customFormat="1" ht="15" customHeight="1">
      <c r="B17" s="16"/>
      <c r="C17" s="16"/>
      <c r="D17" s="16"/>
      <c r="E17" s="16" t="s">
        <v>480</v>
      </c>
      <c r="F17" s="16"/>
      <c r="G17" s="13" t="s">
        <v>122</v>
      </c>
      <c r="H17" s="16"/>
      <c r="I17" s="16"/>
      <c r="J17" s="16"/>
      <c r="K17" s="26">
        <f t="shared" ref="K17:AI17" si="3">IF(K11 &gt;= 0, MIN(K11, -K15), 0)</f>
        <v>0</v>
      </c>
      <c r="L17" s="26">
        <f t="shared" si="3"/>
        <v>0</v>
      </c>
      <c r="M17" s="26">
        <f t="shared" si="3"/>
        <v>0</v>
      </c>
      <c r="N17" s="26">
        <f t="shared" si="3"/>
        <v>0</v>
      </c>
      <c r="O17" s="26">
        <f t="shared" si="3"/>
        <v>0</v>
      </c>
      <c r="P17" s="26">
        <f t="shared" si="3"/>
        <v>7.5455750021038313</v>
      </c>
      <c r="Q17" s="26">
        <f t="shared" si="3"/>
        <v>12.903589925904299</v>
      </c>
      <c r="R17" s="26">
        <f t="shared" si="3"/>
        <v>18.19245583497667</v>
      </c>
      <c r="S17" s="26">
        <f t="shared" si="3"/>
        <v>22.588448487088655</v>
      </c>
      <c r="T17" s="26">
        <f t="shared" si="3"/>
        <v>0</v>
      </c>
      <c r="U17" s="26">
        <f t="shared" si="3"/>
        <v>0</v>
      </c>
      <c r="V17" s="26">
        <f t="shared" si="3"/>
        <v>0</v>
      </c>
      <c r="W17" s="26">
        <f t="shared" si="3"/>
        <v>0</v>
      </c>
      <c r="X17" s="26">
        <f t="shared" si="3"/>
        <v>0</v>
      </c>
      <c r="Y17" s="26">
        <f t="shared" si="3"/>
        <v>0</v>
      </c>
      <c r="Z17" s="26">
        <f t="shared" si="3"/>
        <v>0</v>
      </c>
      <c r="AA17" s="26">
        <f t="shared" si="3"/>
        <v>0</v>
      </c>
      <c r="AB17" s="26">
        <f t="shared" si="3"/>
        <v>0</v>
      </c>
      <c r="AC17" s="26">
        <f t="shared" si="3"/>
        <v>0</v>
      </c>
      <c r="AD17" s="26">
        <f t="shared" si="3"/>
        <v>0</v>
      </c>
      <c r="AE17" s="26">
        <f t="shared" si="3"/>
        <v>0</v>
      </c>
      <c r="AF17" s="26">
        <f t="shared" si="3"/>
        <v>0</v>
      </c>
      <c r="AG17" s="26">
        <f t="shared" si="3"/>
        <v>0</v>
      </c>
      <c r="AH17" s="26">
        <f t="shared" si="3"/>
        <v>0</v>
      </c>
      <c r="AI17" s="26">
        <f t="shared" si="3"/>
        <v>0</v>
      </c>
    </row>
    <row r="18" spans="2:35" customFormat="1" ht="15" customHeight="1">
      <c r="B18" s="16"/>
      <c r="C18" s="16"/>
      <c r="D18" s="16"/>
      <c r="E18" s="26" t="s">
        <v>481</v>
      </c>
      <c r="F18" s="16"/>
      <c r="G18" s="13" t="s">
        <v>122</v>
      </c>
      <c r="H18" s="16"/>
      <c r="I18" s="16"/>
      <c r="J18" s="16"/>
      <c r="K18" s="181">
        <f t="shared" ref="K18:AI18" si="4">SUM(K15:K17)</f>
        <v>-34.388683100005395</v>
      </c>
      <c r="L18" s="181">
        <f t="shared" si="4"/>
        <v>-48.840416213630064</v>
      </c>
      <c r="M18" s="181">
        <f t="shared" si="4"/>
        <v>-57.702784265156197</v>
      </c>
      <c r="N18" s="181">
        <f t="shared" si="4"/>
        <v>-61.035743778466639</v>
      </c>
      <c r="O18" s="181">
        <f t="shared" si="4"/>
        <v>-61.230069250073456</v>
      </c>
      <c r="P18" s="181">
        <f t="shared" si="4"/>
        <v>-53.684494247969624</v>
      </c>
      <c r="Q18" s="181">
        <f t="shared" si="4"/>
        <v>-40.780904322065325</v>
      </c>
      <c r="R18" s="181">
        <f t="shared" si="4"/>
        <v>-22.588448487088655</v>
      </c>
      <c r="S18" s="181">
        <f t="shared" si="4"/>
        <v>0</v>
      </c>
      <c r="T18" s="181">
        <f t="shared" si="4"/>
        <v>0</v>
      </c>
      <c r="U18" s="181">
        <f t="shared" si="4"/>
        <v>0</v>
      </c>
      <c r="V18" s="181">
        <f t="shared" si="4"/>
        <v>0</v>
      </c>
      <c r="W18" s="181">
        <f t="shared" si="4"/>
        <v>0</v>
      </c>
      <c r="X18" s="181">
        <f t="shared" si="4"/>
        <v>0</v>
      </c>
      <c r="Y18" s="181">
        <f t="shared" si="4"/>
        <v>0</v>
      </c>
      <c r="Z18" s="181">
        <f t="shared" si="4"/>
        <v>0</v>
      </c>
      <c r="AA18" s="181">
        <f t="shared" si="4"/>
        <v>0</v>
      </c>
      <c r="AB18" s="181">
        <f t="shared" si="4"/>
        <v>0</v>
      </c>
      <c r="AC18" s="181">
        <f t="shared" si="4"/>
        <v>0</v>
      </c>
      <c r="AD18" s="181">
        <f t="shared" si="4"/>
        <v>0</v>
      </c>
      <c r="AE18" s="181">
        <f t="shared" si="4"/>
        <v>0</v>
      </c>
      <c r="AF18" s="181">
        <f t="shared" si="4"/>
        <v>0</v>
      </c>
      <c r="AG18" s="181">
        <f t="shared" si="4"/>
        <v>0</v>
      </c>
      <c r="AH18" s="181">
        <f t="shared" si="4"/>
        <v>0</v>
      </c>
      <c r="AI18" s="181">
        <f t="shared" si="4"/>
        <v>-76.186812852274102</v>
      </c>
    </row>
    <row r="19" spans="2:35" ht="15" customHeight="1">
      <c r="B19" s="16"/>
      <c r="C19" s="16"/>
      <c r="D19" s="16"/>
      <c r="E19" s="16"/>
      <c r="F19" s="16"/>
      <c r="G19" s="16"/>
      <c r="H19" s="16"/>
      <c r="I19" s="16"/>
      <c r="J19" s="1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</row>
    <row r="20" spans="2:35" ht="15" customHeight="1">
      <c r="B20" s="16"/>
      <c r="C20" s="237" t="s">
        <v>482</v>
      </c>
      <c r="D20" s="237"/>
      <c r="E20" s="237"/>
      <c r="F20" s="237"/>
      <c r="G20" s="237"/>
      <c r="H20" s="237"/>
      <c r="I20" s="237"/>
      <c r="J20" s="237"/>
      <c r="K20" s="237"/>
      <c r="L20" s="237"/>
      <c r="M20" s="237"/>
      <c r="N20" s="237"/>
      <c r="O20" s="237"/>
      <c r="P20" s="237"/>
      <c r="Q20" s="237"/>
      <c r="R20" s="237"/>
      <c r="S20" s="237"/>
      <c r="T20" s="237"/>
      <c r="U20" s="237"/>
      <c r="V20" s="237"/>
      <c r="W20" s="237"/>
      <c r="X20" s="237"/>
      <c r="Y20" s="237"/>
      <c r="Z20" s="237"/>
      <c r="AA20" s="237"/>
      <c r="AB20" s="237"/>
      <c r="AC20" s="237"/>
      <c r="AD20" s="237"/>
      <c r="AE20" s="237"/>
      <c r="AF20" s="237"/>
      <c r="AG20" s="237"/>
      <c r="AH20" s="237"/>
      <c r="AI20" s="237"/>
    </row>
    <row r="21" spans="2:35" ht="15" customHeight="1">
      <c r="B21" s="26"/>
      <c r="C21" s="26"/>
      <c r="D21" s="26"/>
      <c r="E21" s="26"/>
      <c r="F21" s="26"/>
      <c r="G21" s="26"/>
      <c r="H21" s="26"/>
      <c r="I21" s="26"/>
      <c r="J21" s="108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</row>
    <row r="22" spans="2:35" customFormat="1" ht="15" customHeight="1">
      <c r="B22" s="26"/>
      <c r="C22" s="26"/>
      <c r="D22" s="26"/>
      <c r="E22" s="16" t="s">
        <v>483</v>
      </c>
      <c r="F22" s="16"/>
      <c r="G22" s="16" t="s">
        <v>122</v>
      </c>
      <c r="H22" s="26"/>
      <c r="I22" s="26"/>
      <c r="J22" s="108"/>
      <c r="K22" s="26">
        <f t="shared" ref="K22:AI22" si="5">MAX(K11 - K17,0)</f>
        <v>0</v>
      </c>
      <c r="L22" s="26">
        <f t="shared" si="5"/>
        <v>0</v>
      </c>
      <c r="M22" s="26">
        <f t="shared" si="5"/>
        <v>0</v>
      </c>
      <c r="N22" s="26">
        <f t="shared" si="5"/>
        <v>0</v>
      </c>
      <c r="O22" s="26">
        <f t="shared" si="5"/>
        <v>0</v>
      </c>
      <c r="P22" s="26">
        <f t="shared" si="5"/>
        <v>0</v>
      </c>
      <c r="Q22" s="26">
        <f t="shared" si="5"/>
        <v>0</v>
      </c>
      <c r="R22" s="26">
        <f t="shared" si="5"/>
        <v>0</v>
      </c>
      <c r="S22" s="26">
        <f t="shared" si="5"/>
        <v>3.1017607524896391</v>
      </c>
      <c r="T22" s="26">
        <f t="shared" si="5"/>
        <v>31.069353860928871</v>
      </c>
      <c r="U22" s="26">
        <f t="shared" si="5"/>
        <v>36.844891308256322</v>
      </c>
      <c r="V22" s="26">
        <f t="shared" si="5"/>
        <v>39.626074545204759</v>
      </c>
      <c r="W22" s="26">
        <f t="shared" si="5"/>
        <v>47.852697101991112</v>
      </c>
      <c r="X22" s="26">
        <f t="shared" si="5"/>
        <v>53.482333342775334</v>
      </c>
      <c r="Y22" s="26">
        <f t="shared" si="5"/>
        <v>59.179244315323103</v>
      </c>
      <c r="Z22" s="26">
        <f t="shared" si="5"/>
        <v>61.589306251954469</v>
      </c>
      <c r="AA22" s="26">
        <f t="shared" si="5"/>
        <v>70.657202042234275</v>
      </c>
      <c r="AB22" s="26">
        <f t="shared" si="5"/>
        <v>76.632301514999256</v>
      </c>
      <c r="AC22" s="26">
        <f t="shared" si="5"/>
        <v>82.718675223131001</v>
      </c>
      <c r="AD22" s="26">
        <f t="shared" si="5"/>
        <v>85.267938385479127</v>
      </c>
      <c r="AE22" s="26">
        <f t="shared" si="5"/>
        <v>95.175702277955637</v>
      </c>
      <c r="AF22" s="26">
        <f t="shared" si="5"/>
        <v>101.54844948986772</v>
      </c>
      <c r="AG22" s="26">
        <f t="shared" si="5"/>
        <v>108.203152800732</v>
      </c>
      <c r="AH22" s="26">
        <f t="shared" si="5"/>
        <v>110.84012602492533</v>
      </c>
      <c r="AI22" s="26">
        <f t="shared" si="5"/>
        <v>0</v>
      </c>
    </row>
    <row r="23" spans="2:35" customFormat="1" ht="15" customHeight="1">
      <c r="B23" s="26"/>
      <c r="C23" s="26"/>
      <c r="D23" s="26"/>
      <c r="E23" s="239" t="s">
        <v>267</v>
      </c>
      <c r="F23" s="16"/>
      <c r="G23" s="239" t="str">
        <f>Inputs!G189</f>
        <v>%</v>
      </c>
      <c r="H23" s="26"/>
      <c r="I23" s="26"/>
      <c r="J23" s="108"/>
      <c r="K23" s="245">
        <f>Inputs!K189</f>
        <v>0.25</v>
      </c>
      <c r="L23" s="245">
        <f>Inputs!L189</f>
        <v>0.25</v>
      </c>
      <c r="M23" s="245">
        <f>Inputs!M189</f>
        <v>0.25</v>
      </c>
      <c r="N23" s="245">
        <f>Inputs!N189</f>
        <v>0.25</v>
      </c>
      <c r="O23" s="245">
        <f>Inputs!O189</f>
        <v>0.25</v>
      </c>
      <c r="P23" s="245">
        <f>Inputs!P189</f>
        <v>0.25</v>
      </c>
      <c r="Q23" s="245">
        <f>Inputs!Q189</f>
        <v>0.25</v>
      </c>
      <c r="R23" s="245">
        <f>Inputs!R189</f>
        <v>0.25</v>
      </c>
      <c r="S23" s="245">
        <f>Inputs!S189</f>
        <v>0.25</v>
      </c>
      <c r="T23" s="245">
        <f>Inputs!T189</f>
        <v>0.25</v>
      </c>
      <c r="U23" s="245">
        <f>Inputs!U189</f>
        <v>0.25</v>
      </c>
      <c r="V23" s="245">
        <f>Inputs!V189</f>
        <v>0.25</v>
      </c>
      <c r="W23" s="245">
        <f>Inputs!W189</f>
        <v>0.25</v>
      </c>
      <c r="X23" s="245">
        <f>Inputs!X189</f>
        <v>0.25</v>
      </c>
      <c r="Y23" s="245">
        <f>Inputs!Y189</f>
        <v>0.25</v>
      </c>
      <c r="Z23" s="245">
        <f>Inputs!Z189</f>
        <v>0.25</v>
      </c>
      <c r="AA23" s="245">
        <f>Inputs!AA189</f>
        <v>0.25</v>
      </c>
      <c r="AB23" s="245">
        <f>Inputs!AB189</f>
        <v>0.25</v>
      </c>
      <c r="AC23" s="245">
        <f>Inputs!AC189</f>
        <v>0.25</v>
      </c>
      <c r="AD23" s="245">
        <f>Inputs!AD189</f>
        <v>0.25</v>
      </c>
      <c r="AE23" s="245">
        <f>Inputs!AE189</f>
        <v>0.25</v>
      </c>
      <c r="AF23" s="245">
        <f>Inputs!AF189</f>
        <v>0.25</v>
      </c>
      <c r="AG23" s="245">
        <f>Inputs!AG189</f>
        <v>0.25</v>
      </c>
      <c r="AH23" s="245">
        <f>Inputs!AH189</f>
        <v>0.25</v>
      </c>
      <c r="AI23" s="245">
        <f>Inputs!AI189</f>
        <v>0.25</v>
      </c>
    </row>
    <row r="24" spans="2:35" customFormat="1" ht="15" customHeight="1">
      <c r="B24" s="16"/>
      <c r="C24" s="16"/>
      <c r="D24" s="16"/>
      <c r="E24" s="16" t="s">
        <v>484</v>
      </c>
      <c r="F24" s="16"/>
      <c r="G24" s="16" t="s">
        <v>122</v>
      </c>
      <c r="H24" s="16"/>
      <c r="I24" s="16"/>
      <c r="J24" s="16"/>
      <c r="K24" s="26">
        <f t="shared" ref="K24:AI24" si="6">K22 * K23</f>
        <v>0</v>
      </c>
      <c r="L24" s="26">
        <f t="shared" si="6"/>
        <v>0</v>
      </c>
      <c r="M24" s="26">
        <f t="shared" si="6"/>
        <v>0</v>
      </c>
      <c r="N24" s="26">
        <f t="shared" si="6"/>
        <v>0</v>
      </c>
      <c r="O24" s="26">
        <f t="shared" si="6"/>
        <v>0</v>
      </c>
      <c r="P24" s="26">
        <f t="shared" si="6"/>
        <v>0</v>
      </c>
      <c r="Q24" s="26">
        <f t="shared" si="6"/>
        <v>0</v>
      </c>
      <c r="R24" s="26">
        <f t="shared" si="6"/>
        <v>0</v>
      </c>
      <c r="S24" s="26">
        <f t="shared" si="6"/>
        <v>0.77544018812240978</v>
      </c>
      <c r="T24" s="26">
        <f t="shared" si="6"/>
        <v>7.7673384652322177</v>
      </c>
      <c r="U24" s="26">
        <f t="shared" si="6"/>
        <v>9.2112228270640806</v>
      </c>
      <c r="V24" s="26">
        <f t="shared" si="6"/>
        <v>9.9065186363011897</v>
      </c>
      <c r="W24" s="26">
        <f t="shared" si="6"/>
        <v>11.963174275497778</v>
      </c>
      <c r="X24" s="26">
        <f t="shared" si="6"/>
        <v>13.370583335693834</v>
      </c>
      <c r="Y24" s="26">
        <f t="shared" si="6"/>
        <v>14.794811078830776</v>
      </c>
      <c r="Z24" s="26">
        <f t="shared" si="6"/>
        <v>15.397326562988617</v>
      </c>
      <c r="AA24" s="26">
        <f t="shared" si="6"/>
        <v>17.664300510558569</v>
      </c>
      <c r="AB24" s="26">
        <f t="shared" si="6"/>
        <v>19.158075378749814</v>
      </c>
      <c r="AC24" s="26">
        <f t="shared" si="6"/>
        <v>20.67966880578275</v>
      </c>
      <c r="AD24" s="26">
        <f t="shared" si="6"/>
        <v>21.316984596369782</v>
      </c>
      <c r="AE24" s="26">
        <f t="shared" si="6"/>
        <v>23.793925569488909</v>
      </c>
      <c r="AF24" s="26">
        <f t="shared" si="6"/>
        <v>25.38711237246693</v>
      </c>
      <c r="AG24" s="26">
        <f t="shared" si="6"/>
        <v>27.050788200183</v>
      </c>
      <c r="AH24" s="26">
        <f t="shared" si="6"/>
        <v>27.710031506231331</v>
      </c>
      <c r="AI24" s="26">
        <f t="shared" si="6"/>
        <v>0</v>
      </c>
    </row>
    <row r="25" spans="2:35" ht="15" customHeight="1">
      <c r="B25" s="16"/>
      <c r="C25" s="16"/>
      <c r="D25" s="16"/>
      <c r="E25" s="16"/>
      <c r="F25" s="16"/>
      <c r="G25" s="16"/>
      <c r="H25" s="16"/>
      <c r="I25" s="16"/>
      <c r="J25" s="1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</row>
    <row r="26" spans="2:35" customFormat="1" ht="15" customHeight="1">
      <c r="B26" s="16"/>
      <c r="C26" s="16"/>
      <c r="D26" s="16"/>
      <c r="E26" s="26" t="s">
        <v>485</v>
      </c>
      <c r="F26" s="16"/>
      <c r="G26" s="26" t="s">
        <v>265</v>
      </c>
      <c r="H26" s="16"/>
      <c r="I26" s="16"/>
      <c r="J26" s="16"/>
      <c r="K26" s="241">
        <f t="shared" ref="K26:AI26" si="7">1 / (1 - K23)</f>
        <v>1.3333333333333333</v>
      </c>
      <c r="L26" s="241">
        <f t="shared" si="7"/>
        <v>1.3333333333333333</v>
      </c>
      <c r="M26" s="241">
        <f t="shared" si="7"/>
        <v>1.3333333333333333</v>
      </c>
      <c r="N26" s="241">
        <f t="shared" si="7"/>
        <v>1.3333333333333333</v>
      </c>
      <c r="O26" s="241">
        <f t="shared" si="7"/>
        <v>1.3333333333333333</v>
      </c>
      <c r="P26" s="241">
        <f t="shared" si="7"/>
        <v>1.3333333333333333</v>
      </c>
      <c r="Q26" s="241">
        <f t="shared" si="7"/>
        <v>1.3333333333333333</v>
      </c>
      <c r="R26" s="241">
        <f t="shared" si="7"/>
        <v>1.3333333333333333</v>
      </c>
      <c r="S26" s="241">
        <f t="shared" si="7"/>
        <v>1.3333333333333333</v>
      </c>
      <c r="T26" s="241">
        <f t="shared" si="7"/>
        <v>1.3333333333333333</v>
      </c>
      <c r="U26" s="241">
        <f t="shared" si="7"/>
        <v>1.3333333333333333</v>
      </c>
      <c r="V26" s="241">
        <f t="shared" si="7"/>
        <v>1.3333333333333333</v>
      </c>
      <c r="W26" s="241">
        <f t="shared" si="7"/>
        <v>1.3333333333333333</v>
      </c>
      <c r="X26" s="241">
        <f t="shared" si="7"/>
        <v>1.3333333333333333</v>
      </c>
      <c r="Y26" s="241">
        <f t="shared" si="7"/>
        <v>1.3333333333333333</v>
      </c>
      <c r="Z26" s="241">
        <f t="shared" si="7"/>
        <v>1.3333333333333333</v>
      </c>
      <c r="AA26" s="241">
        <f t="shared" si="7"/>
        <v>1.3333333333333333</v>
      </c>
      <c r="AB26" s="241">
        <f t="shared" si="7"/>
        <v>1.3333333333333333</v>
      </c>
      <c r="AC26" s="241">
        <f t="shared" si="7"/>
        <v>1.3333333333333333</v>
      </c>
      <c r="AD26" s="241">
        <f t="shared" si="7"/>
        <v>1.3333333333333333</v>
      </c>
      <c r="AE26" s="241">
        <f t="shared" si="7"/>
        <v>1.3333333333333333</v>
      </c>
      <c r="AF26" s="241">
        <f t="shared" si="7"/>
        <v>1.3333333333333333</v>
      </c>
      <c r="AG26" s="241">
        <f t="shared" si="7"/>
        <v>1.3333333333333333</v>
      </c>
      <c r="AH26" s="241">
        <f t="shared" si="7"/>
        <v>1.3333333333333333</v>
      </c>
      <c r="AI26" s="241">
        <f t="shared" si="7"/>
        <v>1.3333333333333333</v>
      </c>
    </row>
    <row r="27" spans="2:35" ht="15" customHeight="1">
      <c r="B27" s="16"/>
      <c r="C27" s="16"/>
      <c r="D27" s="16"/>
      <c r="E27" s="16"/>
      <c r="F27" s="16"/>
      <c r="G27" s="16"/>
      <c r="H27" s="16"/>
      <c r="I27" s="16"/>
      <c r="J27" s="1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</row>
    <row r="28" spans="2:35" customFormat="1" ht="15" customHeight="1">
      <c r="B28" s="16"/>
      <c r="C28" s="16"/>
      <c r="D28" s="16"/>
      <c r="E28" s="1" t="s">
        <v>491</v>
      </c>
      <c r="F28" s="16"/>
      <c r="G28" s="13" t="s">
        <v>122</v>
      </c>
      <c r="H28" s="16"/>
      <c r="I28" s="16"/>
      <c r="J28" s="16"/>
      <c r="K28" s="196">
        <f t="shared" ref="K28:AI28" si="8">K24 * K26</f>
        <v>0</v>
      </c>
      <c r="L28" s="196">
        <f t="shared" si="8"/>
        <v>0</v>
      </c>
      <c r="M28" s="196">
        <f t="shared" si="8"/>
        <v>0</v>
      </c>
      <c r="N28" s="196">
        <f t="shared" si="8"/>
        <v>0</v>
      </c>
      <c r="O28" s="196">
        <f t="shared" si="8"/>
        <v>0</v>
      </c>
      <c r="P28" s="196">
        <f t="shared" si="8"/>
        <v>0</v>
      </c>
      <c r="Q28" s="196">
        <f t="shared" si="8"/>
        <v>0</v>
      </c>
      <c r="R28" s="196">
        <f t="shared" si="8"/>
        <v>0</v>
      </c>
      <c r="S28" s="196">
        <f t="shared" si="8"/>
        <v>1.0339202508298797</v>
      </c>
      <c r="T28" s="196">
        <f t="shared" si="8"/>
        <v>10.35645128697629</v>
      </c>
      <c r="U28" s="196">
        <f t="shared" si="8"/>
        <v>12.28163043608544</v>
      </c>
      <c r="V28" s="196">
        <f t="shared" si="8"/>
        <v>13.208691515068253</v>
      </c>
      <c r="W28" s="196">
        <f t="shared" si="8"/>
        <v>15.950899033997036</v>
      </c>
      <c r="X28" s="196">
        <f t="shared" si="8"/>
        <v>17.827444447591777</v>
      </c>
      <c r="Y28" s="196">
        <f t="shared" si="8"/>
        <v>19.726414771774365</v>
      </c>
      <c r="Z28" s="196">
        <f t="shared" si="8"/>
        <v>20.529768750651488</v>
      </c>
      <c r="AA28" s="196">
        <f t="shared" si="8"/>
        <v>23.552400680744757</v>
      </c>
      <c r="AB28" s="196">
        <f t="shared" si="8"/>
        <v>25.544100504999751</v>
      </c>
      <c r="AC28" s="196">
        <f t="shared" si="8"/>
        <v>27.572891741043666</v>
      </c>
      <c r="AD28" s="196">
        <f t="shared" si="8"/>
        <v>28.422646128493042</v>
      </c>
      <c r="AE28" s="196">
        <f t="shared" si="8"/>
        <v>31.725234092651878</v>
      </c>
      <c r="AF28" s="196">
        <f t="shared" si="8"/>
        <v>33.849483163289236</v>
      </c>
      <c r="AG28" s="196">
        <f t="shared" si="8"/>
        <v>36.067717600243995</v>
      </c>
      <c r="AH28" s="196">
        <f t="shared" si="8"/>
        <v>36.946708674975106</v>
      </c>
      <c r="AI28" s="196">
        <f t="shared" si="8"/>
        <v>0</v>
      </c>
    </row>
    <row r="29" spans="2:35" ht="15" customHeight="1">
      <c r="B29" s="16"/>
      <c r="C29" s="16"/>
      <c r="D29" s="16"/>
      <c r="E29" s="16"/>
      <c r="F29" s="16"/>
      <c r="G29" s="16"/>
      <c r="H29" s="16"/>
      <c r="I29" s="16"/>
      <c r="J29" s="1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</row>
    <row r="30" spans="2:35" ht="15" customHeight="1">
      <c r="B30" s="15" t="s">
        <v>492</v>
      </c>
      <c r="C30" s="15"/>
      <c r="D30" s="15"/>
      <c r="E30" s="15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</row>
    <row r="31" spans="2:35" ht="15" customHeight="1">
      <c r="B31" s="26"/>
      <c r="C31" s="26"/>
      <c r="D31" s="26"/>
      <c r="E31" s="16"/>
      <c r="F31" s="16"/>
      <c r="G31" s="16"/>
      <c r="H31" s="16"/>
      <c r="I31" s="193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93"/>
      <c r="W31" s="193"/>
      <c r="X31" s="193"/>
      <c r="Y31" s="193"/>
      <c r="Z31" s="193"/>
      <c r="AA31" s="193"/>
      <c r="AB31" s="193"/>
      <c r="AC31" s="193"/>
      <c r="AD31" s="193"/>
      <c r="AE31" s="193"/>
      <c r="AF31" s="193"/>
      <c r="AG31" s="193"/>
      <c r="AH31" s="193"/>
      <c r="AI31" s="193"/>
    </row>
    <row r="32" spans="2:35" customFormat="1" ht="15" customHeight="1">
      <c r="B32" s="26"/>
      <c r="C32" s="26"/>
      <c r="D32" s="26"/>
      <c r="E32" s="26" t="s">
        <v>491</v>
      </c>
      <c r="F32" s="16"/>
      <c r="G32" s="26" t="str">
        <f>Inputs!$I$11</f>
        <v>£m 20/21 prices</v>
      </c>
      <c r="H32" s="16"/>
      <c r="I32" s="16"/>
      <c r="J32" s="193"/>
      <c r="K32" s="26">
        <f>Tax_Floor!K28 / Tax_Deductions!K$12</f>
        <v>0</v>
      </c>
      <c r="L32" s="26">
        <f>Tax_Floor!L28 / Tax_Deductions!L$12</f>
        <v>0</v>
      </c>
      <c r="M32" s="26">
        <f>Tax_Floor!M28 / Tax_Deductions!M$12</f>
        <v>0</v>
      </c>
      <c r="N32" s="26">
        <f>Tax_Floor!N28 / Tax_Deductions!N$12</f>
        <v>0</v>
      </c>
      <c r="O32" s="26">
        <f>Tax_Floor!O28 / Tax_Deductions!O$12</f>
        <v>0</v>
      </c>
      <c r="P32" s="26">
        <f>Tax_Floor!P28 / Tax_Deductions!P$12</f>
        <v>0</v>
      </c>
      <c r="Q32" s="26">
        <f>Tax_Floor!Q28 / Tax_Deductions!Q$12</f>
        <v>0</v>
      </c>
      <c r="R32" s="26">
        <f>Tax_Floor!R28 / Tax_Deductions!R$12</f>
        <v>0</v>
      </c>
      <c r="S32" s="26">
        <f>Tax_Floor!S28 / Tax_Deductions!S$12</f>
        <v>0.60365599227629152</v>
      </c>
      <c r="T32" s="26">
        <f>Tax_Floor!T28 / Tax_Deductions!T$12</f>
        <v>5.8466743857903909</v>
      </c>
      <c r="U32" s="26">
        <f>Tax_Floor!U28 / Tax_Deductions!U$12</f>
        <v>6.7042381414765213</v>
      </c>
      <c r="V32" s="26">
        <f>Tax_Floor!V28 / Tax_Deductions!V$12</f>
        <v>6.9718602243442209</v>
      </c>
      <c r="W32" s="26">
        <f>Tax_Floor!W28 / Tax_Deductions!W$12</f>
        <v>8.1408453886551406</v>
      </c>
      <c r="X32" s="26">
        <f>Tax_Floor!X28 / Tax_Deductions!X$12</f>
        <v>8.7976949453113242</v>
      </c>
      <c r="Y32" s="26">
        <f>Tax_Floor!Y28 / Tax_Deductions!Y$12</f>
        <v>9.4128997685684901</v>
      </c>
      <c r="Z32" s="26">
        <f>Tax_Floor!Z28 / Tax_Deductions!Z$12</f>
        <v>9.4722858998252111</v>
      </c>
      <c r="AA32" s="26">
        <f>Tax_Floor!AA28 / Tax_Deductions!AA$12</f>
        <v>10.507548129671463</v>
      </c>
      <c r="AB32" s="26">
        <f>Tax_Floor!AB28 / Tax_Deductions!AB$12</f>
        <v>11.019256380891415</v>
      </c>
      <c r="AC32" s="26">
        <f>Tax_Floor!AC28 / Tax_Deductions!AC$12</f>
        <v>11.501102015367575</v>
      </c>
      <c r="AD32" s="26">
        <f>Tax_Floor!AD28 / Tax_Deductions!AD$12</f>
        <v>11.46349681286565</v>
      </c>
      <c r="AE32" s="26">
        <f>Tax_Floor!AE28 / Tax_Deductions!AE$12</f>
        <v>12.372370262746175</v>
      </c>
      <c r="AF32" s="26">
        <f>Tax_Floor!AF28 / Tax_Deductions!AF$12</f>
        <v>12.764258229527226</v>
      </c>
      <c r="AG32" s="26">
        <f>Tax_Floor!AG28 / Tax_Deductions!AG$12</f>
        <v>13.150966361241151</v>
      </c>
      <c r="AH32" s="26">
        <f>Tax_Floor!AH28 / Tax_Deductions!AH$12</f>
        <v>13.025974660967671</v>
      </c>
      <c r="AI32" s="26">
        <f>Tax_Floor!AI28 / Tax_Deductions!AI$12</f>
        <v>0</v>
      </c>
    </row>
    <row r="33" spans="1:35" ht="15" customHeight="1">
      <c r="A33"/>
      <c r="B33" s="26"/>
      <c r="C33" s="26"/>
      <c r="D33" s="26"/>
      <c r="E33" s="26" t="s">
        <v>422</v>
      </c>
      <c r="F33" s="16"/>
      <c r="G33" s="26" t="str">
        <f>Allowances_Floor!G24</f>
        <v>scalar</v>
      </c>
      <c r="H33" s="16"/>
      <c r="I33" s="16"/>
      <c r="J33" s="193"/>
      <c r="K33" s="242">
        <f>Allowances_Floor!K24</f>
        <v>0.98794704603833239</v>
      </c>
      <c r="L33" s="242">
        <f>Allowances_Floor!L24</f>
        <v>0.97603936577586681</v>
      </c>
      <c r="M33" s="242">
        <f>Allowances_Floor!M24</f>
        <v>0.96427520823539492</v>
      </c>
      <c r="N33" s="242">
        <f>Allowances_Floor!N24</f>
        <v>0.95265284354415625</v>
      </c>
      <c r="O33" s="242">
        <f>Allowances_Floor!O24</f>
        <v>0.94117056267946664</v>
      </c>
      <c r="P33" s="242">
        <f>Allowances_Floor!P24</f>
        <v>0.9298266772174143</v>
      </c>
      <c r="Q33" s="242">
        <f>Allowances_Floor!Q24</f>
        <v>0.91861951908458239</v>
      </c>
      <c r="R33" s="242">
        <f>Allowances_Floor!R24</f>
        <v>0.90754744031276657</v>
      </c>
      <c r="S33" s="242">
        <f>Allowances_Floor!S24</f>
        <v>0.89660881279664761</v>
      </c>
      <c r="T33" s="242">
        <f>Allowances_Floor!T24</f>
        <v>0.88580202805438391</v>
      </c>
      <c r="U33" s="242">
        <f>Allowances_Floor!U24</f>
        <v>0.87512549699109266</v>
      </c>
      <c r="V33" s="242">
        <f>Allowances_Floor!V24</f>
        <v>0.86457764966517736</v>
      </c>
      <c r="W33" s="242">
        <f>Allowances_Floor!W24</f>
        <v>0.85415693505747614</v>
      </c>
      <c r="X33" s="242">
        <f>Allowances_Floor!X24</f>
        <v>0.84386182084318928</v>
      </c>
      <c r="Y33" s="242">
        <f>Allowances_Floor!Y24</f>
        <v>0.83369079316655725</v>
      </c>
      <c r="Z33" s="242">
        <f>Allowances_Floor!Z24</f>
        <v>0.82364235641825467</v>
      </c>
      <c r="AA33" s="242">
        <f>Allowances_Floor!AA24</f>
        <v>0.81371503301546588</v>
      </c>
      <c r="AB33" s="242">
        <f>Allowances_Floor!AB24</f>
        <v>0.80390736318461364</v>
      </c>
      <c r="AC33" s="242">
        <f>Allowances_Floor!AC24</f>
        <v>0.79421790474670395</v>
      </c>
      <c r="AD33" s="242">
        <f>Allowances_Floor!AD24</f>
        <v>0.78464523290525967</v>
      </c>
      <c r="AE33" s="242">
        <f>Allowances_Floor!AE24</f>
        <v>0.77518794003681057</v>
      </c>
      <c r="AF33" s="242">
        <f>Allowances_Floor!AF24</f>
        <v>0.76584463548390702</v>
      </c>
      <c r="AG33" s="242">
        <f>Allowances_Floor!AG24</f>
        <v>0.75661394535062931</v>
      </c>
      <c r="AH33" s="242">
        <f>Allowances_Floor!AH24</f>
        <v>0.74749451230056241</v>
      </c>
      <c r="AI33" s="242">
        <f>Allowances_Floor!AI24</f>
        <v>0.73848499535720458</v>
      </c>
    </row>
    <row r="34" spans="1:35" ht="15" customHeight="1">
      <c r="A34"/>
      <c r="B34" s="231"/>
      <c r="C34" s="231"/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31"/>
      <c r="Z34" s="231"/>
      <c r="AA34" s="231"/>
      <c r="AB34" s="231"/>
      <c r="AC34" s="231"/>
      <c r="AD34" s="231"/>
      <c r="AE34" s="231"/>
      <c r="AF34" s="231"/>
      <c r="AG34" s="231"/>
      <c r="AH34" s="231"/>
      <c r="AI34" s="231"/>
    </row>
    <row r="35" spans="1:35" ht="15" customHeight="1">
      <c r="A35"/>
      <c r="B35" s="26"/>
      <c r="C35" s="26"/>
      <c r="D35" s="26"/>
      <c r="E35" s="16" t="s">
        <v>493</v>
      </c>
      <c r="F35" s="16"/>
      <c r="G35" s="26" t="str">
        <f>Inputs!$I$11</f>
        <v>£m 20/21 prices</v>
      </c>
      <c r="H35" s="16"/>
      <c r="I35" s="16"/>
      <c r="J35" s="193"/>
      <c r="K35" s="196">
        <f t="shared" ref="K35:AI35" si="9">K32*K33</f>
        <v>0</v>
      </c>
      <c r="L35" s="196">
        <f t="shared" si="9"/>
        <v>0</v>
      </c>
      <c r="M35" s="196">
        <f t="shared" si="9"/>
        <v>0</v>
      </c>
      <c r="N35" s="196">
        <f t="shared" si="9"/>
        <v>0</v>
      </c>
      <c r="O35" s="196">
        <f t="shared" si="9"/>
        <v>0</v>
      </c>
      <c r="P35" s="196">
        <f t="shared" si="9"/>
        <v>0</v>
      </c>
      <c r="Q35" s="196">
        <f t="shared" si="9"/>
        <v>0</v>
      </c>
      <c r="R35" s="196">
        <f t="shared" si="9"/>
        <v>0</v>
      </c>
      <c r="S35" s="196">
        <f t="shared" si="9"/>
        <v>0.54124328257242804</v>
      </c>
      <c r="T35" s="196">
        <f t="shared" si="9"/>
        <v>5.1789960283067478</v>
      </c>
      <c r="U35" s="196">
        <f t="shared" si="9"/>
        <v>5.8670497355062796</v>
      </c>
      <c r="V35" s="196">
        <f t="shared" si="9"/>
        <v>6.0277145265576628</v>
      </c>
      <c r="W35" s="196">
        <f t="shared" si="9"/>
        <v>6.9535595459504629</v>
      </c>
      <c r="X35" s="196">
        <f t="shared" si="9"/>
        <v>7.4240388757733369</v>
      </c>
      <c r="Y35" s="196">
        <f t="shared" si="9"/>
        <v>7.8474478740551676</v>
      </c>
      <c r="Z35" s="196">
        <f t="shared" si="9"/>
        <v>7.8017758791994449</v>
      </c>
      <c r="AA35" s="196">
        <f t="shared" si="9"/>
        <v>8.5501498732472108</v>
      </c>
      <c r="AB35" s="196">
        <f t="shared" si="9"/>
        <v>8.8584613414176463</v>
      </c>
      <c r="AC35" s="196">
        <f t="shared" si="9"/>
        <v>9.1343811449233296</v>
      </c>
      <c r="AD35" s="196">
        <f t="shared" si="9"/>
        <v>8.9947781266396696</v>
      </c>
      <c r="AE35" s="196">
        <f t="shared" si="9"/>
        <v>9.5909122173509012</v>
      </c>
      <c r="AF35" s="196">
        <f t="shared" si="9"/>
        <v>9.7754386910147382</v>
      </c>
      <c r="AG35" s="196">
        <f t="shared" si="9"/>
        <v>9.9502045437520774</v>
      </c>
      <c r="AH35" s="196">
        <f t="shared" si="9"/>
        <v>9.7368445764395126</v>
      </c>
      <c r="AI35" s="196">
        <f t="shared" si="9"/>
        <v>0</v>
      </c>
    </row>
    <row r="36" spans="1:35" ht="15" customHeight="1">
      <c r="A36"/>
      <c r="B36" s="26"/>
      <c r="C36" s="26"/>
      <c r="D36" s="26"/>
      <c r="E36" s="16" t="s">
        <v>494</v>
      </c>
      <c r="F36" s="16"/>
      <c r="G36" s="26" t="str">
        <f>Inputs!$I$11</f>
        <v>£m 20/21 prices</v>
      </c>
      <c r="H36" s="16"/>
      <c r="I36" s="221">
        <f>SUM(K35:AI35)</f>
        <v>122.23299626270662</v>
      </c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3"/>
      <c r="X36" s="193"/>
      <c r="Y36" s="193"/>
      <c r="Z36" s="193"/>
      <c r="AA36" s="193"/>
      <c r="AB36" s="193"/>
      <c r="AC36" s="193"/>
      <c r="AD36" s="193"/>
      <c r="AE36" s="193"/>
      <c r="AF36" s="193"/>
      <c r="AG36" s="193"/>
      <c r="AH36" s="193"/>
      <c r="AI36" s="193"/>
    </row>
    <row r="37" spans="1:35" ht="15" customHeight="1">
      <c r="A37"/>
      <c r="B37" s="26"/>
      <c r="C37" s="26"/>
      <c r="D37" s="26"/>
      <c r="E37" s="16"/>
      <c r="F37" s="16"/>
      <c r="G37" s="16"/>
      <c r="H37" s="16"/>
      <c r="I37" s="193"/>
      <c r="J37" s="193"/>
      <c r="K37" s="193"/>
      <c r="L37" s="193"/>
      <c r="M37" s="193"/>
      <c r="N37" s="193"/>
      <c r="O37" s="193"/>
      <c r="P37" s="193"/>
      <c r="Q37" s="193"/>
      <c r="R37" s="193"/>
      <c r="S37" s="193"/>
      <c r="T37" s="193"/>
      <c r="U37" s="193"/>
      <c r="V37" s="193"/>
      <c r="W37" s="193"/>
      <c r="X37" s="193"/>
      <c r="Y37" s="193"/>
      <c r="Z37" s="193"/>
      <c r="AA37" s="193"/>
      <c r="AB37" s="193"/>
      <c r="AC37" s="193"/>
      <c r="AD37" s="193"/>
      <c r="AE37" s="193"/>
      <c r="AF37" s="193"/>
      <c r="AG37" s="193"/>
      <c r="AH37" s="193"/>
      <c r="AI37" s="193"/>
    </row>
    <row r="38" spans="1:35" ht="15" customHeight="1">
      <c r="A38"/>
      <c r="B38" s="26"/>
      <c r="C38" s="26"/>
      <c r="D38" s="26"/>
      <c r="E38" s="16" t="s">
        <v>421</v>
      </c>
      <c r="F38" s="16"/>
      <c r="G38" s="16" t="str">
        <f>Allowances_Floor!G31</f>
        <v>scalar</v>
      </c>
      <c r="H38" s="16"/>
      <c r="I38" s="225">
        <f>Allowances_Floor!I31</f>
        <v>4.665124288628883E-2</v>
      </c>
      <c r="J38" s="193"/>
      <c r="K38" s="193"/>
      <c r="L38" s="193"/>
      <c r="M38" s="193"/>
      <c r="N38" s="193"/>
      <c r="O38" s="193"/>
      <c r="P38" s="193"/>
      <c r="Q38" s="193"/>
      <c r="R38" s="193"/>
      <c r="S38" s="193"/>
      <c r="T38" s="193"/>
      <c r="U38" s="193"/>
      <c r="V38" s="193"/>
      <c r="W38" s="193"/>
      <c r="X38" s="193"/>
      <c r="Y38" s="193"/>
      <c r="Z38" s="193"/>
      <c r="AA38" s="193"/>
      <c r="AB38" s="193"/>
      <c r="AC38" s="193"/>
      <c r="AD38" s="193"/>
      <c r="AE38" s="193"/>
      <c r="AF38" s="193"/>
      <c r="AG38" s="193"/>
      <c r="AH38" s="193"/>
      <c r="AI38" s="193"/>
    </row>
    <row r="39" spans="1:35" ht="15" customHeight="1">
      <c r="A39"/>
      <c r="B39" s="26"/>
      <c r="C39" s="26"/>
      <c r="D39" s="26"/>
      <c r="E39" s="16"/>
      <c r="F39" s="16"/>
      <c r="G39" s="16"/>
      <c r="H39" s="16"/>
      <c r="I39" s="16"/>
      <c r="J39" s="193"/>
      <c r="K39" s="193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3"/>
      <c r="AI39" s="193"/>
    </row>
    <row r="40" spans="1:35" ht="15" customHeight="1">
      <c r="A40"/>
      <c r="B40" s="26"/>
      <c r="C40" s="26"/>
      <c r="D40" s="26"/>
      <c r="E40" s="16" t="s">
        <v>495</v>
      </c>
      <c r="F40" s="16"/>
      <c r="G40" s="26" t="str">
        <f>Inputs!$I$11</f>
        <v>£m 20/21 prices</v>
      </c>
      <c r="H40" s="16"/>
      <c r="I40" s="222">
        <f>I36 * I38</f>
        <v>5.7023211973703614</v>
      </c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193"/>
      <c r="V40" s="193"/>
      <c r="W40" s="19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</row>
    <row r="41" spans="1:35" ht="15" customHeight="1">
      <c r="A41"/>
      <c r="B41" s="26"/>
      <c r="C41" s="26"/>
      <c r="D41" s="26"/>
      <c r="E41" s="16"/>
      <c r="F41" s="16"/>
      <c r="G41" s="16"/>
      <c r="H41" s="16"/>
      <c r="I41" s="16"/>
      <c r="J41" s="193"/>
      <c r="K41" s="193"/>
      <c r="L41" s="193"/>
      <c r="M41" s="193"/>
      <c r="N41" s="193"/>
      <c r="O41" s="193"/>
      <c r="P41" s="193"/>
      <c r="Q41" s="193"/>
      <c r="R41" s="193"/>
      <c r="S41" s="193"/>
      <c r="T41" s="193"/>
      <c r="U41" s="193"/>
      <c r="V41" s="193"/>
      <c r="W41" s="193"/>
      <c r="X41" s="193"/>
      <c r="Y41" s="193"/>
      <c r="Z41" s="193"/>
      <c r="AA41" s="193"/>
      <c r="AB41" s="193"/>
      <c r="AC41" s="193"/>
      <c r="AD41" s="193"/>
      <c r="AE41" s="193"/>
      <c r="AF41" s="193"/>
      <c r="AG41" s="193"/>
      <c r="AH41" s="193"/>
      <c r="AI41" s="193"/>
    </row>
    <row r="42" spans="1:35" ht="15" customHeight="1">
      <c r="A42" s="125"/>
      <c r="B42" s="14" t="s">
        <v>496</v>
      </c>
      <c r="C42" s="15"/>
      <c r="D42" s="15"/>
      <c r="E42" s="15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</row>
    <row r="43" spans="1:35" ht="15" customHeight="1">
      <c r="A43" s="125"/>
      <c r="B43" s="16"/>
      <c r="C43" s="16"/>
      <c r="D43" s="16"/>
      <c r="E43" s="16"/>
      <c r="F43" s="16"/>
      <c r="G43" s="16"/>
      <c r="H43" s="26"/>
      <c r="I43" s="1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</row>
    <row r="44" spans="1:35" ht="15" customHeight="1">
      <c r="A44" s="125"/>
      <c r="B44" s="26"/>
      <c r="C44" s="237" t="s">
        <v>475</v>
      </c>
      <c r="D44" s="237"/>
      <c r="E44" s="237"/>
      <c r="F44" s="237"/>
      <c r="G44" s="237"/>
      <c r="H44" s="237"/>
      <c r="I44" s="237"/>
      <c r="J44" s="237"/>
      <c r="K44" s="237"/>
      <c r="L44" s="237"/>
      <c r="M44" s="237"/>
      <c r="N44" s="237"/>
      <c r="O44" s="237"/>
      <c r="P44" s="237"/>
      <c r="Q44" s="237"/>
      <c r="R44" s="237"/>
      <c r="S44" s="237"/>
      <c r="T44" s="237"/>
      <c r="U44" s="237"/>
      <c r="V44" s="237"/>
      <c r="W44" s="237"/>
      <c r="X44" s="237"/>
      <c r="Y44" s="237"/>
      <c r="Z44" s="237"/>
      <c r="AA44" s="237"/>
      <c r="AB44" s="237"/>
      <c r="AC44" s="237"/>
      <c r="AD44" s="237"/>
      <c r="AE44" s="237"/>
      <c r="AF44" s="237"/>
      <c r="AG44" s="237"/>
      <c r="AH44" s="237"/>
      <c r="AI44" s="237"/>
    </row>
    <row r="45" spans="1:35" ht="15" customHeight="1">
      <c r="A45" s="125"/>
    </row>
    <row r="46" spans="1:35" ht="15" customHeight="1">
      <c r="A46" s="125"/>
      <c r="E46" s="26" t="s">
        <v>426</v>
      </c>
      <c r="G46" s="13" t="s">
        <v>122</v>
      </c>
      <c r="I46" s="13"/>
      <c r="K46" s="19">
        <f>(Allowances_Floor!K67+Allowances_Floor!K76)* Tax_Deductions!K$12</f>
        <v>99.320794547044088</v>
      </c>
      <c r="L46" s="19">
        <f>(Allowances_Floor!L67+Allowances_Floor!L76)* Tax_Deductions!L$12</f>
        <v>102.717565720553</v>
      </c>
      <c r="M46" s="19">
        <f>(Allowances_Floor!M67+Allowances_Floor!M76)* Tax_Deductions!M$12</f>
        <v>106.23050646819591</v>
      </c>
      <c r="N46" s="19">
        <f>(Allowances_Floor!N67+Allowances_Floor!N76)* Tax_Deductions!N$12</f>
        <v>109.86358978940822</v>
      </c>
      <c r="O46" s="19">
        <f>(Allowances_Floor!O67+Allowances_Floor!O76)* Tax_Deductions!O$12</f>
        <v>113.62092456020599</v>
      </c>
      <c r="P46" s="19">
        <f>(Allowances_Floor!P67+Allowances_Floor!P76)* Tax_Deductions!P$12</f>
        <v>117.50676018016505</v>
      </c>
      <c r="Q46" s="19">
        <f>(Allowances_Floor!Q67+Allowances_Floor!Q76)* Tax_Deductions!Q$12</f>
        <v>121.52549137832668</v>
      </c>
      <c r="R46" s="19">
        <f>(Allowances_Floor!R67+Allowances_Floor!R76)* Tax_Deductions!R$12</f>
        <v>125.68166318346545</v>
      </c>
      <c r="S46" s="19">
        <f>(Allowances_Floor!S67+Allowances_Floor!S76)* Tax_Deductions!S$12</f>
        <v>129.97997606433998</v>
      </c>
      <c r="T46" s="19">
        <f>(Allowances_Floor!T67+Allowances_Floor!T76)* Tax_Deductions!T$12</f>
        <v>134.4252912457404</v>
      </c>
      <c r="U46" s="19">
        <f>(Allowances_Floor!U67+Allowances_Floor!U76)* Tax_Deductions!U$12</f>
        <v>139.02263620634471</v>
      </c>
      <c r="V46" s="19">
        <f>(Allowances_Floor!V67+Allowances_Floor!V76)* Tax_Deductions!V$12</f>
        <v>143.7772103646017</v>
      </c>
      <c r="W46" s="19">
        <f>(Allowances_Floor!W67+Allowances_Floor!W76)* Tax_Deductions!W$12</f>
        <v>148.69439095907109</v>
      </c>
      <c r="X46" s="19">
        <f>(Allowances_Floor!X67+Allowances_Floor!X76)* Tax_Deductions!X$12</f>
        <v>153.77973912987133</v>
      </c>
      <c r="Y46" s="19">
        <f>(Allowances_Floor!Y67+Allowances_Floor!Y76)* Tax_Deductions!Y$12</f>
        <v>159.03900620811291</v>
      </c>
      <c r="Z46" s="19">
        <f>(Allowances_Floor!Z67+Allowances_Floor!Z76)* Tax_Deductions!Z$12</f>
        <v>164.47814022043039</v>
      </c>
      <c r="AA46" s="19">
        <f>(Allowances_Floor!AA67+Allowances_Floor!AA76)* Tax_Deductions!AA$12</f>
        <v>170.10329261596914</v>
      </c>
      <c r="AB46" s="19">
        <f>(Allowances_Floor!AB67+Allowances_Floor!AB76)* Tax_Deductions!AB$12</f>
        <v>175.92082522343529</v>
      </c>
      <c r="AC46" s="19">
        <f>(Allowances_Floor!AC67+Allowances_Floor!AC76)* Tax_Deductions!AC$12</f>
        <v>181.93731744607675</v>
      </c>
      <c r="AD46" s="19">
        <f>(Allowances_Floor!AD67+Allowances_Floor!AD76)* Tax_Deductions!AD$12</f>
        <v>188.15957370273259</v>
      </c>
      <c r="AE46" s="19">
        <f>(Allowances_Floor!AE67+Allowances_Floor!AE76)* Tax_Deductions!AE$12</f>
        <v>194.59463112336604</v>
      </c>
      <c r="AF46" s="19">
        <f>(Allowances_Floor!AF67+Allowances_Floor!AF76)* Tax_Deductions!AF$12</f>
        <v>201.24976750778518</v>
      </c>
      <c r="AG46" s="19">
        <f>(Allowances_Floor!AG67+Allowances_Floor!AG76)* Tax_Deductions!AG$12</f>
        <v>208.13250955655141</v>
      </c>
      <c r="AH46" s="19">
        <f>(Allowances_Floor!AH67+Allowances_Floor!AH76)* Tax_Deductions!AH$12</f>
        <v>215.25064138338547</v>
      </c>
      <c r="AI46" s="19">
        <f>(Allowances_Floor!AI67+Allowances_Floor!AI76)* Tax_Deductions!AI$12</f>
        <v>222.61221331869726</v>
      </c>
    </row>
    <row r="47" spans="1:35" ht="15" customHeight="1">
      <c r="A47" s="125"/>
      <c r="E47" s="26" t="s">
        <v>476</v>
      </c>
      <c r="F47" s="16"/>
      <c r="G47" s="16" t="s">
        <v>122</v>
      </c>
      <c r="K47" s="19">
        <f>-Tax_Deductions!K30</f>
        <v>-158.5560880609508</v>
      </c>
      <c r="L47" s="19">
        <f>-Tax_Deductions!L30</f>
        <v>-129.6600394064767</v>
      </c>
      <c r="M47" s="19">
        <f>-Tax_Deductions!M30</f>
        <v>-125.46088934160588</v>
      </c>
      <c r="N47" s="19">
        <f>-Tax_Deductions!N30</f>
        <v>-121.83748449809407</v>
      </c>
      <c r="O47" s="19">
        <f>-Tax_Deductions!O30</f>
        <v>-120.02154704694657</v>
      </c>
      <c r="P47" s="19">
        <f>-Tax_Deductions!P30</f>
        <v>-113.47730860229539</v>
      </c>
      <c r="Q47" s="19">
        <f>-Tax_Deductions!Q30</f>
        <v>-111.25128799136738</v>
      </c>
      <c r="R47" s="19">
        <f>-Tax_Deductions!R30</f>
        <v>-106.92318950032961</v>
      </c>
      <c r="S47" s="19">
        <f>-Tax_Deductions!S30</f>
        <v>-100.28727100433574</v>
      </c>
      <c r="T47" s="19">
        <f>-Tax_Deductions!T30</f>
        <v>-95.662026174890798</v>
      </c>
      <c r="U47" s="19">
        <f>-Tax_Deductions!U30</f>
        <v>-90.525756158969699</v>
      </c>
      <c r="V47" s="19">
        <f>-Tax_Deductions!V30</f>
        <v>-93.055639389508144</v>
      </c>
      <c r="W47" s="19">
        <f>-Tax_Deductions!W30</f>
        <v>-85.511985405320942</v>
      </c>
      <c r="X47" s="19">
        <f>-Tax_Deductions!X30</f>
        <v>-80.095294293096401</v>
      </c>
      <c r="Y47" s="19">
        <f>-Tax_Deductions!Y30</f>
        <v>-74.460309835397197</v>
      </c>
      <c r="Z47" s="19">
        <f>-Tax_Deductions!Z30</f>
        <v>-71.956914560825993</v>
      </c>
      <c r="AA47" s="19">
        <f>-Tax_Deductions!AA30</f>
        <v>-61.912184037581149</v>
      </c>
      <c r="AB47" s="19">
        <f>-Tax_Deductions!AB30</f>
        <v>-62.217945275814643</v>
      </c>
      <c r="AC47" s="19">
        <f>-Tax_Deductions!AC30</f>
        <v>-62.643224394335611</v>
      </c>
      <c r="AD47" s="19">
        <f>-Tax_Deductions!AD30</f>
        <v>-66.845047716853159</v>
      </c>
      <c r="AE47" s="19">
        <f>-Tax_Deductions!AE30</f>
        <v>-63.936776091236034</v>
      </c>
      <c r="AF47" s="19">
        <f>-Tax_Deductions!AF30</f>
        <v>-64.821242579555332</v>
      </c>
      <c r="AG47" s="19">
        <f>-Tax_Deductions!AG30</f>
        <v>-65.691147047215878</v>
      </c>
      <c r="AH47" s="19">
        <f>-Tax_Deductions!AH30</f>
        <v>-70.856219325185123</v>
      </c>
      <c r="AI47" s="19">
        <f>-Tax_Deductions!AI30</f>
        <v>-266.21689974278729</v>
      </c>
    </row>
    <row r="48" spans="1:35" ht="15" customHeight="1">
      <c r="A48" s="125"/>
      <c r="E48" s="13" t="s">
        <v>475</v>
      </c>
      <c r="G48" s="13" t="s">
        <v>122</v>
      </c>
      <c r="K48" s="238">
        <f t="shared" ref="K48:AI48" si="10">SUM(K46:K47)</f>
        <v>-59.235293513906711</v>
      </c>
      <c r="L48" s="238">
        <f t="shared" si="10"/>
        <v>-26.942473685923702</v>
      </c>
      <c r="M48" s="238">
        <f t="shared" si="10"/>
        <v>-19.230382873409965</v>
      </c>
      <c r="N48" s="238">
        <f t="shared" si="10"/>
        <v>-11.973894708685847</v>
      </c>
      <c r="O48" s="238">
        <f t="shared" si="10"/>
        <v>-6.4006224867405734</v>
      </c>
      <c r="P48" s="238">
        <f t="shared" si="10"/>
        <v>4.0294515778696507</v>
      </c>
      <c r="Q48" s="238">
        <f t="shared" si="10"/>
        <v>10.2742033869593</v>
      </c>
      <c r="R48" s="238">
        <f t="shared" si="10"/>
        <v>18.758473683135833</v>
      </c>
      <c r="S48" s="238">
        <f t="shared" si="10"/>
        <v>29.692705060004243</v>
      </c>
      <c r="T48" s="238">
        <f t="shared" si="10"/>
        <v>38.763265070849599</v>
      </c>
      <c r="U48" s="238">
        <f t="shared" si="10"/>
        <v>48.496880047375015</v>
      </c>
      <c r="V48" s="238">
        <f t="shared" si="10"/>
        <v>50.721570975093556</v>
      </c>
      <c r="W48" s="238">
        <f t="shared" si="10"/>
        <v>63.182405553750144</v>
      </c>
      <c r="X48" s="238">
        <f t="shared" si="10"/>
        <v>73.684444836774929</v>
      </c>
      <c r="Y48" s="238">
        <f t="shared" si="10"/>
        <v>84.578696372715712</v>
      </c>
      <c r="Z48" s="238">
        <f t="shared" si="10"/>
        <v>92.521225659604397</v>
      </c>
      <c r="AA48" s="238">
        <f t="shared" si="10"/>
        <v>108.191108578388</v>
      </c>
      <c r="AB48" s="238">
        <f t="shared" si="10"/>
        <v>113.70287994762064</v>
      </c>
      <c r="AC48" s="238">
        <f t="shared" si="10"/>
        <v>119.29409305174113</v>
      </c>
      <c r="AD48" s="238">
        <f t="shared" si="10"/>
        <v>121.31452598587943</v>
      </c>
      <c r="AE48" s="238">
        <f t="shared" si="10"/>
        <v>130.65785503213002</v>
      </c>
      <c r="AF48" s="238">
        <f t="shared" si="10"/>
        <v>136.42852492822985</v>
      </c>
      <c r="AG48" s="238">
        <f t="shared" si="10"/>
        <v>142.44136250933553</v>
      </c>
      <c r="AH48" s="238">
        <f t="shared" si="10"/>
        <v>144.39442205820035</v>
      </c>
      <c r="AI48" s="238">
        <f t="shared" si="10"/>
        <v>-43.604686424090033</v>
      </c>
    </row>
    <row r="49" spans="1:35" ht="15" customHeight="1">
      <c r="A49" s="125"/>
    </row>
    <row r="50" spans="1:35" ht="15" customHeight="1">
      <c r="A50" s="125"/>
      <c r="B50" s="16"/>
      <c r="C50" s="237" t="s">
        <v>477</v>
      </c>
      <c r="D50" s="237"/>
      <c r="E50" s="237"/>
      <c r="F50" s="237"/>
      <c r="G50" s="237"/>
      <c r="H50" s="237"/>
      <c r="I50" s="237"/>
      <c r="J50" s="237"/>
      <c r="K50" s="237"/>
      <c r="L50" s="237"/>
      <c r="M50" s="237"/>
      <c r="N50" s="237"/>
      <c r="O50" s="237"/>
      <c r="P50" s="237"/>
      <c r="Q50" s="237"/>
      <c r="R50" s="237"/>
      <c r="S50" s="237"/>
      <c r="T50" s="237"/>
      <c r="U50" s="237"/>
      <c r="V50" s="237"/>
      <c r="W50" s="237"/>
      <c r="X50" s="237"/>
      <c r="Y50" s="237"/>
      <c r="Z50" s="237"/>
      <c r="AA50" s="237"/>
      <c r="AB50" s="237"/>
      <c r="AC50" s="237"/>
      <c r="AD50" s="237"/>
      <c r="AE50" s="237"/>
      <c r="AF50" s="237"/>
      <c r="AG50" s="237"/>
      <c r="AH50" s="237"/>
      <c r="AI50" s="237"/>
    </row>
    <row r="51" spans="1:35" ht="15" customHeight="1">
      <c r="A51" s="125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</row>
    <row r="52" spans="1:35" ht="15" customHeight="1">
      <c r="A52" s="125"/>
      <c r="B52" s="16"/>
      <c r="C52" s="16"/>
      <c r="D52" s="16"/>
      <c r="E52" s="26" t="s">
        <v>478</v>
      </c>
      <c r="F52" s="16"/>
      <c r="G52" s="13" t="s">
        <v>122</v>
      </c>
      <c r="H52" s="16"/>
      <c r="I52" s="16"/>
      <c r="J52" s="16"/>
      <c r="K52" s="26">
        <f t="shared" ref="K52:AI52" si="11">J55</f>
        <v>0</v>
      </c>
      <c r="L52" s="26">
        <f t="shared" si="11"/>
        <v>-59.235293513906711</v>
      </c>
      <c r="M52" s="26">
        <f t="shared" si="11"/>
        <v>-86.177767199830413</v>
      </c>
      <c r="N52" s="26">
        <f t="shared" si="11"/>
        <v>-105.40815007324038</v>
      </c>
      <c r="O52" s="26">
        <f t="shared" si="11"/>
        <v>-117.38204478192623</v>
      </c>
      <c r="P52" s="26">
        <f t="shared" si="11"/>
        <v>-123.7826672686668</v>
      </c>
      <c r="Q52" s="26">
        <f t="shared" si="11"/>
        <v>-119.75321569079715</v>
      </c>
      <c r="R52" s="26">
        <f t="shared" si="11"/>
        <v>-109.47901230383785</v>
      </c>
      <c r="S52" s="26">
        <f t="shared" si="11"/>
        <v>-90.720538620702015</v>
      </c>
      <c r="T52" s="26">
        <f t="shared" si="11"/>
        <v>-61.027833560697772</v>
      </c>
      <c r="U52" s="26">
        <f t="shared" si="11"/>
        <v>-22.264568489848173</v>
      </c>
      <c r="V52" s="26">
        <f t="shared" si="11"/>
        <v>0</v>
      </c>
      <c r="W52" s="26">
        <f t="shared" si="11"/>
        <v>0</v>
      </c>
      <c r="X52" s="26">
        <f t="shared" si="11"/>
        <v>0</v>
      </c>
      <c r="Y52" s="26">
        <f t="shared" si="11"/>
        <v>0</v>
      </c>
      <c r="Z52" s="26">
        <f t="shared" si="11"/>
        <v>0</v>
      </c>
      <c r="AA52" s="26">
        <f t="shared" si="11"/>
        <v>0</v>
      </c>
      <c r="AB52" s="26">
        <f t="shared" si="11"/>
        <v>0</v>
      </c>
      <c r="AC52" s="26">
        <f t="shared" si="11"/>
        <v>0</v>
      </c>
      <c r="AD52" s="26">
        <f t="shared" si="11"/>
        <v>0</v>
      </c>
      <c r="AE52" s="26">
        <f t="shared" si="11"/>
        <v>0</v>
      </c>
      <c r="AF52" s="26">
        <f t="shared" si="11"/>
        <v>0</v>
      </c>
      <c r="AG52" s="26">
        <f t="shared" si="11"/>
        <v>0</v>
      </c>
      <c r="AH52" s="26">
        <f t="shared" si="11"/>
        <v>0</v>
      </c>
      <c r="AI52" s="26">
        <f t="shared" si="11"/>
        <v>0</v>
      </c>
    </row>
    <row r="53" spans="1:35" ht="15" customHeight="1">
      <c r="A53" s="125"/>
      <c r="B53" s="16"/>
      <c r="C53" s="16"/>
      <c r="D53" s="16"/>
      <c r="E53" s="26" t="s">
        <v>479</v>
      </c>
      <c r="F53" s="16"/>
      <c r="G53" s="13" t="s">
        <v>122</v>
      </c>
      <c r="H53" s="16"/>
      <c r="I53" s="16"/>
      <c r="J53" s="16"/>
      <c r="K53" s="26">
        <f t="shared" ref="K53:AI53" si="12">MIN(K48, 0)</f>
        <v>-59.235293513906711</v>
      </c>
      <c r="L53" s="26">
        <f t="shared" si="12"/>
        <v>-26.942473685923702</v>
      </c>
      <c r="M53" s="26">
        <f t="shared" si="12"/>
        <v>-19.230382873409965</v>
      </c>
      <c r="N53" s="26">
        <f t="shared" si="12"/>
        <v>-11.973894708685847</v>
      </c>
      <c r="O53" s="26">
        <f t="shared" si="12"/>
        <v>-6.4006224867405734</v>
      </c>
      <c r="P53" s="26">
        <f t="shared" si="12"/>
        <v>0</v>
      </c>
      <c r="Q53" s="26">
        <f t="shared" si="12"/>
        <v>0</v>
      </c>
      <c r="R53" s="26">
        <f t="shared" si="12"/>
        <v>0</v>
      </c>
      <c r="S53" s="26">
        <f t="shared" si="12"/>
        <v>0</v>
      </c>
      <c r="T53" s="26">
        <f t="shared" si="12"/>
        <v>0</v>
      </c>
      <c r="U53" s="26">
        <f t="shared" si="12"/>
        <v>0</v>
      </c>
      <c r="V53" s="26">
        <f t="shared" si="12"/>
        <v>0</v>
      </c>
      <c r="W53" s="26">
        <f t="shared" si="12"/>
        <v>0</v>
      </c>
      <c r="X53" s="26">
        <f t="shared" si="12"/>
        <v>0</v>
      </c>
      <c r="Y53" s="26">
        <f t="shared" si="12"/>
        <v>0</v>
      </c>
      <c r="Z53" s="26">
        <f t="shared" si="12"/>
        <v>0</v>
      </c>
      <c r="AA53" s="26">
        <f t="shared" si="12"/>
        <v>0</v>
      </c>
      <c r="AB53" s="26">
        <f t="shared" si="12"/>
        <v>0</v>
      </c>
      <c r="AC53" s="26">
        <f t="shared" si="12"/>
        <v>0</v>
      </c>
      <c r="AD53" s="26">
        <f t="shared" si="12"/>
        <v>0</v>
      </c>
      <c r="AE53" s="26">
        <f t="shared" si="12"/>
        <v>0</v>
      </c>
      <c r="AF53" s="26">
        <f t="shared" si="12"/>
        <v>0</v>
      </c>
      <c r="AG53" s="26">
        <f t="shared" si="12"/>
        <v>0</v>
      </c>
      <c r="AH53" s="26">
        <f t="shared" si="12"/>
        <v>0</v>
      </c>
      <c r="AI53" s="26">
        <f t="shared" si="12"/>
        <v>-43.604686424090033</v>
      </c>
    </row>
    <row r="54" spans="1:35" ht="15" customHeight="1">
      <c r="A54" s="125"/>
      <c r="B54" s="16"/>
      <c r="C54" s="16"/>
      <c r="D54" s="16"/>
      <c r="E54" s="16" t="s">
        <v>480</v>
      </c>
      <c r="F54" s="16"/>
      <c r="G54" s="13" t="s">
        <v>122</v>
      </c>
      <c r="H54" s="16"/>
      <c r="I54" s="16"/>
      <c r="J54" s="16"/>
      <c r="K54" s="26">
        <f t="shared" ref="K54:AI54" si="13">IF(K48 &gt;= 0, MIN(K48, -K52), 0)</f>
        <v>0</v>
      </c>
      <c r="L54" s="26">
        <f t="shared" si="13"/>
        <v>0</v>
      </c>
      <c r="M54" s="26">
        <f t="shared" si="13"/>
        <v>0</v>
      </c>
      <c r="N54" s="26">
        <f t="shared" si="13"/>
        <v>0</v>
      </c>
      <c r="O54" s="26">
        <f t="shared" si="13"/>
        <v>0</v>
      </c>
      <c r="P54" s="26">
        <f t="shared" si="13"/>
        <v>4.0294515778696507</v>
      </c>
      <c r="Q54" s="26">
        <f t="shared" si="13"/>
        <v>10.2742033869593</v>
      </c>
      <c r="R54" s="26">
        <f t="shared" si="13"/>
        <v>18.758473683135833</v>
      </c>
      <c r="S54" s="26">
        <f t="shared" si="13"/>
        <v>29.692705060004243</v>
      </c>
      <c r="T54" s="26">
        <f t="shared" si="13"/>
        <v>38.763265070849599</v>
      </c>
      <c r="U54" s="26">
        <f t="shared" si="13"/>
        <v>22.264568489848173</v>
      </c>
      <c r="V54" s="26">
        <f t="shared" si="13"/>
        <v>0</v>
      </c>
      <c r="W54" s="26">
        <f t="shared" si="13"/>
        <v>0</v>
      </c>
      <c r="X54" s="26">
        <f t="shared" si="13"/>
        <v>0</v>
      </c>
      <c r="Y54" s="26">
        <f t="shared" si="13"/>
        <v>0</v>
      </c>
      <c r="Z54" s="26">
        <f t="shared" si="13"/>
        <v>0</v>
      </c>
      <c r="AA54" s="26">
        <f t="shared" si="13"/>
        <v>0</v>
      </c>
      <c r="AB54" s="26">
        <f t="shared" si="13"/>
        <v>0</v>
      </c>
      <c r="AC54" s="26">
        <f t="shared" si="13"/>
        <v>0</v>
      </c>
      <c r="AD54" s="26">
        <f t="shared" si="13"/>
        <v>0</v>
      </c>
      <c r="AE54" s="26">
        <f t="shared" si="13"/>
        <v>0</v>
      </c>
      <c r="AF54" s="26">
        <f t="shared" si="13"/>
        <v>0</v>
      </c>
      <c r="AG54" s="26">
        <f t="shared" si="13"/>
        <v>0</v>
      </c>
      <c r="AH54" s="26">
        <f t="shared" si="13"/>
        <v>0</v>
      </c>
      <c r="AI54" s="26">
        <f t="shared" si="13"/>
        <v>0</v>
      </c>
    </row>
    <row r="55" spans="1:35" ht="15" customHeight="1">
      <c r="A55" s="125"/>
      <c r="B55" s="16"/>
      <c r="C55" s="16"/>
      <c r="D55" s="16"/>
      <c r="E55" s="26" t="s">
        <v>481</v>
      </c>
      <c r="F55" s="16"/>
      <c r="G55" s="13" t="s">
        <v>122</v>
      </c>
      <c r="H55" s="16"/>
      <c r="I55" s="16"/>
      <c r="J55" s="16"/>
      <c r="K55" s="181">
        <f t="shared" ref="K55:AI55" si="14">SUM(K52:K54)</f>
        <v>-59.235293513906711</v>
      </c>
      <c r="L55" s="181">
        <f t="shared" si="14"/>
        <v>-86.177767199830413</v>
      </c>
      <c r="M55" s="181">
        <f t="shared" si="14"/>
        <v>-105.40815007324038</v>
      </c>
      <c r="N55" s="181">
        <f t="shared" si="14"/>
        <v>-117.38204478192623</v>
      </c>
      <c r="O55" s="181">
        <f t="shared" si="14"/>
        <v>-123.7826672686668</v>
      </c>
      <c r="P55" s="181">
        <f t="shared" si="14"/>
        <v>-119.75321569079715</v>
      </c>
      <c r="Q55" s="181">
        <f t="shared" si="14"/>
        <v>-109.47901230383785</v>
      </c>
      <c r="R55" s="181">
        <f t="shared" si="14"/>
        <v>-90.720538620702015</v>
      </c>
      <c r="S55" s="181">
        <f t="shared" si="14"/>
        <v>-61.027833560697772</v>
      </c>
      <c r="T55" s="181">
        <f t="shared" si="14"/>
        <v>-22.264568489848173</v>
      </c>
      <c r="U55" s="181">
        <f t="shared" si="14"/>
        <v>0</v>
      </c>
      <c r="V55" s="181">
        <f t="shared" si="14"/>
        <v>0</v>
      </c>
      <c r="W55" s="181">
        <f t="shared" si="14"/>
        <v>0</v>
      </c>
      <c r="X55" s="181">
        <f t="shared" si="14"/>
        <v>0</v>
      </c>
      <c r="Y55" s="181">
        <f t="shared" si="14"/>
        <v>0</v>
      </c>
      <c r="Z55" s="181">
        <f t="shared" si="14"/>
        <v>0</v>
      </c>
      <c r="AA55" s="181">
        <f t="shared" si="14"/>
        <v>0</v>
      </c>
      <c r="AB55" s="181">
        <f t="shared" si="14"/>
        <v>0</v>
      </c>
      <c r="AC55" s="181">
        <f t="shared" si="14"/>
        <v>0</v>
      </c>
      <c r="AD55" s="181">
        <f t="shared" si="14"/>
        <v>0</v>
      </c>
      <c r="AE55" s="181">
        <f t="shared" si="14"/>
        <v>0</v>
      </c>
      <c r="AF55" s="181">
        <f t="shared" si="14"/>
        <v>0</v>
      </c>
      <c r="AG55" s="181">
        <f t="shared" si="14"/>
        <v>0</v>
      </c>
      <c r="AH55" s="181">
        <f t="shared" si="14"/>
        <v>0</v>
      </c>
      <c r="AI55" s="181">
        <f t="shared" si="14"/>
        <v>-43.604686424090033</v>
      </c>
    </row>
    <row r="56" spans="1:35" ht="15" customHeight="1">
      <c r="A56" s="125"/>
      <c r="B56" s="16"/>
      <c r="C56" s="16"/>
      <c r="D56" s="16"/>
      <c r="E56" s="16"/>
      <c r="F56" s="16"/>
      <c r="G56" s="16"/>
      <c r="H56" s="16"/>
      <c r="I56" s="16"/>
      <c r="J56" s="1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</row>
    <row r="57" spans="1:35" ht="15" customHeight="1">
      <c r="A57" s="125"/>
      <c r="B57" s="16"/>
      <c r="C57" s="237" t="s">
        <v>482</v>
      </c>
      <c r="D57" s="237"/>
      <c r="E57" s="237"/>
      <c r="F57" s="237"/>
      <c r="G57" s="237"/>
      <c r="H57" s="237"/>
      <c r="I57" s="237"/>
      <c r="J57" s="237"/>
      <c r="K57" s="237"/>
      <c r="L57" s="237"/>
      <c r="M57" s="237"/>
      <c r="N57" s="237"/>
      <c r="O57" s="237"/>
      <c r="P57" s="237"/>
      <c r="Q57" s="237"/>
      <c r="R57" s="237"/>
      <c r="S57" s="237"/>
      <c r="T57" s="237"/>
      <c r="U57" s="237"/>
      <c r="V57" s="237"/>
      <c r="W57" s="237"/>
      <c r="X57" s="237"/>
      <c r="Y57" s="237"/>
      <c r="Z57" s="237"/>
      <c r="AA57" s="237"/>
      <c r="AB57" s="237"/>
      <c r="AC57" s="237"/>
      <c r="AD57" s="237"/>
      <c r="AE57" s="237"/>
      <c r="AF57" s="237"/>
      <c r="AG57" s="237"/>
      <c r="AH57" s="237"/>
      <c r="AI57" s="237"/>
    </row>
    <row r="58" spans="1:35" ht="15" customHeight="1">
      <c r="A58" s="125"/>
      <c r="B58" s="26"/>
      <c r="C58" s="26"/>
      <c r="D58" s="26"/>
      <c r="E58" s="26"/>
      <c r="F58" s="26"/>
      <c r="G58" s="26"/>
      <c r="H58" s="26"/>
      <c r="I58" s="26"/>
      <c r="J58" s="108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</row>
    <row r="59" spans="1:35" ht="15" customHeight="1">
      <c r="A59" s="125"/>
      <c r="B59" s="26"/>
      <c r="C59" s="26"/>
      <c r="D59" s="26"/>
      <c r="E59" s="16" t="s">
        <v>483</v>
      </c>
      <c r="F59" s="16"/>
      <c r="G59" s="16" t="s">
        <v>122</v>
      </c>
      <c r="H59" s="26"/>
      <c r="I59" s="26"/>
      <c r="J59" s="108"/>
      <c r="K59" s="26">
        <f t="shared" ref="K59:AI59" si="15">MAX(K48 - K54,0)</f>
        <v>0</v>
      </c>
      <c r="L59" s="26">
        <f t="shared" si="15"/>
        <v>0</v>
      </c>
      <c r="M59" s="26">
        <f t="shared" si="15"/>
        <v>0</v>
      </c>
      <c r="N59" s="26">
        <f t="shared" si="15"/>
        <v>0</v>
      </c>
      <c r="O59" s="26">
        <f t="shared" si="15"/>
        <v>0</v>
      </c>
      <c r="P59" s="26">
        <f t="shared" si="15"/>
        <v>0</v>
      </c>
      <c r="Q59" s="26">
        <f t="shared" si="15"/>
        <v>0</v>
      </c>
      <c r="R59" s="26">
        <f t="shared" si="15"/>
        <v>0</v>
      </c>
      <c r="S59" s="26">
        <f t="shared" si="15"/>
        <v>0</v>
      </c>
      <c r="T59" s="26">
        <f t="shared" si="15"/>
        <v>0</v>
      </c>
      <c r="U59" s="26">
        <f t="shared" si="15"/>
        <v>26.232311557526842</v>
      </c>
      <c r="V59" s="26">
        <f t="shared" si="15"/>
        <v>50.721570975093556</v>
      </c>
      <c r="W59" s="26">
        <f t="shared" si="15"/>
        <v>63.182405553750144</v>
      </c>
      <c r="X59" s="26">
        <f t="shared" si="15"/>
        <v>73.684444836774929</v>
      </c>
      <c r="Y59" s="26">
        <f t="shared" si="15"/>
        <v>84.578696372715712</v>
      </c>
      <c r="Z59" s="26">
        <f t="shared" si="15"/>
        <v>92.521225659604397</v>
      </c>
      <c r="AA59" s="26">
        <f t="shared" si="15"/>
        <v>108.191108578388</v>
      </c>
      <c r="AB59" s="26">
        <f t="shared" si="15"/>
        <v>113.70287994762064</v>
      </c>
      <c r="AC59" s="26">
        <f t="shared" si="15"/>
        <v>119.29409305174113</v>
      </c>
      <c r="AD59" s="26">
        <f t="shared" si="15"/>
        <v>121.31452598587943</v>
      </c>
      <c r="AE59" s="26">
        <f t="shared" si="15"/>
        <v>130.65785503213002</v>
      </c>
      <c r="AF59" s="26">
        <f t="shared" si="15"/>
        <v>136.42852492822985</v>
      </c>
      <c r="AG59" s="26">
        <f t="shared" si="15"/>
        <v>142.44136250933553</v>
      </c>
      <c r="AH59" s="26">
        <f t="shared" si="15"/>
        <v>144.39442205820035</v>
      </c>
      <c r="AI59" s="26">
        <f t="shared" si="15"/>
        <v>0</v>
      </c>
    </row>
    <row r="60" spans="1:35" ht="15" customHeight="1">
      <c r="A60" s="125"/>
      <c r="B60" s="26"/>
      <c r="C60" s="26"/>
      <c r="D60" s="26"/>
      <c r="E60" s="239" t="s">
        <v>267</v>
      </c>
      <c r="F60" s="16"/>
      <c r="G60" s="239" t="str">
        <f>Inputs!G189</f>
        <v>%</v>
      </c>
      <c r="H60" s="26"/>
      <c r="I60" s="26"/>
      <c r="J60" s="108"/>
      <c r="K60" s="245">
        <f>Inputs!K189</f>
        <v>0.25</v>
      </c>
      <c r="L60" s="245">
        <f>Inputs!L189</f>
        <v>0.25</v>
      </c>
      <c r="M60" s="245">
        <f>Inputs!M189</f>
        <v>0.25</v>
      </c>
      <c r="N60" s="245">
        <f>Inputs!N189</f>
        <v>0.25</v>
      </c>
      <c r="O60" s="245">
        <f>Inputs!O189</f>
        <v>0.25</v>
      </c>
      <c r="P60" s="245">
        <f>Inputs!P189</f>
        <v>0.25</v>
      </c>
      <c r="Q60" s="245">
        <f>Inputs!Q189</f>
        <v>0.25</v>
      </c>
      <c r="R60" s="245">
        <f>Inputs!R189</f>
        <v>0.25</v>
      </c>
      <c r="S60" s="245">
        <f>Inputs!S189</f>
        <v>0.25</v>
      </c>
      <c r="T60" s="245">
        <f>Inputs!T189</f>
        <v>0.25</v>
      </c>
      <c r="U60" s="245">
        <f>Inputs!U189</f>
        <v>0.25</v>
      </c>
      <c r="V60" s="245">
        <f>Inputs!V189</f>
        <v>0.25</v>
      </c>
      <c r="W60" s="245">
        <f>Inputs!W189</f>
        <v>0.25</v>
      </c>
      <c r="X60" s="245">
        <f>Inputs!X189</f>
        <v>0.25</v>
      </c>
      <c r="Y60" s="245">
        <f>Inputs!Y189</f>
        <v>0.25</v>
      </c>
      <c r="Z60" s="245">
        <f>Inputs!Z189</f>
        <v>0.25</v>
      </c>
      <c r="AA60" s="245">
        <f>Inputs!AA189</f>
        <v>0.25</v>
      </c>
      <c r="AB60" s="245">
        <f>Inputs!AB189</f>
        <v>0.25</v>
      </c>
      <c r="AC60" s="245">
        <f>Inputs!AC189</f>
        <v>0.25</v>
      </c>
      <c r="AD60" s="245">
        <f>Inputs!AD189</f>
        <v>0.25</v>
      </c>
      <c r="AE60" s="245">
        <f>Inputs!AE189</f>
        <v>0.25</v>
      </c>
      <c r="AF60" s="245">
        <f>Inputs!AF189</f>
        <v>0.25</v>
      </c>
      <c r="AG60" s="245">
        <f>Inputs!AG189</f>
        <v>0.25</v>
      </c>
      <c r="AH60" s="245">
        <f>Inputs!AH189</f>
        <v>0.25</v>
      </c>
      <c r="AI60" s="245">
        <f>Inputs!AI189</f>
        <v>0.25</v>
      </c>
    </row>
    <row r="61" spans="1:35" ht="15" customHeight="1">
      <c r="A61" s="125"/>
      <c r="B61" s="16"/>
      <c r="C61" s="16"/>
      <c r="D61" s="16"/>
      <c r="E61" s="16" t="s">
        <v>484</v>
      </c>
      <c r="F61" s="16"/>
      <c r="G61" s="16" t="s">
        <v>122</v>
      </c>
      <c r="H61" s="16"/>
      <c r="I61" s="16"/>
      <c r="J61" s="16"/>
      <c r="K61" s="26">
        <f t="shared" ref="K61:AI61" si="16">K59 * K60</f>
        <v>0</v>
      </c>
      <c r="L61" s="26">
        <f t="shared" si="16"/>
        <v>0</v>
      </c>
      <c r="M61" s="26">
        <f t="shared" si="16"/>
        <v>0</v>
      </c>
      <c r="N61" s="26">
        <f t="shared" si="16"/>
        <v>0</v>
      </c>
      <c r="O61" s="26">
        <f t="shared" si="16"/>
        <v>0</v>
      </c>
      <c r="P61" s="26">
        <f t="shared" si="16"/>
        <v>0</v>
      </c>
      <c r="Q61" s="26">
        <f t="shared" si="16"/>
        <v>0</v>
      </c>
      <c r="R61" s="26">
        <f t="shared" si="16"/>
        <v>0</v>
      </c>
      <c r="S61" s="26">
        <f t="shared" si="16"/>
        <v>0</v>
      </c>
      <c r="T61" s="26">
        <f t="shared" si="16"/>
        <v>0</v>
      </c>
      <c r="U61" s="26">
        <f t="shared" si="16"/>
        <v>6.5580778893817104</v>
      </c>
      <c r="V61" s="26">
        <f t="shared" si="16"/>
        <v>12.680392743773389</v>
      </c>
      <c r="W61" s="26">
        <f t="shared" si="16"/>
        <v>15.795601388437536</v>
      </c>
      <c r="X61" s="26">
        <f t="shared" si="16"/>
        <v>18.421111209193732</v>
      </c>
      <c r="Y61" s="26">
        <f t="shared" si="16"/>
        <v>21.144674093178928</v>
      </c>
      <c r="Z61" s="26">
        <f t="shared" si="16"/>
        <v>23.130306414901099</v>
      </c>
      <c r="AA61" s="26">
        <f t="shared" si="16"/>
        <v>27.047777144596999</v>
      </c>
      <c r="AB61" s="26">
        <f t="shared" si="16"/>
        <v>28.425719986905161</v>
      </c>
      <c r="AC61" s="26">
        <f t="shared" si="16"/>
        <v>29.823523262935282</v>
      </c>
      <c r="AD61" s="26">
        <f t="shared" si="16"/>
        <v>30.328631496469857</v>
      </c>
      <c r="AE61" s="26">
        <f t="shared" si="16"/>
        <v>32.664463758032504</v>
      </c>
      <c r="AF61" s="26">
        <f t="shared" si="16"/>
        <v>34.107131232057462</v>
      </c>
      <c r="AG61" s="26">
        <f t="shared" si="16"/>
        <v>35.610340627333883</v>
      </c>
      <c r="AH61" s="26">
        <f t="shared" si="16"/>
        <v>36.098605514550087</v>
      </c>
      <c r="AI61" s="26">
        <f t="shared" si="16"/>
        <v>0</v>
      </c>
    </row>
    <row r="62" spans="1:35" ht="15" customHeight="1">
      <c r="A62" s="125"/>
      <c r="B62" s="16"/>
      <c r="C62" s="16"/>
      <c r="D62" s="16"/>
      <c r="E62" s="16"/>
      <c r="F62" s="16"/>
      <c r="G62" s="16"/>
      <c r="H62" s="16"/>
      <c r="I62" s="16"/>
      <c r="J62" s="1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</row>
    <row r="63" spans="1:35" ht="15" customHeight="1">
      <c r="A63" s="125"/>
      <c r="B63" s="16"/>
      <c r="C63" s="16"/>
      <c r="D63" s="16"/>
      <c r="E63" s="26" t="s">
        <v>485</v>
      </c>
      <c r="F63" s="16"/>
      <c r="G63" s="26" t="s">
        <v>265</v>
      </c>
      <c r="H63" s="16"/>
      <c r="I63" s="16"/>
      <c r="J63" s="16"/>
      <c r="K63" s="241">
        <f t="shared" ref="K63:AI63" si="17">1 / (1 - K60)</f>
        <v>1.3333333333333333</v>
      </c>
      <c r="L63" s="241">
        <f t="shared" si="17"/>
        <v>1.3333333333333333</v>
      </c>
      <c r="M63" s="241">
        <f t="shared" si="17"/>
        <v>1.3333333333333333</v>
      </c>
      <c r="N63" s="241">
        <f t="shared" si="17"/>
        <v>1.3333333333333333</v>
      </c>
      <c r="O63" s="241">
        <f t="shared" si="17"/>
        <v>1.3333333333333333</v>
      </c>
      <c r="P63" s="241">
        <f t="shared" si="17"/>
        <v>1.3333333333333333</v>
      </c>
      <c r="Q63" s="241">
        <f t="shared" si="17"/>
        <v>1.3333333333333333</v>
      </c>
      <c r="R63" s="241">
        <f t="shared" si="17"/>
        <v>1.3333333333333333</v>
      </c>
      <c r="S63" s="241">
        <f t="shared" si="17"/>
        <v>1.3333333333333333</v>
      </c>
      <c r="T63" s="241">
        <f t="shared" si="17"/>
        <v>1.3333333333333333</v>
      </c>
      <c r="U63" s="241">
        <f t="shared" si="17"/>
        <v>1.3333333333333333</v>
      </c>
      <c r="V63" s="241">
        <f t="shared" si="17"/>
        <v>1.3333333333333333</v>
      </c>
      <c r="W63" s="241">
        <f t="shared" si="17"/>
        <v>1.3333333333333333</v>
      </c>
      <c r="X63" s="241">
        <f t="shared" si="17"/>
        <v>1.3333333333333333</v>
      </c>
      <c r="Y63" s="241">
        <f t="shared" si="17"/>
        <v>1.3333333333333333</v>
      </c>
      <c r="Z63" s="241">
        <f t="shared" si="17"/>
        <v>1.3333333333333333</v>
      </c>
      <c r="AA63" s="241">
        <f t="shared" si="17"/>
        <v>1.3333333333333333</v>
      </c>
      <c r="AB63" s="241">
        <f t="shared" si="17"/>
        <v>1.3333333333333333</v>
      </c>
      <c r="AC63" s="241">
        <f t="shared" si="17"/>
        <v>1.3333333333333333</v>
      </c>
      <c r="AD63" s="241">
        <f t="shared" si="17"/>
        <v>1.3333333333333333</v>
      </c>
      <c r="AE63" s="241">
        <f t="shared" si="17"/>
        <v>1.3333333333333333</v>
      </c>
      <c r="AF63" s="241">
        <f t="shared" si="17"/>
        <v>1.3333333333333333</v>
      </c>
      <c r="AG63" s="241">
        <f t="shared" si="17"/>
        <v>1.3333333333333333</v>
      </c>
      <c r="AH63" s="241">
        <f t="shared" si="17"/>
        <v>1.3333333333333333</v>
      </c>
      <c r="AI63" s="241">
        <f t="shared" si="17"/>
        <v>1.3333333333333333</v>
      </c>
    </row>
    <row r="64" spans="1:35" ht="15" customHeight="1">
      <c r="A64" s="125"/>
      <c r="B64" s="16"/>
      <c r="C64" s="16"/>
      <c r="D64" s="16"/>
      <c r="E64" s="16"/>
      <c r="F64" s="16"/>
      <c r="G64" s="16"/>
      <c r="H64" s="16"/>
      <c r="I64" s="16"/>
      <c r="J64" s="1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</row>
    <row r="65" spans="1:35" ht="15" customHeight="1">
      <c r="A65" s="125"/>
      <c r="B65" s="16"/>
      <c r="C65" s="16"/>
      <c r="D65" s="16"/>
      <c r="E65" s="1" t="s">
        <v>491</v>
      </c>
      <c r="F65" s="16"/>
      <c r="G65" s="13" t="s">
        <v>122</v>
      </c>
      <c r="H65" s="16"/>
      <c r="I65" s="16"/>
      <c r="J65" s="16"/>
      <c r="K65" s="196">
        <f t="shared" ref="K65:AI65" si="18">K61 * K63</f>
        <v>0</v>
      </c>
      <c r="L65" s="196">
        <f t="shared" si="18"/>
        <v>0</v>
      </c>
      <c r="M65" s="196">
        <f t="shared" si="18"/>
        <v>0</v>
      </c>
      <c r="N65" s="196">
        <f t="shared" si="18"/>
        <v>0</v>
      </c>
      <c r="O65" s="196">
        <f t="shared" si="18"/>
        <v>0</v>
      </c>
      <c r="P65" s="196">
        <f t="shared" si="18"/>
        <v>0</v>
      </c>
      <c r="Q65" s="196">
        <f t="shared" si="18"/>
        <v>0</v>
      </c>
      <c r="R65" s="196">
        <f t="shared" si="18"/>
        <v>0</v>
      </c>
      <c r="S65" s="196">
        <f t="shared" si="18"/>
        <v>0</v>
      </c>
      <c r="T65" s="196">
        <f t="shared" si="18"/>
        <v>0</v>
      </c>
      <c r="U65" s="196">
        <f t="shared" si="18"/>
        <v>8.7441038525089461</v>
      </c>
      <c r="V65" s="196">
        <f t="shared" si="18"/>
        <v>16.907190325031184</v>
      </c>
      <c r="W65" s="196">
        <f t="shared" si="18"/>
        <v>21.060801851250048</v>
      </c>
      <c r="X65" s="196">
        <f t="shared" si="18"/>
        <v>24.561481612258309</v>
      </c>
      <c r="Y65" s="196">
        <f t="shared" si="18"/>
        <v>28.192898790905236</v>
      </c>
      <c r="Z65" s="196">
        <f t="shared" si="18"/>
        <v>30.840408553201463</v>
      </c>
      <c r="AA65" s="196">
        <f t="shared" si="18"/>
        <v>36.063702859462666</v>
      </c>
      <c r="AB65" s="196">
        <f t="shared" si="18"/>
        <v>37.900959982540215</v>
      </c>
      <c r="AC65" s="196">
        <f t="shared" si="18"/>
        <v>39.76469768391371</v>
      </c>
      <c r="AD65" s="196">
        <f t="shared" si="18"/>
        <v>40.438175328626471</v>
      </c>
      <c r="AE65" s="196">
        <f t="shared" si="18"/>
        <v>43.552618344043339</v>
      </c>
      <c r="AF65" s="196">
        <f t="shared" si="18"/>
        <v>45.476174976076614</v>
      </c>
      <c r="AG65" s="196">
        <f t="shared" si="18"/>
        <v>47.480454169778511</v>
      </c>
      <c r="AH65" s="196">
        <f t="shared" si="18"/>
        <v>48.131474019400116</v>
      </c>
      <c r="AI65" s="196">
        <f t="shared" si="18"/>
        <v>0</v>
      </c>
    </row>
    <row r="66" spans="1:35" ht="15" customHeight="1">
      <c r="A66" s="125"/>
      <c r="B66" s="16"/>
      <c r="C66" s="16"/>
      <c r="D66" s="16"/>
      <c r="E66" s="16"/>
      <c r="F66" s="16"/>
      <c r="G66" s="16"/>
      <c r="H66" s="16"/>
      <c r="I66" s="16"/>
      <c r="J66" s="1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</row>
    <row r="67" spans="1:35" ht="15" customHeight="1">
      <c r="A67" s="125"/>
      <c r="B67" s="15" t="s">
        <v>497</v>
      </c>
      <c r="C67" s="15"/>
      <c r="D67" s="15"/>
      <c r="E67" s="15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</row>
    <row r="68" spans="1:35" ht="15" customHeight="1">
      <c r="A68" s="125"/>
      <c r="B68" s="26"/>
      <c r="C68" s="26"/>
      <c r="D68" s="26"/>
      <c r="E68" s="16"/>
      <c r="F68" s="16"/>
      <c r="G68" s="16"/>
      <c r="H68" s="16"/>
      <c r="I68" s="193"/>
      <c r="J68" s="193"/>
      <c r="K68" s="193"/>
      <c r="L68" s="193"/>
      <c r="M68" s="193"/>
      <c r="N68" s="193"/>
      <c r="O68" s="193"/>
      <c r="P68" s="193"/>
      <c r="Q68" s="193"/>
      <c r="R68" s="193"/>
      <c r="S68" s="193"/>
      <c r="T68" s="193"/>
      <c r="U68" s="193"/>
      <c r="V68" s="193"/>
      <c r="W68" s="193"/>
      <c r="X68" s="193"/>
      <c r="Y68" s="193"/>
      <c r="Z68" s="193"/>
      <c r="AA68" s="193"/>
      <c r="AB68" s="193"/>
      <c r="AC68" s="193"/>
      <c r="AD68" s="193"/>
      <c r="AE68" s="193"/>
      <c r="AF68" s="193"/>
      <c r="AG68" s="193"/>
      <c r="AH68" s="193"/>
      <c r="AI68" s="193"/>
    </row>
    <row r="69" spans="1:35" ht="15" customHeight="1">
      <c r="A69" s="125"/>
      <c r="B69" s="26"/>
      <c r="C69" s="26"/>
      <c r="D69" s="26"/>
      <c r="E69" s="26" t="s">
        <v>491</v>
      </c>
      <c r="F69" s="16"/>
      <c r="G69" s="26" t="str">
        <f>Inputs!$I$11</f>
        <v>£m 20/21 prices</v>
      </c>
      <c r="H69" s="16"/>
      <c r="I69" s="16"/>
      <c r="J69" s="193"/>
      <c r="K69" s="26">
        <f>Tax_Floor!K65 / Tax_Deductions!K$12</f>
        <v>0</v>
      </c>
      <c r="L69" s="26">
        <f>Tax_Floor!L65 / Tax_Deductions!L$12</f>
        <v>0</v>
      </c>
      <c r="M69" s="26">
        <f>Tax_Floor!M65 / Tax_Deductions!M$12</f>
        <v>0</v>
      </c>
      <c r="N69" s="26">
        <f>Tax_Floor!N65 / Tax_Deductions!N$12</f>
        <v>0</v>
      </c>
      <c r="O69" s="26">
        <f>Tax_Floor!O65 / Tax_Deductions!O$12</f>
        <v>0</v>
      </c>
      <c r="P69" s="26">
        <f>Tax_Floor!P65 / Tax_Deductions!P$12</f>
        <v>0</v>
      </c>
      <c r="Q69" s="26">
        <f>Tax_Floor!Q65 / Tax_Deductions!Q$12</f>
        <v>0</v>
      </c>
      <c r="R69" s="26">
        <f>Tax_Floor!R65 / Tax_Deductions!R$12</f>
        <v>0</v>
      </c>
      <c r="S69" s="26">
        <f>Tax_Floor!S65 / Tax_Deductions!S$12</f>
        <v>0</v>
      </c>
      <c r="T69" s="26">
        <f>Tax_Floor!T65 / Tax_Deductions!T$12</f>
        <v>0</v>
      </c>
      <c r="U69" s="26">
        <f>Tax_Floor!U65 / Tax_Deductions!U$12</f>
        <v>4.7731899169331466</v>
      </c>
      <c r="V69" s="26">
        <f>Tax_Floor!V65 / Tax_Deductions!V$12</f>
        <v>8.9240154937400913</v>
      </c>
      <c r="W69" s="26">
        <f>Tax_Floor!W65 / Tax_Deductions!W$12</f>
        <v>10.748781699809014</v>
      </c>
      <c r="X69" s="26">
        <f>Tax_Floor!X65 / Tax_Deductions!X$12</f>
        <v>12.120886045375492</v>
      </c>
      <c r="Y69" s="26">
        <f>Tax_Floor!Y65 / Tax_Deductions!Y$12</f>
        <v>13.45287187633825</v>
      </c>
      <c r="Z69" s="26">
        <f>Tax_Floor!Z65 / Tax_Deductions!Z$12</f>
        <v>14.229540070882125</v>
      </c>
      <c r="AA69" s="26">
        <f>Tax_Floor!AA65 / Tax_Deductions!AA$12</f>
        <v>16.089276786114514</v>
      </c>
      <c r="AB69" s="26">
        <f>Tax_Floor!AB65 / Tax_Deductions!AB$12</f>
        <v>16.349778887213962</v>
      </c>
      <c r="AC69" s="26">
        <f>Tax_Floor!AC65 / Tax_Deductions!AC$12</f>
        <v>16.586502749443991</v>
      </c>
      <c r="AD69" s="26">
        <f>Tax_Floor!AD65 / Tax_Deductions!AD$12</f>
        <v>16.309631830271456</v>
      </c>
      <c r="AE69" s="26">
        <f>Tax_Floor!AE65 / Tax_Deductions!AE$12</f>
        <v>16.98487451632019</v>
      </c>
      <c r="AF69" s="26">
        <f>Tax_Floor!AF65 / Tax_Deductions!AF$12</f>
        <v>17.148552546153567</v>
      </c>
      <c r="AG69" s="26">
        <f>Tax_Floor!AG65 / Tax_Deductions!AG$12</f>
        <v>17.312264183830287</v>
      </c>
      <c r="AH69" s="26">
        <f>Tax_Floor!AH65 / Tax_Deductions!AH$12</f>
        <v>16.969288563351363</v>
      </c>
      <c r="AI69" s="26">
        <f>Tax_Floor!AI65 / Tax_Deductions!AI$12</f>
        <v>0</v>
      </c>
    </row>
    <row r="70" spans="1:35" ht="15" customHeight="1">
      <c r="A70" s="125"/>
      <c r="B70" s="26"/>
      <c r="C70" s="26"/>
      <c r="D70" s="26"/>
      <c r="E70" s="26" t="s">
        <v>422</v>
      </c>
      <c r="F70" s="16"/>
      <c r="G70" s="26" t="str">
        <f>Allowances_Floor!G57</f>
        <v>scalar</v>
      </c>
      <c r="H70" s="16"/>
      <c r="I70" s="16"/>
      <c r="J70" s="193"/>
      <c r="K70" s="242">
        <f>Allowances_Floor!K57</f>
        <v>0.99171161867411461</v>
      </c>
      <c r="L70" s="242">
        <f>Allowances_Floor!L57</f>
        <v>0.98349193461323259</v>
      </c>
      <c r="M70" s="242">
        <f>Allowances_Floor!M57</f>
        <v>0.9753403784282253</v>
      </c>
      <c r="N70" s="242">
        <f>Allowances_Floor!N57</f>
        <v>0.96725638544927883</v>
      </c>
      <c r="O70" s="242">
        <f>Allowances_Floor!O57</f>
        <v>0.95923939568677763</v>
      </c>
      <c r="P70" s="242">
        <f>Allowances_Floor!P57</f>
        <v>0.95128885379251393</v>
      </c>
      <c r="Q70" s="242">
        <f>Allowances_Floor!Q57</f>
        <v>0.94340420902121702</v>
      </c>
      <c r="R70" s="242">
        <f>Allowances_Floor!R57</f>
        <v>0.93558491519240394</v>
      </c>
      <c r="S70" s="242">
        <f>Allowances_Floor!S57</f>
        <v>0.92783043065254323</v>
      </c>
      <c r="T70" s="242">
        <f>Allowances_Floor!T57</f>
        <v>0.92014021823753456</v>
      </c>
      <c r="U70" s="242">
        <f>Allowances_Floor!U57</f>
        <v>0.91251374523549833</v>
      </c>
      <c r="V70" s="242">
        <f>Allowances_Floor!V57</f>
        <v>0.90495048334987471</v>
      </c>
      <c r="W70" s="242">
        <f>Allowances_Floor!W57</f>
        <v>0.8974499086628267</v>
      </c>
      <c r="X70" s="242">
        <f>Allowances_Floor!X57</f>
        <v>0.89001150159894815</v>
      </c>
      <c r="Y70" s="242">
        <f>Allowances_Floor!Y57</f>
        <v>0.88263474688927213</v>
      </c>
      <c r="Z70" s="242">
        <f>Allowances_Floor!Z57</f>
        <v>0.87531913353557766</v>
      </c>
      <c r="AA70" s="242">
        <f>Allowances_Floor!AA57</f>
        <v>0.86806415477499121</v>
      </c>
      <c r="AB70" s="242">
        <f>Allowances_Floor!AB57</f>
        <v>0.86086930804488371</v>
      </c>
      <c r="AC70" s="242">
        <f>Allowances_Floor!AC57</f>
        <v>0.85373409494805652</v>
      </c>
      <c r="AD70" s="242">
        <f>Allowances_Floor!AD57</f>
        <v>0.84665802121821754</v>
      </c>
      <c r="AE70" s="242">
        <f>Allowances_Floor!AE57</f>
        <v>0.83964059668574131</v>
      </c>
      <c r="AF70" s="242">
        <f>Allowances_Floor!AF57</f>
        <v>0.83268133524371601</v>
      </c>
      <c r="AG70" s="242">
        <f>Allowances_Floor!AG57</f>
        <v>0.82577975481426868</v>
      </c>
      <c r="AH70" s="242">
        <f>Allowances_Floor!AH57</f>
        <v>0.81893537731517196</v>
      </c>
      <c r="AI70" s="242">
        <f>Allowances_Floor!AI57</f>
        <v>0.81214772862672602</v>
      </c>
    </row>
    <row r="71" spans="1:35" ht="15" customHeight="1">
      <c r="A71" s="125"/>
      <c r="B71" s="231"/>
      <c r="C71" s="231"/>
      <c r="D71" s="231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  <c r="R71" s="231"/>
      <c r="S71" s="231"/>
      <c r="T71" s="231"/>
      <c r="U71" s="231"/>
      <c r="V71" s="231"/>
      <c r="W71" s="231"/>
      <c r="X71" s="231"/>
      <c r="Y71" s="231"/>
      <c r="Z71" s="231"/>
      <c r="AA71" s="231"/>
      <c r="AB71" s="231"/>
      <c r="AC71" s="231"/>
      <c r="AD71" s="231"/>
      <c r="AE71" s="231"/>
      <c r="AF71" s="231"/>
      <c r="AG71" s="231"/>
      <c r="AH71" s="231"/>
      <c r="AI71" s="231"/>
    </row>
    <row r="72" spans="1:35" ht="15" customHeight="1">
      <c r="A72" s="125"/>
      <c r="B72" s="26"/>
      <c r="C72" s="26"/>
      <c r="D72" s="26"/>
      <c r="E72" s="16" t="s">
        <v>493</v>
      </c>
      <c r="F72" s="16"/>
      <c r="G72" s="26" t="str">
        <f>Inputs!$I$11</f>
        <v>£m 20/21 prices</v>
      </c>
      <c r="H72" s="16"/>
      <c r="I72" s="16"/>
      <c r="J72" s="193"/>
      <c r="K72" s="196">
        <f t="shared" ref="K72:AI72" si="19">K69*K70</f>
        <v>0</v>
      </c>
      <c r="L72" s="196">
        <f t="shared" si="19"/>
        <v>0</v>
      </c>
      <c r="M72" s="196">
        <f t="shared" si="19"/>
        <v>0</v>
      </c>
      <c r="N72" s="196">
        <f t="shared" si="19"/>
        <v>0</v>
      </c>
      <c r="O72" s="196">
        <f t="shared" si="19"/>
        <v>0</v>
      </c>
      <c r="P72" s="196">
        <f t="shared" si="19"/>
        <v>0</v>
      </c>
      <c r="Q72" s="196">
        <f t="shared" si="19"/>
        <v>0</v>
      </c>
      <c r="R72" s="196">
        <f t="shared" si="19"/>
        <v>0</v>
      </c>
      <c r="S72" s="196">
        <f t="shared" si="19"/>
        <v>0</v>
      </c>
      <c r="T72" s="196">
        <f t="shared" si="19"/>
        <v>0</v>
      </c>
      <c r="U72" s="196">
        <f t="shared" si="19"/>
        <v>4.3556014078209833</v>
      </c>
      <c r="V72" s="196">
        <f t="shared" si="19"/>
        <v>8.0757921344818673</v>
      </c>
      <c r="W72" s="196">
        <f t="shared" si="19"/>
        <v>9.6464931547302619</v>
      </c>
      <c r="X72" s="196">
        <f t="shared" si="19"/>
        <v>10.787727989954378</v>
      </c>
      <c r="Y72" s="196">
        <f t="shared" si="19"/>
        <v>11.873972163505618</v>
      </c>
      <c r="Z72" s="196">
        <f t="shared" si="19"/>
        <v>12.455388685454324</v>
      </c>
      <c r="AA72" s="196">
        <f t="shared" si="19"/>
        <v>13.966524454279382</v>
      </c>
      <c r="AB72" s="196">
        <f t="shared" si="19"/>
        <v>14.075022837322733</v>
      </c>
      <c r="AC72" s="196">
        <f t="shared" si="19"/>
        <v>14.160462913150017</v>
      </c>
      <c r="AD72" s="196">
        <f t="shared" si="19"/>
        <v>13.808680612215287</v>
      </c>
      <c r="AE72" s="196">
        <f t="shared" si="19"/>
        <v>14.261190173515526</v>
      </c>
      <c r="AF72" s="196">
        <f t="shared" si="19"/>
        <v>14.279279631628178</v>
      </c>
      <c r="AG72" s="196">
        <f t="shared" si="19"/>
        <v>14.296117273003219</v>
      </c>
      <c r="AH72" s="196">
        <f t="shared" si="19"/>
        <v>13.89675073239818</v>
      </c>
      <c r="AI72" s="196">
        <f t="shared" si="19"/>
        <v>0</v>
      </c>
    </row>
    <row r="73" spans="1:35" ht="15" customHeight="1">
      <c r="A73" s="125"/>
      <c r="B73" s="26"/>
      <c r="C73" s="26"/>
      <c r="D73" s="26"/>
      <c r="E73" s="16" t="s">
        <v>494</v>
      </c>
      <c r="F73" s="16"/>
      <c r="G73" s="26" t="str">
        <f>Inputs!$I$11</f>
        <v>£m 20/21 prices</v>
      </c>
      <c r="H73" s="16"/>
      <c r="I73" s="221">
        <f>SUM(K72:AI72)</f>
        <v>169.93900416345997</v>
      </c>
      <c r="J73" s="193"/>
      <c r="K73" s="193"/>
      <c r="L73" s="193"/>
      <c r="M73" s="193"/>
      <c r="N73" s="193"/>
      <c r="O73" s="193"/>
      <c r="P73" s="193"/>
      <c r="Q73" s="193"/>
      <c r="R73" s="193"/>
      <c r="S73" s="193"/>
      <c r="T73" s="193"/>
      <c r="U73" s="193"/>
      <c r="V73" s="193"/>
      <c r="W73" s="193"/>
      <c r="X73" s="193"/>
      <c r="Y73" s="193"/>
      <c r="Z73" s="193"/>
      <c r="AA73" s="193"/>
      <c r="AB73" s="193"/>
      <c r="AC73" s="193"/>
      <c r="AD73" s="193"/>
      <c r="AE73" s="193"/>
      <c r="AF73" s="193"/>
      <c r="AG73" s="193"/>
      <c r="AH73" s="193"/>
      <c r="AI73" s="193"/>
    </row>
    <row r="74" spans="1:35" ht="15" customHeight="1">
      <c r="A74" s="125"/>
      <c r="B74" s="26"/>
      <c r="C74" s="26"/>
      <c r="D74" s="26"/>
      <c r="E74" s="16"/>
      <c r="F74" s="16"/>
      <c r="G74" s="16"/>
      <c r="H74" s="16"/>
      <c r="I74" s="193"/>
      <c r="J74" s="193"/>
      <c r="K74" s="193"/>
      <c r="L74" s="193"/>
      <c r="M74" s="193"/>
      <c r="N74" s="193"/>
      <c r="O74" s="193"/>
      <c r="P74" s="193"/>
      <c r="Q74" s="193"/>
      <c r="R74" s="193"/>
      <c r="S74" s="193"/>
      <c r="T74" s="193"/>
      <c r="U74" s="193"/>
      <c r="V74" s="193"/>
      <c r="W74" s="193"/>
      <c r="X74" s="193"/>
      <c r="Y74" s="193"/>
      <c r="Z74" s="193"/>
      <c r="AA74" s="193"/>
      <c r="AB74" s="193"/>
      <c r="AC74" s="193"/>
      <c r="AD74" s="193"/>
      <c r="AE74" s="193"/>
      <c r="AF74" s="193"/>
      <c r="AG74" s="193"/>
      <c r="AH74" s="193"/>
      <c r="AI74" s="193"/>
    </row>
    <row r="75" spans="1:35" ht="15" customHeight="1">
      <c r="A75" s="125"/>
      <c r="B75" s="26"/>
      <c r="C75" s="26"/>
      <c r="D75" s="26"/>
      <c r="E75" s="16" t="s">
        <v>421</v>
      </c>
      <c r="F75" s="16"/>
      <c r="G75" s="16" t="str">
        <f>Allowances_Floor!G64</f>
        <v>scalar</v>
      </c>
      <c r="H75" s="16"/>
      <c r="I75" s="225">
        <f>Allowances_Floor!I64</f>
        <v>4.7411359208591811E-2</v>
      </c>
      <c r="J75" s="193"/>
      <c r="K75" s="193"/>
      <c r="L75" s="193"/>
      <c r="M75" s="193"/>
      <c r="N75" s="193"/>
      <c r="O75" s="193"/>
      <c r="P75" s="193"/>
      <c r="Q75" s="193"/>
      <c r="R75" s="193"/>
      <c r="S75" s="193"/>
      <c r="T75" s="193"/>
      <c r="U75" s="193"/>
      <c r="V75" s="193"/>
      <c r="W75" s="193"/>
      <c r="X75" s="193"/>
      <c r="Y75" s="193"/>
      <c r="Z75" s="193"/>
      <c r="AA75" s="193"/>
      <c r="AB75" s="193"/>
      <c r="AC75" s="193"/>
      <c r="AD75" s="193"/>
      <c r="AE75" s="193"/>
      <c r="AF75" s="193"/>
      <c r="AG75" s="193"/>
      <c r="AH75" s="193"/>
      <c r="AI75" s="193"/>
    </row>
    <row r="76" spans="1:35" ht="15" customHeight="1">
      <c r="A76" s="125"/>
      <c r="B76" s="26"/>
      <c r="C76" s="26"/>
      <c r="D76" s="26"/>
      <c r="E76" s="16"/>
      <c r="F76" s="16"/>
      <c r="G76" s="16"/>
      <c r="H76" s="16"/>
      <c r="I76" s="16"/>
      <c r="J76" s="193"/>
      <c r="K76" s="193"/>
      <c r="L76" s="193"/>
      <c r="M76" s="193"/>
      <c r="N76" s="193"/>
      <c r="O76" s="193"/>
      <c r="P76" s="193"/>
      <c r="Q76" s="193"/>
      <c r="R76" s="193"/>
      <c r="S76" s="193"/>
      <c r="T76" s="193"/>
      <c r="U76" s="193"/>
      <c r="V76" s="193"/>
      <c r="W76" s="193"/>
      <c r="X76" s="193"/>
      <c r="Y76" s="193"/>
      <c r="Z76" s="193"/>
      <c r="AA76" s="193"/>
      <c r="AB76" s="193"/>
      <c r="AC76" s="193"/>
      <c r="AD76" s="193"/>
      <c r="AE76" s="193"/>
      <c r="AF76" s="193"/>
      <c r="AG76" s="193"/>
      <c r="AH76" s="193"/>
      <c r="AI76" s="193"/>
    </row>
    <row r="77" spans="1:35" ht="15" customHeight="1">
      <c r="A77" s="125"/>
      <c r="B77" s="26"/>
      <c r="C77" s="26"/>
      <c r="D77" s="26"/>
      <c r="E77" s="16" t="s">
        <v>495</v>
      </c>
      <c r="F77" s="16"/>
      <c r="G77" s="26" t="str">
        <f>Inputs!$I$11</f>
        <v>£m 20/21 prices</v>
      </c>
      <c r="H77" s="16"/>
      <c r="I77" s="222">
        <f>I73 * I75</f>
        <v>8.0570391699441792</v>
      </c>
      <c r="J77" s="193"/>
      <c r="K77" s="193"/>
      <c r="L77" s="193"/>
      <c r="M77" s="193"/>
      <c r="N77" s="193"/>
      <c r="O77" s="193"/>
      <c r="P77" s="193"/>
      <c r="Q77" s="193"/>
      <c r="R77" s="193"/>
      <c r="S77" s="193"/>
      <c r="T77" s="193"/>
      <c r="U77" s="193"/>
      <c r="V77" s="193"/>
      <c r="W77" s="193"/>
      <c r="X77" s="113"/>
      <c r="Y77" s="113"/>
      <c r="Z77" s="113"/>
      <c r="AA77" s="113"/>
      <c r="AB77" s="113"/>
      <c r="AC77" s="113"/>
      <c r="AD77" s="113"/>
      <c r="AE77" s="113"/>
      <c r="AF77" s="113"/>
      <c r="AG77" s="113"/>
      <c r="AH77" s="113"/>
      <c r="AI77" s="113"/>
    </row>
    <row r="78" spans="1:35" ht="15" customHeight="1">
      <c r="A78" s="125"/>
      <c r="B78" s="26"/>
      <c r="C78" s="26"/>
      <c r="D78" s="26"/>
      <c r="E78" s="16"/>
      <c r="F78" s="16"/>
      <c r="G78" s="16"/>
      <c r="H78" s="16"/>
      <c r="I78" s="16"/>
      <c r="J78" s="193"/>
      <c r="K78" s="193"/>
      <c r="L78" s="193"/>
      <c r="M78" s="193"/>
      <c r="N78" s="193"/>
      <c r="O78" s="193"/>
      <c r="P78" s="193"/>
      <c r="Q78" s="193"/>
      <c r="R78" s="193"/>
      <c r="S78" s="193"/>
      <c r="T78" s="193"/>
      <c r="U78" s="193"/>
      <c r="V78" s="193"/>
      <c r="W78" s="193"/>
      <c r="X78" s="193"/>
      <c r="Y78" s="193"/>
      <c r="Z78" s="193"/>
      <c r="AA78" s="193"/>
      <c r="AB78" s="193"/>
      <c r="AC78" s="193"/>
      <c r="AD78" s="193"/>
      <c r="AE78" s="193"/>
      <c r="AF78" s="193"/>
      <c r="AG78" s="193"/>
      <c r="AH78" s="193"/>
      <c r="AI78" s="193"/>
    </row>
    <row r="79" spans="1:35" ht="15" customHeight="1">
      <c r="A79"/>
      <c r="B79" s="14" t="s">
        <v>47</v>
      </c>
      <c r="C79" s="15"/>
      <c r="D79" s="15"/>
      <c r="E79" s="15"/>
      <c r="F79" s="106"/>
      <c r="G79" s="106"/>
      <c r="H79" s="106"/>
      <c r="I79" s="207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</row>
    <row r="80" spans="1:35" ht="15" customHeight="1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</row>
    <row r="81" spans="1:35" ht="15" hidden="1" customHeight="1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</row>
    <row r="82" spans="1:35" ht="15" hidden="1" customHeight="1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</row>
    <row r="83" spans="1:35" ht="15" hidden="1" customHeight="1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</row>
    <row r="84" spans="1:35" ht="15" hidden="1" customHeight="1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</row>
    <row r="85" spans="1:35" ht="15" hidden="1" customHeight="1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</row>
    <row r="86" spans="1:35" ht="15" hidden="1" customHeight="1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</row>
    <row r="87" spans="1:35" ht="15" hidden="1" customHeight="1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</row>
    <row r="88" spans="1:35" ht="15" hidden="1" customHeight="1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</row>
    <row r="89" spans="1:35" ht="15" hidden="1" customHeight="1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</row>
    <row r="90" spans="1:35" ht="15" hidden="1" customHeight="1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</row>
    <row r="91" spans="1:35" ht="15" hidden="1" customHeight="1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</row>
    <row r="92" spans="1:35" ht="15" hidden="1" customHeight="1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</row>
    <row r="93" spans="1:35" ht="15" hidden="1" customHeight="1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</row>
    <row r="94" spans="1:35" ht="15" hidden="1" customHeight="1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</row>
    <row r="95" spans="1:35" ht="15" hidden="1" customHeight="1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</row>
    <row r="96" spans="1:35" ht="15" hidden="1" customHeight="1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</row>
    <row r="97" spans="1:35" ht="15" hidden="1" customHeight="1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</row>
    <row r="98" spans="1:35" ht="0" hidden="1" customHeight="1"/>
    <row r="99" spans="1:35" ht="0" hidden="1" customHeight="1"/>
    <row r="100" spans="1:35" ht="0" hidden="1" customHeight="1"/>
    <row r="101" spans="1:35" ht="0" hidden="1" customHeight="1"/>
    <row r="102" spans="1:35" ht="0" hidden="1" customHeight="1"/>
    <row r="103" spans="1:35" ht="0" hidden="1" customHeight="1"/>
    <row r="104" spans="1:35" ht="0" hidden="1" customHeight="1"/>
    <row r="105" spans="1:35" ht="0" hidden="1" customHeight="1"/>
    <row r="106" spans="1:35" ht="0" hidden="1" customHeight="1"/>
    <row r="107" spans="1:35" ht="0" hidden="1" customHeight="1"/>
    <row r="108" spans="1:35" ht="0" hidden="1" customHeight="1"/>
    <row r="109" spans="1:35" ht="0" hidden="1" customHeight="1"/>
    <row r="110" spans="1:35" ht="0" hidden="1" customHeight="1"/>
    <row r="111" spans="1:35" ht="0" hidden="1" customHeight="1"/>
    <row r="112" spans="1:35" ht="0" hidden="1" customHeight="1"/>
  </sheetData>
  <sheetProtection sheet="1" objects="1" scenarios="1"/>
  <pageMargins left="0.23622047244094502" right="0.23622047244094502" top="0.74803149606299213" bottom="0.74803149606299213" header="0.31496062992126012" footer="0.31496062992126012"/>
  <pageSetup paperSize="0" fitToHeight="0" orientation="landscape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8E4BC"/>
    <pageSetUpPr fitToPage="1"/>
  </sheetPr>
  <dimension ref="A1:AT48"/>
  <sheetViews>
    <sheetView workbookViewId="0"/>
  </sheetViews>
  <sheetFormatPr defaultColWidth="0" defaultRowHeight="0" customHeight="1" zeroHeight="1"/>
  <cols>
    <col min="1" max="3" width="2.59765625" style="128" customWidth="1"/>
    <col min="4" max="4" width="2.59765625" style="16" customWidth="1"/>
    <col min="5" max="5" width="99.09765625" style="16" bestFit="1" customWidth="1"/>
    <col min="6" max="6" width="1.59765625" style="16" customWidth="1"/>
    <col min="7" max="7" width="15.59765625" style="16" customWidth="1"/>
    <col min="8" max="8" width="10.69921875" style="16" bestFit="1" customWidth="1"/>
    <col min="9" max="9" width="16.3984375" style="16" customWidth="1"/>
    <col min="10" max="10" width="3.09765625" customWidth="1"/>
    <col min="11" max="21" width="10.59765625" hidden="1" customWidth="1"/>
    <col min="22" max="22" width="11.296875" hidden="1" customWidth="1"/>
    <col min="23" max="39" width="13.69921875" hidden="1" customWidth="1"/>
    <col min="40" max="40" width="12.59765625" hidden="1" customWidth="1"/>
    <col min="41" max="46" width="13.69921875" hidden="1" customWidth="1"/>
    <col min="47" max="47" width="9.09765625" hidden="1" customWidth="1"/>
    <col min="48" max="16384" width="9.09765625" hidden="1"/>
  </cols>
  <sheetData>
    <row r="1" spans="1:9" ht="15" customHeight="1">
      <c r="A1" s="52" t="s">
        <v>42</v>
      </c>
      <c r="B1" s="53"/>
      <c r="C1" s="53"/>
      <c r="D1" s="53"/>
      <c r="E1" s="53"/>
      <c r="F1" s="53"/>
      <c r="G1" s="53"/>
      <c r="H1" s="53" t="s">
        <v>101</v>
      </c>
      <c r="I1" s="53"/>
    </row>
    <row r="2" spans="1:9" ht="15" customHeight="1">
      <c r="A2" s="53"/>
      <c r="B2" s="53"/>
      <c r="C2" s="53"/>
      <c r="D2" s="53"/>
      <c r="E2" s="55" t="s">
        <v>102</v>
      </c>
      <c r="F2" s="55"/>
      <c r="G2" s="55" t="s">
        <v>103</v>
      </c>
      <c r="H2" s="55" t="s">
        <v>104</v>
      </c>
      <c r="I2" s="55" t="s">
        <v>105</v>
      </c>
    </row>
    <row r="3" spans="1:9" ht="15" customHeight="1">
      <c r="I3" s="193"/>
    </row>
    <row r="4" spans="1:9" ht="15" customHeight="1">
      <c r="B4" s="14" t="s">
        <v>498</v>
      </c>
      <c r="C4" s="58"/>
      <c r="D4" s="58"/>
      <c r="E4" s="58"/>
      <c r="F4" s="58"/>
      <c r="G4" s="58"/>
      <c r="H4" s="58"/>
      <c r="I4" s="58"/>
    </row>
    <row r="5" spans="1:9" ht="15" customHeight="1">
      <c r="C5" s="16"/>
      <c r="I5" s="193"/>
    </row>
    <row r="6" spans="1:9" ht="15" customHeight="1">
      <c r="A6" s="26"/>
      <c r="B6" s="26"/>
      <c r="C6" s="67" t="s">
        <v>499</v>
      </c>
      <c r="D6" s="67"/>
      <c r="E6" s="67"/>
      <c r="F6" s="67"/>
      <c r="G6" s="67"/>
      <c r="H6" s="67"/>
      <c r="I6" s="67"/>
    </row>
    <row r="7" spans="1:9" ht="15" customHeight="1">
      <c r="A7" s="26"/>
      <c r="B7" s="26"/>
      <c r="C7" s="25" t="s">
        <v>500</v>
      </c>
      <c r="D7" s="25"/>
      <c r="E7" s="25"/>
    </row>
    <row r="8" spans="1:9" ht="15" customHeight="1">
      <c r="A8"/>
      <c r="B8" s="26"/>
      <c r="C8" s="26"/>
      <c r="D8" s="26"/>
      <c r="E8" s="26" t="s">
        <v>501</v>
      </c>
      <c r="G8" s="26" t="str">
        <f>Inputs!$I$11</f>
        <v>£m 20/21 prices</v>
      </c>
      <c r="I8" s="246">
        <f>Allowances_Cap!$I33</f>
        <v>105.27904478666191</v>
      </c>
    </row>
    <row r="9" spans="1:9" ht="15" customHeight="1">
      <c r="A9"/>
      <c r="B9" s="26"/>
      <c r="C9" s="26"/>
      <c r="D9" s="26"/>
      <c r="E9" s="26" t="s">
        <v>502</v>
      </c>
      <c r="G9" s="26" t="str">
        <f>Inputs!$I$11</f>
        <v>£m 20/21 prices</v>
      </c>
      <c r="I9" s="246">
        <f>Allowances_Floor!$I33</f>
        <v>65.404555364889617</v>
      </c>
    </row>
    <row r="10" spans="1:9" ht="15" customHeight="1">
      <c r="A10" s="247"/>
      <c r="B10" s="26"/>
      <c r="C10" s="26"/>
      <c r="D10" s="26"/>
      <c r="I10" s="248"/>
    </row>
    <row r="11" spans="1:9" ht="13">
      <c r="A11"/>
      <c r="B11" s="26"/>
      <c r="C11" s="26"/>
      <c r="D11" s="26"/>
      <c r="E11" s="249" t="s">
        <v>503</v>
      </c>
      <c r="G11" s="26" t="str">
        <f>Inputs!$I$11</f>
        <v>£m 20/21 prices</v>
      </c>
      <c r="I11" s="246">
        <f>IF(Inputs!$I$199="No",Tax_Cap!I40,0)</f>
        <v>16.282704141373422</v>
      </c>
    </row>
    <row r="12" spans="1:9" ht="13">
      <c r="A12"/>
      <c r="B12" s="26"/>
      <c r="C12" s="26"/>
      <c r="D12" s="26"/>
      <c r="E12" s="249" t="s">
        <v>504</v>
      </c>
      <c r="G12" s="26" t="str">
        <f>Inputs!$I$11</f>
        <v>£m 20/21 prices</v>
      </c>
      <c r="I12" s="246">
        <f>IF(Inputs!$I$199="No",Tax_Floor!I40,0)</f>
        <v>5.7023211973703614</v>
      </c>
    </row>
    <row r="13" spans="1:9" ht="15" customHeight="1">
      <c r="A13"/>
      <c r="B13" s="26"/>
      <c r="C13" s="26"/>
      <c r="D13" s="26"/>
      <c r="E13" s="250"/>
      <c r="G13" s="26"/>
      <c r="I13" s="251"/>
    </row>
    <row r="14" spans="1:9" ht="15" customHeight="1">
      <c r="A14"/>
      <c r="B14" s="26"/>
      <c r="C14" s="26"/>
      <c r="D14" s="26"/>
      <c r="E14" s="249" t="s">
        <v>505</v>
      </c>
      <c r="G14" s="26" t="str">
        <f>Inputs!$I$11</f>
        <v>£m 20/21 prices</v>
      </c>
      <c r="I14" s="252"/>
    </row>
    <row r="15" spans="1:9" ht="15" customHeight="1">
      <c r="A15"/>
      <c r="B15" s="26"/>
      <c r="C15" s="26"/>
      <c r="D15" s="26"/>
      <c r="E15" s="249" t="s">
        <v>506</v>
      </c>
      <c r="G15" s="26" t="str">
        <f>Inputs!$I$11</f>
        <v>£m 20/21 prices</v>
      </c>
      <c r="I15" s="252"/>
    </row>
    <row r="16" spans="1:9" ht="15" customHeight="1">
      <c r="A16"/>
      <c r="B16" s="26"/>
      <c r="C16" s="26"/>
      <c r="D16" s="26"/>
      <c r="I16" s="248"/>
    </row>
    <row r="17" spans="1:9" ht="13">
      <c r="A17"/>
      <c r="B17" s="26"/>
      <c r="C17" s="26"/>
      <c r="D17" s="26"/>
      <c r="E17" s="26" t="s">
        <v>507</v>
      </c>
      <c r="G17" s="26" t="str">
        <f>Inputs!$I$11</f>
        <v>£m 20/21 prices</v>
      </c>
      <c r="I17" s="253">
        <f>I8+IF(Inputs!$I$199="Yes",I14,I11)</f>
        <v>121.56174892803534</v>
      </c>
    </row>
    <row r="18" spans="1:9" ht="13">
      <c r="A18"/>
      <c r="B18" s="26"/>
      <c r="C18" s="26"/>
      <c r="D18" s="26"/>
      <c r="E18" s="26" t="s">
        <v>508</v>
      </c>
      <c r="G18" s="26" t="str">
        <f>Inputs!$I$11</f>
        <v>£m 20/21 prices</v>
      </c>
      <c r="H18" s="254"/>
      <c r="I18" s="255">
        <f>I9+IF(Inputs!$I$199="Yes",I15,I12)</f>
        <v>71.106876562259984</v>
      </c>
    </row>
    <row r="19" spans="1:9" ht="15" customHeight="1">
      <c r="A19" s="247"/>
      <c r="B19" s="26"/>
      <c r="C19" s="26"/>
      <c r="D19" s="26"/>
      <c r="I19" s="248"/>
    </row>
    <row r="20" spans="1:9" ht="15" customHeight="1">
      <c r="A20"/>
      <c r="E20" s="16" t="s">
        <v>509</v>
      </c>
      <c r="G20" s="26" t="str">
        <f>Inputs!$I$11</f>
        <v>£m 20/21 prices</v>
      </c>
      <c r="H20" s="16" t="s">
        <v>510</v>
      </c>
      <c r="I20" s="256"/>
    </row>
    <row r="21" spans="1:9" ht="15" customHeight="1">
      <c r="A21"/>
      <c r="C21" s="16"/>
      <c r="E21" s="16" t="s">
        <v>511</v>
      </c>
      <c r="G21" s="26" t="str">
        <f>Inputs!$I$11</f>
        <v>£m 20/21 prices</v>
      </c>
      <c r="H21" s="16" t="s">
        <v>512</v>
      </c>
      <c r="I21" s="256"/>
    </row>
    <row r="22" spans="1:9" ht="15" customHeight="1">
      <c r="A22"/>
      <c r="B22" s="16"/>
      <c r="I22" s="248"/>
    </row>
    <row r="23" spans="1:9" ht="15" customHeight="1">
      <c r="A23"/>
      <c r="B23" s="16"/>
      <c r="C23" s="16"/>
      <c r="E23" s="16" t="s">
        <v>513</v>
      </c>
      <c r="G23" s="26" t="str">
        <f>Inputs!$I$11</f>
        <v>£m 20/21 prices</v>
      </c>
      <c r="H23" s="16" t="s">
        <v>514</v>
      </c>
      <c r="I23" s="248">
        <f>I17-I20</f>
        <v>121.56174892803534</v>
      </c>
    </row>
    <row r="24" spans="1:9" ht="15" customHeight="1">
      <c r="A24"/>
      <c r="B24" s="16"/>
      <c r="C24" s="16"/>
      <c r="E24" s="16" t="s">
        <v>515</v>
      </c>
      <c r="G24" s="26" t="str">
        <f>Inputs!$I$11</f>
        <v>£m 20/21 prices</v>
      </c>
      <c r="H24" s="16" t="s">
        <v>516</v>
      </c>
      <c r="I24" s="248">
        <f>I18-I21</f>
        <v>71.106876562259984</v>
      </c>
    </row>
    <row r="25" spans="1:9" ht="15" customHeight="1">
      <c r="A25" s="26"/>
      <c r="B25" s="26"/>
      <c r="C25" s="26"/>
      <c r="D25" s="26"/>
    </row>
    <row r="26" spans="1:9" ht="15" customHeight="1">
      <c r="A26" s="27"/>
      <c r="B26" s="26"/>
      <c r="C26" s="67" t="s">
        <v>517</v>
      </c>
      <c r="D26" s="67"/>
      <c r="E26" s="67"/>
      <c r="F26" s="67"/>
      <c r="G26" s="67"/>
      <c r="H26" s="67"/>
      <c r="I26" s="67"/>
    </row>
    <row r="27" spans="1:9" ht="15" customHeight="1">
      <c r="A27" s="27"/>
      <c r="B27" s="26"/>
      <c r="C27" s="25" t="s">
        <v>500</v>
      </c>
      <c r="D27" s="25"/>
      <c r="E27" s="25"/>
    </row>
    <row r="28" spans="1:9" ht="15" customHeight="1">
      <c r="A28" s="125"/>
      <c r="B28" s="26"/>
      <c r="C28" s="26"/>
      <c r="D28" s="26"/>
      <c r="E28" s="26" t="s">
        <v>518</v>
      </c>
      <c r="G28" s="26" t="str">
        <f>Inputs!$I$11</f>
        <v>£m 20/21 prices</v>
      </c>
      <c r="I28" s="257">
        <f>Allowances_Floor!$I66</f>
        <v>75.889016937417566</v>
      </c>
    </row>
    <row r="29" spans="1:9" ht="15" customHeight="1">
      <c r="A29" s="258"/>
      <c r="B29" s="26"/>
      <c r="C29" s="26"/>
      <c r="D29" s="26"/>
      <c r="I29" s="248"/>
    </row>
    <row r="30" spans="1:9" ht="13">
      <c r="A30" s="125"/>
      <c r="B30" s="26"/>
      <c r="C30" s="26"/>
      <c r="D30" s="26"/>
      <c r="E30" s="249" t="s">
        <v>519</v>
      </c>
      <c r="G30" s="26" t="str">
        <f>Inputs!$I$11</f>
        <v>£m 20/21 prices</v>
      </c>
      <c r="I30" s="246">
        <f>IF(Inputs!$I$199="No",Tax_Floor!I77,0)</f>
        <v>8.0570391699441792</v>
      </c>
    </row>
    <row r="31" spans="1:9" ht="15" customHeight="1">
      <c r="A31" s="125"/>
      <c r="B31" s="26"/>
      <c r="C31" s="26"/>
      <c r="D31" s="26"/>
      <c r="E31" s="250"/>
      <c r="G31" s="26"/>
      <c r="I31" s="251"/>
    </row>
    <row r="32" spans="1:9" ht="15" customHeight="1">
      <c r="A32" s="125"/>
      <c r="B32" s="26"/>
      <c r="C32" s="26"/>
      <c r="D32" s="26"/>
      <c r="E32" s="249" t="s">
        <v>520</v>
      </c>
      <c r="G32" s="26" t="str">
        <f>Inputs!$I$11</f>
        <v>£m 20/21 prices</v>
      </c>
      <c r="I32" s="252"/>
    </row>
    <row r="33" spans="1:9" ht="15" customHeight="1">
      <c r="A33" s="125"/>
      <c r="B33" s="26"/>
      <c r="C33" s="26"/>
      <c r="D33" s="26"/>
      <c r="I33" s="248"/>
    </row>
    <row r="34" spans="1:9" ht="13">
      <c r="A34" s="125"/>
      <c r="B34" s="26"/>
      <c r="C34" s="26"/>
      <c r="D34" s="26"/>
      <c r="E34" s="26" t="s">
        <v>521</v>
      </c>
      <c r="G34" s="26" t="str">
        <f>Inputs!$I$11</f>
        <v>£m 20/21 prices</v>
      </c>
      <c r="H34" s="254"/>
      <c r="I34" s="259">
        <f>I28+IF(Inputs!$I$199="Yes",I32,I30)</f>
        <v>83.946056107361741</v>
      </c>
    </row>
    <row r="35" spans="1:9" ht="15" customHeight="1">
      <c r="A35" s="258"/>
      <c r="B35" s="26"/>
      <c r="C35" s="26"/>
      <c r="D35" s="26"/>
      <c r="H35" s="254"/>
      <c r="I35" s="248"/>
    </row>
    <row r="36" spans="1:9" ht="15" customHeight="1">
      <c r="A36" s="125"/>
      <c r="C36" s="16"/>
      <c r="E36" s="16" t="s">
        <v>522</v>
      </c>
      <c r="G36" s="26" t="str">
        <f>Inputs!$I$11</f>
        <v>£m 20/21 prices</v>
      </c>
      <c r="H36" s="260"/>
      <c r="I36" s="256"/>
    </row>
    <row r="37" spans="1:9" ht="15" customHeight="1">
      <c r="A37" s="125"/>
      <c r="B37" s="16"/>
      <c r="I37" s="248"/>
    </row>
    <row r="38" spans="1:9" ht="15" customHeight="1">
      <c r="A38" s="125"/>
      <c r="B38" s="16"/>
      <c r="C38" s="16"/>
      <c r="E38" s="16" t="s">
        <v>523</v>
      </c>
      <c r="G38" s="26" t="str">
        <f>Inputs!$I$11</f>
        <v>£m 20/21 prices</v>
      </c>
      <c r="I38" s="261">
        <f>I34-I36</f>
        <v>83.946056107361741</v>
      </c>
    </row>
    <row r="39" spans="1:9" ht="15" customHeight="1">
      <c r="A39" s="27"/>
      <c r="B39" s="26"/>
      <c r="C39" s="26"/>
      <c r="D39" s="26"/>
    </row>
    <row r="40" spans="1:9" ht="15" customHeight="1">
      <c r="A40" s="26"/>
      <c r="B40" s="14" t="s">
        <v>47</v>
      </c>
      <c r="C40" s="58"/>
      <c r="D40" s="58"/>
      <c r="E40" s="58"/>
      <c r="F40" s="58"/>
      <c r="G40" s="58"/>
      <c r="H40" s="58"/>
      <c r="I40" s="58"/>
    </row>
    <row r="41" spans="1:9" ht="15" customHeight="1"/>
    <row r="42" spans="1:9" ht="0" hidden="1" customHeight="1"/>
    <row r="43" spans="1:9" ht="0" hidden="1" customHeight="1"/>
    <row r="44" spans="1:9" ht="0" hidden="1" customHeight="1"/>
    <row r="45" spans="1:9" ht="0" hidden="1" customHeight="1"/>
    <row r="46" spans="1:9" ht="0" hidden="1" customHeight="1"/>
    <row r="47" spans="1:9" ht="0" hidden="1" customHeight="1"/>
    <row r="48" spans="1:9" ht="0" hidden="1" customHeight="1"/>
  </sheetData>
  <pageMargins left="0.23622047244094502" right="0.23622047244094502" top="0.74803149606299213" bottom="0.74803149606299213" header="0.31496062992126012" footer="0.31496062992126012"/>
  <pageSetup paperSize="0" fitToHeight="0" orientation="landscape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6B8B7"/>
  </sheetPr>
  <dimension ref="A1:P32"/>
  <sheetViews>
    <sheetView workbookViewId="0"/>
  </sheetViews>
  <sheetFormatPr defaultColWidth="0" defaultRowHeight="0" zeroHeight="1"/>
  <cols>
    <col min="1" max="1" width="2.69921875" style="43" customWidth="1"/>
    <col min="2" max="2" width="13.296875" style="43" bestFit="1" customWidth="1"/>
    <col min="3" max="4" width="13.296875" style="43" customWidth="1"/>
    <col min="5" max="5" width="16.59765625" style="43" customWidth="1"/>
    <col min="6" max="6" width="10.8984375" style="43" bestFit="1" customWidth="1"/>
    <col min="7" max="7" width="23.3984375" style="43" bestFit="1" customWidth="1"/>
    <col min="8" max="8" width="28.59765625" style="43" customWidth="1"/>
    <col min="9" max="9" width="16.69921875" style="43" bestFit="1" customWidth="1"/>
    <col min="10" max="10" width="15" style="43" bestFit="1" customWidth="1"/>
    <col min="11" max="11" width="16.69921875" style="43" customWidth="1"/>
    <col min="12" max="12" width="18.296875" style="43" customWidth="1"/>
    <col min="13" max="13" width="3.09765625" style="45" customWidth="1"/>
    <col min="14" max="16" width="0" style="43" hidden="1" customWidth="1"/>
    <col min="17" max="17" width="10.69921875" style="43" hidden="1" customWidth="1"/>
    <col min="18" max="16384" width="10.69921875" style="43" hidden="1"/>
  </cols>
  <sheetData>
    <row r="1" spans="1:13" s="41" customFormat="1" ht="14.5">
      <c r="A1" s="38" t="s">
        <v>48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41" customFormat="1" ht="39">
      <c r="A2" s="39"/>
      <c r="B2" s="42" t="s">
        <v>49</v>
      </c>
      <c r="C2" s="42" t="s">
        <v>50</v>
      </c>
      <c r="D2" s="42" t="s">
        <v>51</v>
      </c>
      <c r="E2" s="42" t="s">
        <v>52</v>
      </c>
      <c r="F2" s="42" t="s">
        <v>53</v>
      </c>
      <c r="G2" s="42" t="s">
        <v>54</v>
      </c>
      <c r="H2" s="42" t="s">
        <v>55</v>
      </c>
      <c r="I2" s="42" t="s">
        <v>56</v>
      </c>
      <c r="J2" s="42" t="s">
        <v>57</v>
      </c>
      <c r="K2" s="42" t="s">
        <v>58</v>
      </c>
      <c r="L2" s="42" t="s">
        <v>59</v>
      </c>
      <c r="M2" s="40"/>
    </row>
    <row r="3" spans="1:13" ht="13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3" ht="26">
      <c r="B4" s="46">
        <v>1.1000000000000001</v>
      </c>
      <c r="C4" s="47" t="s">
        <v>60</v>
      </c>
      <c r="D4" s="48" t="s">
        <v>61</v>
      </c>
      <c r="E4" s="46" t="s">
        <v>62</v>
      </c>
      <c r="F4" s="49">
        <v>42766</v>
      </c>
      <c r="G4" s="50" t="s">
        <v>61</v>
      </c>
      <c r="H4" s="50" t="s">
        <v>61</v>
      </c>
      <c r="I4" s="50" t="s">
        <v>61</v>
      </c>
      <c r="J4" s="50" t="s">
        <v>61</v>
      </c>
      <c r="K4" s="50" t="s">
        <v>63</v>
      </c>
      <c r="L4" s="50" t="s">
        <v>64</v>
      </c>
    </row>
    <row r="5" spans="1:13" ht="39">
      <c r="B5" s="46">
        <v>2.1</v>
      </c>
      <c r="C5" s="47" t="s">
        <v>60</v>
      </c>
      <c r="D5" s="48">
        <v>1.1000000000000001</v>
      </c>
      <c r="E5" s="46" t="s">
        <v>65</v>
      </c>
      <c r="F5" s="49">
        <v>43544</v>
      </c>
      <c r="G5" s="50" t="s">
        <v>66</v>
      </c>
      <c r="H5" s="50" t="s">
        <v>67</v>
      </c>
      <c r="I5" s="50" t="s">
        <v>68</v>
      </c>
      <c r="J5" s="50" t="s">
        <v>69</v>
      </c>
      <c r="K5" s="50" t="s">
        <v>70</v>
      </c>
      <c r="L5" s="50" t="s">
        <v>71</v>
      </c>
    </row>
    <row r="6" spans="1:13" ht="39">
      <c r="B6" s="46">
        <v>2.2000000000000002</v>
      </c>
      <c r="C6" s="47"/>
      <c r="D6" s="48">
        <v>2.1</v>
      </c>
      <c r="E6" s="46" t="s">
        <v>65</v>
      </c>
      <c r="F6" s="49">
        <v>43713</v>
      </c>
      <c r="G6" s="50" t="s">
        <v>72</v>
      </c>
      <c r="H6" s="50" t="s">
        <v>73</v>
      </c>
      <c r="I6" s="50" t="s">
        <v>68</v>
      </c>
      <c r="J6" s="50" t="s">
        <v>69</v>
      </c>
      <c r="K6" s="50" t="s">
        <v>70</v>
      </c>
      <c r="L6" s="50" t="s">
        <v>74</v>
      </c>
    </row>
    <row r="7" spans="1:13" ht="91">
      <c r="B7" s="46">
        <v>3.1</v>
      </c>
      <c r="C7" s="47"/>
      <c r="D7" s="48">
        <v>2.2000000000000002</v>
      </c>
      <c r="E7" s="46" t="s">
        <v>75</v>
      </c>
      <c r="F7" s="49">
        <v>44176</v>
      </c>
      <c r="G7" s="50" t="s">
        <v>76</v>
      </c>
      <c r="H7" s="50" t="s">
        <v>77</v>
      </c>
      <c r="I7" s="50" t="s">
        <v>68</v>
      </c>
      <c r="J7" s="50" t="s">
        <v>78</v>
      </c>
      <c r="K7" s="50" t="s">
        <v>70</v>
      </c>
      <c r="L7" s="50" t="s">
        <v>79</v>
      </c>
    </row>
    <row r="8" spans="1:13" ht="52">
      <c r="B8" s="46">
        <v>3.2</v>
      </c>
      <c r="C8" s="47"/>
      <c r="D8" s="48">
        <v>3.1</v>
      </c>
      <c r="E8" s="46" t="s">
        <v>65</v>
      </c>
      <c r="F8" s="49">
        <v>44232</v>
      </c>
      <c r="G8" s="50" t="s">
        <v>80</v>
      </c>
      <c r="H8" s="50" t="s">
        <v>81</v>
      </c>
      <c r="I8" s="50" t="s">
        <v>68</v>
      </c>
      <c r="J8" s="50" t="s">
        <v>82</v>
      </c>
      <c r="K8" s="50" t="s">
        <v>83</v>
      </c>
      <c r="L8" s="50" t="s">
        <v>84</v>
      </c>
    </row>
    <row r="9" spans="1:13" ht="52">
      <c r="B9" s="46">
        <v>3.3</v>
      </c>
      <c r="C9" s="47"/>
      <c r="D9" s="48">
        <v>3.2</v>
      </c>
      <c r="E9" s="46" t="s">
        <v>85</v>
      </c>
      <c r="F9" s="49">
        <v>44330</v>
      </c>
      <c r="G9" s="50" t="s">
        <v>86</v>
      </c>
      <c r="H9" s="50" t="s">
        <v>87</v>
      </c>
      <c r="I9" s="50" t="s">
        <v>68</v>
      </c>
      <c r="J9" s="50" t="s">
        <v>69</v>
      </c>
      <c r="K9" s="50" t="s">
        <v>88</v>
      </c>
      <c r="L9" s="50" t="s">
        <v>89</v>
      </c>
    </row>
    <row r="10" spans="1:13" ht="65">
      <c r="B10" s="46">
        <v>3.4</v>
      </c>
      <c r="C10" s="46"/>
      <c r="D10" s="48">
        <v>3.3</v>
      </c>
      <c r="E10" s="46" t="s">
        <v>90</v>
      </c>
      <c r="F10" s="49">
        <v>44781</v>
      </c>
      <c r="G10" s="50" t="s">
        <v>91</v>
      </c>
      <c r="H10" s="50" t="s">
        <v>92</v>
      </c>
      <c r="I10" s="50" t="s">
        <v>68</v>
      </c>
      <c r="J10" s="50" t="s">
        <v>93</v>
      </c>
      <c r="K10" s="50" t="s">
        <v>94</v>
      </c>
      <c r="L10" s="50" t="s">
        <v>95</v>
      </c>
    </row>
    <row r="11" spans="1:13" ht="65">
      <c r="B11" s="46">
        <v>3.5</v>
      </c>
      <c r="C11" s="46"/>
      <c r="D11" s="48">
        <v>3.4</v>
      </c>
      <c r="E11" s="46" t="s">
        <v>96</v>
      </c>
      <c r="F11" s="49">
        <v>45112</v>
      </c>
      <c r="G11" s="50" t="s">
        <v>97</v>
      </c>
      <c r="H11" s="50" t="s">
        <v>98</v>
      </c>
      <c r="I11" s="50" t="s">
        <v>68</v>
      </c>
      <c r="J11" s="50" t="s">
        <v>93</v>
      </c>
      <c r="K11" s="50" t="s">
        <v>99</v>
      </c>
      <c r="L11" s="50" t="s">
        <v>100</v>
      </c>
    </row>
    <row r="12" spans="1:13" ht="13">
      <c r="B12" s="46"/>
      <c r="C12" s="46"/>
      <c r="D12" s="48"/>
      <c r="E12" s="46"/>
      <c r="F12" s="49"/>
      <c r="G12" s="46"/>
      <c r="H12" s="46"/>
      <c r="I12" s="46"/>
      <c r="J12" s="46"/>
      <c r="K12" s="46"/>
      <c r="L12" s="46"/>
    </row>
    <row r="13" spans="1:13" ht="13"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</row>
    <row r="14" spans="1:13" ht="13"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</row>
    <row r="15" spans="1:13" ht="13"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</row>
    <row r="16" spans="1:13" ht="13"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</row>
    <row r="17" spans="2:12" ht="13"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</row>
    <row r="18" spans="2:12" ht="13"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</row>
    <row r="19" spans="2:12" ht="13"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</row>
    <row r="20" spans="2:12" ht="13"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</row>
    <row r="21" spans="2:12" ht="13"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</row>
    <row r="22" spans="2:12" ht="13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</row>
    <row r="23" spans="2:12" ht="13"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</row>
    <row r="24" spans="2:12" ht="13"/>
    <row r="25" spans="2:12" ht="13"/>
    <row r="26" spans="2:12" ht="13"/>
    <row r="27" spans="2:12" ht="13"/>
    <row r="28" spans="2:12" ht="13"/>
    <row r="29" spans="2:12" ht="13"/>
    <row r="30" spans="2:12" ht="13"/>
    <row r="31" spans="2:12" ht="13"/>
    <row r="32" spans="2:12" ht="13"/>
  </sheetData>
  <hyperlinks>
    <hyperlink ref="C4" r:id="rId1"/>
    <hyperlink ref="C5" r:id="rId2"/>
  </hyperlink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AZ291"/>
  <sheetViews>
    <sheetView workbookViewId="0"/>
  </sheetViews>
  <sheetFormatPr defaultColWidth="0" defaultRowHeight="0" customHeight="1" zeroHeight="1"/>
  <cols>
    <col min="1" max="4" width="2.59765625" style="13" customWidth="1"/>
    <col min="5" max="5" width="54.09765625" style="13" bestFit="1" customWidth="1"/>
    <col min="6" max="6" width="1.59765625" style="13" customWidth="1"/>
    <col min="7" max="7" width="19.296875" style="13" bestFit="1" customWidth="1"/>
    <col min="8" max="8" width="13.296875" style="13" customWidth="1"/>
    <col min="9" max="9" width="14" style="13" customWidth="1"/>
    <col min="10" max="10" width="1.3984375" style="13" customWidth="1"/>
    <col min="11" max="11" width="11.8984375" style="13" customWidth="1"/>
    <col min="12" max="12" width="11.3984375" style="13" customWidth="1"/>
    <col min="13" max="18" width="10.59765625" style="13" customWidth="1"/>
    <col min="19" max="19" width="12.09765625" style="13" customWidth="1"/>
    <col min="20" max="20" width="11.8984375" style="13" customWidth="1"/>
    <col min="21" max="31" width="10.59765625" style="13" customWidth="1"/>
    <col min="32" max="32" width="11.59765625" style="13" bestFit="1" customWidth="1"/>
    <col min="33" max="48" width="10.59765625" style="13" customWidth="1"/>
    <col min="49" max="50" width="10.69921875" style="13" customWidth="1"/>
    <col min="51" max="51" width="7.59765625" customWidth="1"/>
    <col min="52" max="52" width="10.09765625" hidden="1" customWidth="1"/>
    <col min="53" max="53" width="9.09765625" hidden="1" customWidth="1"/>
    <col min="54" max="16384" width="9.09765625" hidden="1"/>
  </cols>
  <sheetData>
    <row r="1" spans="1:52" ht="14.5">
      <c r="A1" s="52" t="s">
        <v>22</v>
      </c>
      <c r="B1" s="53"/>
      <c r="C1" s="53"/>
      <c r="D1" s="53"/>
      <c r="E1" s="53"/>
      <c r="F1" s="53"/>
      <c r="G1" s="53"/>
      <c r="H1" s="53" t="s">
        <v>101</v>
      </c>
      <c r="I1" s="53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</row>
    <row r="2" spans="1:52" ht="15" customHeight="1">
      <c r="A2" s="53"/>
      <c r="B2" s="53"/>
      <c r="C2" s="53"/>
      <c r="D2" s="53"/>
      <c r="E2" s="55" t="s">
        <v>102</v>
      </c>
      <c r="F2" s="55"/>
      <c r="G2" s="55" t="s">
        <v>103</v>
      </c>
      <c r="H2" s="55" t="s">
        <v>104</v>
      </c>
      <c r="I2" s="56" t="s">
        <v>105</v>
      </c>
      <c r="J2" s="57"/>
      <c r="K2" s="55" t="s">
        <v>106</v>
      </c>
      <c r="L2" s="57"/>
      <c r="M2" s="57"/>
      <c r="N2" s="57"/>
      <c r="O2" s="57"/>
      <c r="P2" s="53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3"/>
      <c r="AQ2" s="53"/>
      <c r="AR2" s="53"/>
      <c r="AS2" s="53"/>
      <c r="AT2" s="53"/>
      <c r="AU2" s="53"/>
      <c r="AV2" s="53"/>
      <c r="AW2" s="53"/>
      <c r="AX2" s="53"/>
    </row>
    <row r="3" spans="1:52" ht="15" customHeight="1"/>
    <row r="4" spans="1:52" ht="15" customHeight="1">
      <c r="B4" s="14" t="s">
        <v>107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</row>
    <row r="5" spans="1:52" ht="15" customHeight="1"/>
    <row r="6" spans="1:52" ht="15" customHeight="1">
      <c r="E6" s="13" t="s">
        <v>108</v>
      </c>
      <c r="G6" s="13" t="s">
        <v>109</v>
      </c>
      <c r="I6" s="60">
        <v>1</v>
      </c>
      <c r="K6" s="61"/>
    </row>
    <row r="7" spans="1:52" ht="15" customHeight="1">
      <c r="E7" s="13" t="s">
        <v>110</v>
      </c>
      <c r="G7" s="13" t="s">
        <v>111</v>
      </c>
      <c r="I7" s="62">
        <f>100%-I6</f>
        <v>0</v>
      </c>
      <c r="K7" s="61"/>
    </row>
    <row r="8" spans="1:52" ht="15" customHeight="1">
      <c r="A8"/>
      <c r="B8"/>
      <c r="C8"/>
      <c r="D8"/>
      <c r="E8"/>
      <c r="F8"/>
      <c r="G8"/>
      <c r="H8"/>
      <c r="I8"/>
      <c r="J8"/>
      <c r="K8" s="63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2" ht="15" customHeight="1">
      <c r="A9"/>
      <c r="E9" s="13" t="s">
        <v>112</v>
      </c>
      <c r="G9" s="13" t="s">
        <v>113</v>
      </c>
      <c r="I9" s="64" t="s">
        <v>114</v>
      </c>
      <c r="K9" s="61"/>
    </row>
    <row r="10" spans="1:52" s="16" customFormat="1" ht="15" customHeight="1">
      <c r="A10"/>
      <c r="K10" s="61"/>
      <c r="AY10"/>
      <c r="AZ10"/>
    </row>
    <row r="11" spans="1:52" s="16" customFormat="1" ht="15" customHeight="1">
      <c r="A11"/>
      <c r="E11" s="16" t="s">
        <v>115</v>
      </c>
      <c r="G11" s="13" t="s">
        <v>113</v>
      </c>
      <c r="I11" s="64" t="s">
        <v>116</v>
      </c>
      <c r="K11" s="65"/>
      <c r="AY11"/>
      <c r="AZ11"/>
    </row>
    <row r="12" spans="1:52" s="16" customFormat="1" ht="15" customHeight="1">
      <c r="I12" s="66"/>
      <c r="AY12"/>
      <c r="AZ12"/>
    </row>
    <row r="13" spans="1:52" ht="15" customHeight="1">
      <c r="A13" s="16"/>
      <c r="B13" s="14" t="s">
        <v>117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</row>
    <row r="14" spans="1:52" ht="15" customHeight="1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</row>
    <row r="15" spans="1:52" ht="15" customHeight="1">
      <c r="A15" s="16"/>
      <c r="B15" s="16"/>
      <c r="C15" s="67" t="s">
        <v>118</v>
      </c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</row>
    <row r="16" spans="1:52" ht="15" customHeight="1"/>
    <row r="17" spans="1:51" ht="15" customHeight="1">
      <c r="A17" s="68"/>
      <c r="B17" s="68"/>
      <c r="C17" s="68"/>
      <c r="D17" s="68"/>
      <c r="E17" s="69" t="s">
        <v>119</v>
      </c>
      <c r="F17" s="70"/>
      <c r="G17" s="70"/>
      <c r="H17" s="70"/>
      <c r="I17" s="70"/>
      <c r="J17" s="68"/>
      <c r="K17" s="71">
        <f>$I$148</f>
        <v>41275</v>
      </c>
      <c r="L17" s="72">
        <f t="shared" ref="L17:AX17" si="0">+K18+1</f>
        <v>41640</v>
      </c>
      <c r="M17" s="72">
        <f t="shared" si="0"/>
        <v>42005</v>
      </c>
      <c r="N17" s="72">
        <f t="shared" si="0"/>
        <v>42370</v>
      </c>
      <c r="O17" s="72">
        <f t="shared" si="0"/>
        <v>42736</v>
      </c>
      <c r="P17" s="72">
        <f t="shared" si="0"/>
        <v>43101</v>
      </c>
      <c r="Q17" s="72">
        <f t="shared" si="0"/>
        <v>43466</v>
      </c>
      <c r="R17" s="72">
        <f t="shared" si="0"/>
        <v>43831</v>
      </c>
      <c r="S17" s="72">
        <f t="shared" si="0"/>
        <v>44197</v>
      </c>
      <c r="T17" s="72">
        <f t="shared" si="0"/>
        <v>44562</v>
      </c>
      <c r="U17" s="72">
        <f t="shared" si="0"/>
        <v>44927</v>
      </c>
      <c r="V17" s="72">
        <f t="shared" si="0"/>
        <v>45292</v>
      </c>
      <c r="W17" s="72">
        <f t="shared" si="0"/>
        <v>45658</v>
      </c>
      <c r="X17" s="72">
        <f t="shared" si="0"/>
        <v>46023</v>
      </c>
      <c r="Y17" s="72">
        <f t="shared" si="0"/>
        <v>46388</v>
      </c>
      <c r="Z17" s="72">
        <f t="shared" si="0"/>
        <v>46753</v>
      </c>
      <c r="AA17" s="72">
        <f t="shared" si="0"/>
        <v>47119</v>
      </c>
      <c r="AB17" s="72">
        <f t="shared" si="0"/>
        <v>47484</v>
      </c>
      <c r="AC17" s="72">
        <f t="shared" si="0"/>
        <v>47849</v>
      </c>
      <c r="AD17" s="72">
        <f t="shared" si="0"/>
        <v>48214</v>
      </c>
      <c r="AE17" s="72">
        <f t="shared" si="0"/>
        <v>48580</v>
      </c>
      <c r="AF17" s="72">
        <f t="shared" si="0"/>
        <v>48945</v>
      </c>
      <c r="AG17" s="72">
        <f t="shared" si="0"/>
        <v>49310</v>
      </c>
      <c r="AH17" s="72">
        <f t="shared" si="0"/>
        <v>49675</v>
      </c>
      <c r="AI17" s="72">
        <f t="shared" si="0"/>
        <v>50041</v>
      </c>
      <c r="AJ17" s="72">
        <f t="shared" si="0"/>
        <v>50406</v>
      </c>
      <c r="AK17" s="72">
        <f t="shared" si="0"/>
        <v>50771</v>
      </c>
      <c r="AL17" s="72">
        <f t="shared" si="0"/>
        <v>51136</v>
      </c>
      <c r="AM17" s="72">
        <f t="shared" si="0"/>
        <v>51502</v>
      </c>
      <c r="AN17" s="72">
        <f t="shared" si="0"/>
        <v>51867</v>
      </c>
      <c r="AO17" s="72">
        <f t="shared" si="0"/>
        <v>52232</v>
      </c>
      <c r="AP17" s="72">
        <f t="shared" si="0"/>
        <v>52597</v>
      </c>
      <c r="AQ17" s="72">
        <f t="shared" si="0"/>
        <v>52963</v>
      </c>
      <c r="AR17" s="72">
        <f t="shared" si="0"/>
        <v>53328</v>
      </c>
      <c r="AS17" s="72">
        <f t="shared" si="0"/>
        <v>53693</v>
      </c>
      <c r="AT17" s="72">
        <f t="shared" si="0"/>
        <v>54058</v>
      </c>
      <c r="AU17" s="72">
        <f t="shared" si="0"/>
        <v>54424</v>
      </c>
      <c r="AV17" s="72">
        <f t="shared" si="0"/>
        <v>54789</v>
      </c>
      <c r="AW17" s="72">
        <f t="shared" si="0"/>
        <v>55154</v>
      </c>
      <c r="AX17" s="72">
        <f t="shared" si="0"/>
        <v>55519</v>
      </c>
    </row>
    <row r="18" spans="1:51" ht="15" customHeight="1">
      <c r="A18" s="73"/>
      <c r="B18" s="73"/>
      <c r="C18" s="73"/>
      <c r="D18" s="73"/>
      <c r="E18" s="69" t="s">
        <v>120</v>
      </c>
      <c r="F18" s="73"/>
      <c r="G18" s="73"/>
      <c r="H18" s="73"/>
      <c r="I18" s="74"/>
      <c r="J18" s="73"/>
      <c r="K18" s="71">
        <f>EOMONTH(K17,11)</f>
        <v>41639</v>
      </c>
      <c r="L18" s="72">
        <f t="shared" ref="L18:AX18" si="1">DATE(YEAR(K18) + 1, MONTH(K18), DAY(K18))</f>
        <v>42004</v>
      </c>
      <c r="M18" s="72">
        <f t="shared" si="1"/>
        <v>42369</v>
      </c>
      <c r="N18" s="72">
        <f t="shared" si="1"/>
        <v>42735</v>
      </c>
      <c r="O18" s="72">
        <f t="shared" si="1"/>
        <v>43100</v>
      </c>
      <c r="P18" s="72">
        <f t="shared" si="1"/>
        <v>43465</v>
      </c>
      <c r="Q18" s="72">
        <f t="shared" si="1"/>
        <v>43830</v>
      </c>
      <c r="R18" s="72">
        <f t="shared" si="1"/>
        <v>44196</v>
      </c>
      <c r="S18" s="72">
        <f t="shared" si="1"/>
        <v>44561</v>
      </c>
      <c r="T18" s="72">
        <f t="shared" si="1"/>
        <v>44926</v>
      </c>
      <c r="U18" s="72">
        <f t="shared" si="1"/>
        <v>45291</v>
      </c>
      <c r="V18" s="72">
        <f t="shared" si="1"/>
        <v>45657</v>
      </c>
      <c r="W18" s="72">
        <f t="shared" si="1"/>
        <v>46022</v>
      </c>
      <c r="X18" s="72">
        <f t="shared" si="1"/>
        <v>46387</v>
      </c>
      <c r="Y18" s="72">
        <f t="shared" si="1"/>
        <v>46752</v>
      </c>
      <c r="Z18" s="72">
        <f t="shared" si="1"/>
        <v>47118</v>
      </c>
      <c r="AA18" s="72">
        <f t="shared" si="1"/>
        <v>47483</v>
      </c>
      <c r="AB18" s="72">
        <f t="shared" si="1"/>
        <v>47848</v>
      </c>
      <c r="AC18" s="72">
        <f t="shared" si="1"/>
        <v>48213</v>
      </c>
      <c r="AD18" s="72">
        <f t="shared" si="1"/>
        <v>48579</v>
      </c>
      <c r="AE18" s="72">
        <f t="shared" si="1"/>
        <v>48944</v>
      </c>
      <c r="AF18" s="72">
        <f t="shared" si="1"/>
        <v>49309</v>
      </c>
      <c r="AG18" s="72">
        <f t="shared" si="1"/>
        <v>49674</v>
      </c>
      <c r="AH18" s="72">
        <f t="shared" si="1"/>
        <v>50040</v>
      </c>
      <c r="AI18" s="72">
        <f t="shared" si="1"/>
        <v>50405</v>
      </c>
      <c r="AJ18" s="72">
        <f t="shared" si="1"/>
        <v>50770</v>
      </c>
      <c r="AK18" s="72">
        <f t="shared" si="1"/>
        <v>51135</v>
      </c>
      <c r="AL18" s="72">
        <f t="shared" si="1"/>
        <v>51501</v>
      </c>
      <c r="AM18" s="72">
        <f t="shared" si="1"/>
        <v>51866</v>
      </c>
      <c r="AN18" s="72">
        <f t="shared" si="1"/>
        <v>52231</v>
      </c>
      <c r="AO18" s="72">
        <f t="shared" si="1"/>
        <v>52596</v>
      </c>
      <c r="AP18" s="72">
        <f t="shared" si="1"/>
        <v>52962</v>
      </c>
      <c r="AQ18" s="72">
        <f t="shared" si="1"/>
        <v>53327</v>
      </c>
      <c r="AR18" s="72">
        <f t="shared" si="1"/>
        <v>53692</v>
      </c>
      <c r="AS18" s="72">
        <f t="shared" si="1"/>
        <v>54057</v>
      </c>
      <c r="AT18" s="72">
        <f t="shared" si="1"/>
        <v>54423</v>
      </c>
      <c r="AU18" s="72">
        <f t="shared" si="1"/>
        <v>54788</v>
      </c>
      <c r="AV18" s="72">
        <f t="shared" si="1"/>
        <v>55153</v>
      </c>
      <c r="AW18" s="72">
        <f t="shared" si="1"/>
        <v>55518</v>
      </c>
      <c r="AX18" s="72">
        <f t="shared" si="1"/>
        <v>55884</v>
      </c>
    </row>
    <row r="19" spans="1:51" ht="15" customHeight="1"/>
    <row r="20" spans="1:51" ht="15" customHeight="1">
      <c r="A20"/>
      <c r="E20" s="13" t="s">
        <v>121</v>
      </c>
      <c r="G20" s="1" t="s">
        <v>122</v>
      </c>
      <c r="H20" s="75"/>
      <c r="K20" s="76">
        <v>0</v>
      </c>
      <c r="L20" s="76">
        <v>0</v>
      </c>
      <c r="M20" s="76">
        <v>0</v>
      </c>
      <c r="N20" s="76">
        <v>0</v>
      </c>
      <c r="O20" s="76">
        <v>1.4102650142078954</v>
      </c>
      <c r="P20" s="76">
        <v>6.2165770158775562</v>
      </c>
      <c r="Q20" s="76">
        <v>4.0922639455282237</v>
      </c>
      <c r="R20" s="76">
        <v>5.3379415875447318</v>
      </c>
      <c r="S20" s="76">
        <v>6.7918278029192276</v>
      </c>
      <c r="T20" s="76">
        <v>8.051124633922365</v>
      </c>
      <c r="U20" s="76">
        <v>0</v>
      </c>
      <c r="V20" s="76">
        <v>0</v>
      </c>
      <c r="W20" s="76">
        <v>0</v>
      </c>
      <c r="X20" s="76">
        <v>0</v>
      </c>
      <c r="Y20" s="76">
        <v>0</v>
      </c>
      <c r="Z20" s="76">
        <v>0</v>
      </c>
      <c r="AA20" s="76">
        <v>0</v>
      </c>
      <c r="AB20" s="76">
        <v>0</v>
      </c>
      <c r="AC20" s="76">
        <v>0</v>
      </c>
      <c r="AD20" s="76">
        <v>0</v>
      </c>
      <c r="AE20" s="76">
        <v>0</v>
      </c>
      <c r="AF20" s="76">
        <v>0</v>
      </c>
      <c r="AG20" s="76">
        <v>0</v>
      </c>
      <c r="AH20" s="76">
        <v>0</v>
      </c>
      <c r="AI20" s="76">
        <v>0</v>
      </c>
      <c r="AJ20" s="76">
        <v>0</v>
      </c>
      <c r="AK20" s="76">
        <v>0</v>
      </c>
      <c r="AL20" s="76">
        <v>0</v>
      </c>
      <c r="AM20" s="76">
        <v>0</v>
      </c>
      <c r="AN20" s="76">
        <v>0</v>
      </c>
      <c r="AO20" s="76">
        <v>0</v>
      </c>
      <c r="AP20" s="76">
        <v>0</v>
      </c>
      <c r="AQ20" s="76">
        <v>0</v>
      </c>
      <c r="AR20" s="76">
        <v>0</v>
      </c>
      <c r="AS20" s="76">
        <v>0</v>
      </c>
      <c r="AT20" s="76">
        <v>0</v>
      </c>
      <c r="AU20" s="76">
        <v>0</v>
      </c>
      <c r="AV20" s="76">
        <v>0</v>
      </c>
      <c r="AW20" s="76">
        <v>0</v>
      </c>
      <c r="AX20" s="76">
        <v>0</v>
      </c>
      <c r="AY20" s="77"/>
    </row>
    <row r="21" spans="1:51" ht="15" customHeight="1">
      <c r="A21"/>
      <c r="E21" s="13" t="s">
        <v>123</v>
      </c>
      <c r="G21" s="1" t="s">
        <v>122</v>
      </c>
      <c r="H21" s="75"/>
      <c r="K21" s="76"/>
      <c r="L21" s="76">
        <v>0</v>
      </c>
      <c r="M21" s="76">
        <v>0</v>
      </c>
      <c r="N21" s="76">
        <v>0</v>
      </c>
      <c r="O21" s="76">
        <v>0</v>
      </c>
      <c r="P21" s="76">
        <v>0</v>
      </c>
      <c r="Q21" s="76">
        <v>0</v>
      </c>
      <c r="R21" s="76">
        <v>0</v>
      </c>
      <c r="S21" s="76">
        <v>0</v>
      </c>
      <c r="T21" s="76">
        <v>167.00057784789098</v>
      </c>
      <c r="U21" s="76">
        <v>93.700335895219126</v>
      </c>
      <c r="V21" s="76">
        <v>120.28753625686763</v>
      </c>
      <c r="W21" s="76">
        <v>218.78422012721589</v>
      </c>
      <c r="X21" s="76">
        <v>164.42649918853905</v>
      </c>
      <c r="Y21" s="76">
        <v>65.937525221526258</v>
      </c>
      <c r="Z21" s="76">
        <v>29.009305462741054</v>
      </c>
      <c r="AA21" s="76">
        <v>0</v>
      </c>
      <c r="AB21" s="76">
        <v>0</v>
      </c>
      <c r="AC21" s="76">
        <v>0</v>
      </c>
      <c r="AD21" s="76">
        <v>0</v>
      </c>
      <c r="AE21" s="76">
        <v>0</v>
      </c>
      <c r="AF21" s="76">
        <v>0</v>
      </c>
      <c r="AG21" s="76">
        <v>0</v>
      </c>
      <c r="AH21" s="76">
        <v>0</v>
      </c>
      <c r="AI21" s="76">
        <v>0</v>
      </c>
      <c r="AJ21" s="76">
        <v>0</v>
      </c>
      <c r="AK21" s="76">
        <v>0</v>
      </c>
      <c r="AL21" s="76">
        <v>0</v>
      </c>
      <c r="AM21" s="76">
        <v>0</v>
      </c>
      <c r="AN21" s="76">
        <v>0</v>
      </c>
      <c r="AO21" s="76">
        <v>0</v>
      </c>
      <c r="AP21" s="76">
        <v>0</v>
      </c>
      <c r="AQ21" s="76">
        <v>0</v>
      </c>
      <c r="AR21" s="76">
        <v>0</v>
      </c>
      <c r="AS21" s="76">
        <v>0</v>
      </c>
      <c r="AT21" s="76">
        <v>0</v>
      </c>
      <c r="AU21" s="76">
        <v>0</v>
      </c>
      <c r="AV21" s="76">
        <v>0</v>
      </c>
      <c r="AW21" s="76">
        <v>0</v>
      </c>
      <c r="AX21" s="76">
        <v>0</v>
      </c>
      <c r="AY21" s="77"/>
    </row>
    <row r="22" spans="1:51" ht="15" customHeight="1">
      <c r="A22"/>
      <c r="E22" s="13" t="s">
        <v>124</v>
      </c>
      <c r="G22" s="1" t="s">
        <v>122</v>
      </c>
      <c r="H22" s="75"/>
      <c r="K22" s="76"/>
      <c r="L22" s="76">
        <v>0</v>
      </c>
      <c r="M22" s="76">
        <v>0</v>
      </c>
      <c r="N22" s="76">
        <v>0</v>
      </c>
      <c r="O22" s="76">
        <v>0</v>
      </c>
      <c r="P22" s="76">
        <v>0</v>
      </c>
      <c r="Q22" s="76">
        <v>0</v>
      </c>
      <c r="R22" s="76">
        <v>0</v>
      </c>
      <c r="S22" s="76">
        <v>0</v>
      </c>
      <c r="T22" s="76">
        <v>10.816629053200286</v>
      </c>
      <c r="U22" s="76">
        <v>18.90499451016267</v>
      </c>
      <c r="V22" s="76">
        <v>25.787994200340499</v>
      </c>
      <c r="W22" s="76">
        <v>10.822092560407786</v>
      </c>
      <c r="X22" s="76">
        <v>17.53659</v>
      </c>
      <c r="Y22" s="76">
        <v>11.259305099848257</v>
      </c>
      <c r="Z22" s="76">
        <v>2.8711228004613067</v>
      </c>
      <c r="AA22" s="76">
        <v>0</v>
      </c>
      <c r="AB22" s="76">
        <v>0</v>
      </c>
      <c r="AC22" s="76">
        <v>0</v>
      </c>
      <c r="AD22" s="76">
        <v>0</v>
      </c>
      <c r="AE22" s="76">
        <v>0</v>
      </c>
      <c r="AF22" s="76">
        <v>0</v>
      </c>
      <c r="AG22" s="76">
        <v>0</v>
      </c>
      <c r="AH22" s="76">
        <v>0</v>
      </c>
      <c r="AI22" s="76">
        <v>0</v>
      </c>
      <c r="AJ22" s="76">
        <v>0</v>
      </c>
      <c r="AK22" s="76">
        <v>0</v>
      </c>
      <c r="AL22" s="76">
        <v>0</v>
      </c>
      <c r="AM22" s="76">
        <v>0</v>
      </c>
      <c r="AN22" s="76">
        <v>0</v>
      </c>
      <c r="AO22" s="76">
        <v>0</v>
      </c>
      <c r="AP22" s="76">
        <v>0</v>
      </c>
      <c r="AQ22" s="76">
        <v>0</v>
      </c>
      <c r="AR22" s="76">
        <v>0</v>
      </c>
      <c r="AS22" s="76">
        <v>0</v>
      </c>
      <c r="AT22" s="76">
        <v>0</v>
      </c>
      <c r="AU22" s="76">
        <v>0</v>
      </c>
      <c r="AV22" s="76">
        <v>0</v>
      </c>
      <c r="AW22" s="76">
        <v>0</v>
      </c>
      <c r="AX22" s="76">
        <v>0</v>
      </c>
      <c r="AY22" s="77"/>
    </row>
    <row r="23" spans="1:51" ht="15" customHeight="1"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</row>
    <row r="24" spans="1:51" ht="26">
      <c r="A24"/>
      <c r="E24" s="79" t="s">
        <v>125</v>
      </c>
      <c r="G24" s="80" t="s">
        <v>126</v>
      </c>
      <c r="H24" s="80" t="s">
        <v>127</v>
      </c>
      <c r="I24" s="81">
        <v>294.16669999999999</v>
      </c>
      <c r="K24" s="82"/>
      <c r="L24" s="82"/>
      <c r="M24" s="82"/>
      <c r="N24" s="82"/>
      <c r="O24" s="82"/>
      <c r="P24" s="82"/>
      <c r="Q24" s="82"/>
      <c r="R24" s="83"/>
      <c r="S24" s="62"/>
      <c r="T24" s="62"/>
      <c r="U24" s="6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</row>
    <row r="25" spans="1:51" ht="13">
      <c r="A25"/>
      <c r="E25" s="84"/>
      <c r="G25" s="85"/>
      <c r="H25" s="85"/>
      <c r="I25" s="86"/>
      <c r="K25" s="82"/>
      <c r="L25" s="87"/>
      <c r="M25" s="87"/>
      <c r="N25" s="87"/>
      <c r="O25" s="87"/>
      <c r="P25" s="87"/>
      <c r="Q25" s="87"/>
      <c r="R25" s="82"/>
      <c r="S25" s="88"/>
      <c r="T25" s="88"/>
      <c r="U25" s="88"/>
      <c r="V25" s="82"/>
      <c r="W25" s="87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</row>
    <row r="26" spans="1:51" ht="13">
      <c r="A26"/>
      <c r="E26" s="84"/>
      <c r="G26" s="85"/>
      <c r="H26" s="85"/>
      <c r="I26" s="86"/>
      <c r="K26" s="82"/>
      <c r="L26" s="87"/>
      <c r="M26" s="87"/>
      <c r="N26" s="87"/>
      <c r="O26" s="87"/>
      <c r="P26" s="87"/>
      <c r="Q26" s="87"/>
      <c r="R26" s="82"/>
      <c r="S26" s="82"/>
      <c r="T26" s="82"/>
      <c r="U26" s="82"/>
      <c r="V26" s="82"/>
      <c r="W26" s="87"/>
      <c r="X26" s="82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</row>
    <row r="27" spans="1:51" ht="28.5" customHeight="1">
      <c r="A27"/>
      <c r="B27"/>
      <c r="C27"/>
      <c r="D27"/>
      <c r="E27"/>
      <c r="F27"/>
      <c r="G27"/>
      <c r="H27"/>
      <c r="I27"/>
      <c r="J27"/>
      <c r="K27" s="82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</row>
    <row r="28" spans="1:51" ht="13">
      <c r="A28"/>
      <c r="E28" s="79" t="s">
        <v>128</v>
      </c>
      <c r="G28" s="90" t="str">
        <f>G24</f>
        <v>Jan 1987 = 100</v>
      </c>
      <c r="H28" s="80" t="s">
        <v>129</v>
      </c>
      <c r="K28" s="91">
        <v>250.10833333333335</v>
      </c>
      <c r="L28" s="91">
        <v>256.0333333333333</v>
      </c>
      <c r="M28" s="91">
        <v>258.54166666666669</v>
      </c>
      <c r="N28" s="91">
        <v>263.05</v>
      </c>
      <c r="O28" s="91">
        <v>272.47500000000002</v>
      </c>
      <c r="P28" s="91">
        <v>281.58333333333331</v>
      </c>
      <c r="Q28" s="91">
        <v>288.8</v>
      </c>
      <c r="R28" s="91">
        <v>293.14166666666671</v>
      </c>
      <c r="S28" s="91">
        <v>305</v>
      </c>
      <c r="T28" s="91">
        <v>340.33300000000003</v>
      </c>
      <c r="U28" s="92">
        <f t="shared" ref="U28:AX28" si="2">T28*(1+$I$179)</f>
        <v>351.97238860000004</v>
      </c>
      <c r="V28" s="92">
        <f t="shared" si="2"/>
        <v>364.00984429012004</v>
      </c>
      <c r="W28" s="93">
        <f t="shared" si="2"/>
        <v>376.45898096484217</v>
      </c>
      <c r="X28" s="93">
        <f t="shared" si="2"/>
        <v>389.33387811383977</v>
      </c>
      <c r="Y28" s="93">
        <f t="shared" si="2"/>
        <v>402.64909674533311</v>
      </c>
      <c r="Z28" s="93">
        <f t="shared" si="2"/>
        <v>416.41969585402353</v>
      </c>
      <c r="AA28" s="93">
        <f t="shared" si="2"/>
        <v>430.66124945223112</v>
      </c>
      <c r="AB28" s="93">
        <f t="shared" si="2"/>
        <v>445.38986418349742</v>
      </c>
      <c r="AC28" s="93">
        <f t="shared" si="2"/>
        <v>460.62219753857306</v>
      </c>
      <c r="AD28" s="93">
        <f t="shared" si="2"/>
        <v>476.37547669439226</v>
      </c>
      <c r="AE28" s="93">
        <f t="shared" si="2"/>
        <v>492.6675179973405</v>
      </c>
      <c r="AF28" s="93">
        <f t="shared" si="2"/>
        <v>509.51674711284954</v>
      </c>
      <c r="AG28" s="93">
        <f t="shared" si="2"/>
        <v>526.94221986410901</v>
      </c>
      <c r="AH28" s="93">
        <f t="shared" si="2"/>
        <v>544.96364378346152</v>
      </c>
      <c r="AI28" s="93">
        <f t="shared" si="2"/>
        <v>563.60140040085594</v>
      </c>
      <c r="AJ28" s="93">
        <f t="shared" si="2"/>
        <v>582.87656829456523</v>
      </c>
      <c r="AK28" s="93">
        <f t="shared" si="2"/>
        <v>602.81094693023931</v>
      </c>
      <c r="AL28" s="93">
        <f t="shared" si="2"/>
        <v>623.42708131525353</v>
      </c>
      <c r="AM28" s="93">
        <f t="shared" si="2"/>
        <v>644.74828749623521</v>
      </c>
      <c r="AN28" s="93">
        <f t="shared" si="2"/>
        <v>666.79867892860648</v>
      </c>
      <c r="AO28" s="93">
        <f t="shared" si="2"/>
        <v>689.60319374796484</v>
      </c>
      <c r="AP28" s="93">
        <f t="shared" si="2"/>
        <v>713.18762297414526</v>
      </c>
      <c r="AQ28" s="93">
        <f t="shared" si="2"/>
        <v>737.578639679861</v>
      </c>
      <c r="AR28" s="93">
        <f t="shared" si="2"/>
        <v>762.80382915691223</v>
      </c>
      <c r="AS28" s="93">
        <f t="shared" si="2"/>
        <v>788.89172011407868</v>
      </c>
      <c r="AT28" s="93">
        <f t="shared" si="2"/>
        <v>815.87181694198023</v>
      </c>
      <c r="AU28" s="93">
        <f t="shared" si="2"/>
        <v>843.7746330813959</v>
      </c>
      <c r="AV28" s="93">
        <f t="shared" si="2"/>
        <v>872.63172553277968</v>
      </c>
      <c r="AW28" s="93">
        <f t="shared" si="2"/>
        <v>902.4757305460007</v>
      </c>
      <c r="AX28" s="93">
        <f t="shared" si="2"/>
        <v>933.34040053067395</v>
      </c>
    </row>
    <row r="29" spans="1:51" ht="13">
      <c r="A29"/>
      <c r="E29" s="84"/>
      <c r="G29" s="85"/>
      <c r="H29" s="85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</row>
    <row r="30" spans="1:51" ht="13">
      <c r="A30"/>
      <c r="E30" s="84"/>
      <c r="G30" s="85"/>
      <c r="H30" s="85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</row>
    <row r="31" spans="1:51" ht="15" customHeight="1">
      <c r="G31" s="90"/>
      <c r="H31" s="90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</row>
    <row r="32" spans="1:51" ht="15" customHeight="1">
      <c r="A32"/>
      <c r="B32" s="16"/>
      <c r="C32" s="16"/>
      <c r="D32" s="16"/>
      <c r="E32" s="16" t="s">
        <v>130</v>
      </c>
      <c r="F32" s="16"/>
      <c r="G32" s="94"/>
      <c r="H32" s="94" t="str">
        <f>IF(I6=100%,"CRPIt","PPPIt")</f>
        <v>CRPIt</v>
      </c>
      <c r="I32" s="16"/>
      <c r="J32" s="16"/>
      <c r="K32" s="95">
        <f t="shared" ref="K32:AX32" si="3">IF($I$6=100%,(K28/$I$24),($I$6*(K28/$I$24)+$I$7*(K29/$I$25)/(K30/$I$26)))</f>
        <v>0.85022653255223435</v>
      </c>
      <c r="L32" s="95">
        <f t="shared" si="3"/>
        <v>0.87036817332938543</v>
      </c>
      <c r="M32" s="95">
        <f t="shared" si="3"/>
        <v>0.87889508454446641</v>
      </c>
      <c r="N32" s="95">
        <f t="shared" si="3"/>
        <v>0.89422086184466165</v>
      </c>
      <c r="O32" s="95">
        <f t="shared" si="3"/>
        <v>0.92626051827076294</v>
      </c>
      <c r="P32" s="95">
        <f t="shared" si="3"/>
        <v>0.95722368756672094</v>
      </c>
      <c r="Q32" s="95">
        <f t="shared" si="3"/>
        <v>0.98175626269050853</v>
      </c>
      <c r="R32" s="95">
        <f t="shared" si="3"/>
        <v>0.99651546781694433</v>
      </c>
      <c r="S32" s="95">
        <f t="shared" si="3"/>
        <v>1.0368270779799345</v>
      </c>
      <c r="T32" s="95">
        <f t="shared" si="3"/>
        <v>1.1569392456726069</v>
      </c>
      <c r="U32" s="95">
        <f t="shared" si="3"/>
        <v>1.1965065678746101</v>
      </c>
      <c r="V32" s="95">
        <f t="shared" si="3"/>
        <v>1.2374270924959216</v>
      </c>
      <c r="W32" s="95">
        <f t="shared" si="3"/>
        <v>1.2797470990592823</v>
      </c>
      <c r="X32" s="95">
        <f t="shared" si="3"/>
        <v>1.3235144498471099</v>
      </c>
      <c r="Y32" s="95">
        <f t="shared" si="3"/>
        <v>1.368778644031881</v>
      </c>
      <c r="Z32" s="95">
        <f t="shared" si="3"/>
        <v>1.4155908736577714</v>
      </c>
      <c r="AA32" s="95">
        <f t="shared" si="3"/>
        <v>1.4640040815368671</v>
      </c>
      <c r="AB32" s="95">
        <f t="shared" si="3"/>
        <v>1.5140730211254281</v>
      </c>
      <c r="AC32" s="95">
        <f t="shared" si="3"/>
        <v>1.5658543184479177</v>
      </c>
      <c r="AD32" s="95">
        <f t="shared" si="3"/>
        <v>1.6194065361388366</v>
      </c>
      <c r="AE32" s="95">
        <f t="shared" si="3"/>
        <v>1.6747902396747847</v>
      </c>
      <c r="AF32" s="95">
        <f t="shared" si="3"/>
        <v>1.7320680658716625</v>
      </c>
      <c r="AG32" s="95">
        <f t="shared" si="3"/>
        <v>1.7913047937244733</v>
      </c>
      <c r="AH32" s="95">
        <f t="shared" si="3"/>
        <v>1.8525674176698503</v>
      </c>
      <c r="AI32" s="95">
        <f t="shared" si="3"/>
        <v>1.9159252233541593</v>
      </c>
      <c r="AJ32" s="95">
        <f t="shared" si="3"/>
        <v>1.9814498659928717</v>
      </c>
      <c r="AK32" s="95">
        <f t="shared" si="3"/>
        <v>2.0492154514098275</v>
      </c>
      <c r="AL32" s="95">
        <f t="shared" si="3"/>
        <v>2.1192986198480437</v>
      </c>
      <c r="AM32" s="95">
        <f t="shared" si="3"/>
        <v>2.1917786326468471</v>
      </c>
      <c r="AN32" s="95">
        <f t="shared" si="3"/>
        <v>2.2667374618833693</v>
      </c>
      <c r="AO32" s="95">
        <f t="shared" si="3"/>
        <v>2.3442598830797805</v>
      </c>
      <c r="AP32" s="95">
        <f t="shared" si="3"/>
        <v>2.4244335710811091</v>
      </c>
      <c r="AQ32" s="95">
        <f t="shared" si="3"/>
        <v>2.5073491992120829</v>
      </c>
      <c r="AR32" s="95">
        <f t="shared" si="3"/>
        <v>2.5931005418251361</v>
      </c>
      <c r="AS32" s="95">
        <f t="shared" si="3"/>
        <v>2.681784580355556</v>
      </c>
      <c r="AT32" s="95">
        <f t="shared" si="3"/>
        <v>2.7735016130037162</v>
      </c>
      <c r="AU32" s="95">
        <f t="shared" si="3"/>
        <v>2.8683553681684431</v>
      </c>
      <c r="AV32" s="95">
        <f t="shared" si="3"/>
        <v>2.966453121759804</v>
      </c>
      <c r="AW32" s="95">
        <f t="shared" si="3"/>
        <v>3.0679058185239891</v>
      </c>
      <c r="AX32" s="95">
        <f t="shared" si="3"/>
        <v>3.1728281975175094</v>
      </c>
    </row>
    <row r="33" spans="1:50" ht="15" customHeight="1">
      <c r="A33" s="16"/>
      <c r="B33" s="16"/>
      <c r="C33" s="16"/>
      <c r="D33" s="16"/>
      <c r="E33" s="94"/>
      <c r="F33" s="94"/>
      <c r="G33" s="94"/>
      <c r="H33" s="94"/>
      <c r="I33" s="83"/>
      <c r="J33" s="16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</row>
    <row r="34" spans="1:50" ht="13">
      <c r="A34"/>
      <c r="B34" s="16"/>
      <c r="C34" s="16"/>
      <c r="D34" s="16"/>
      <c r="E34" s="16" t="str">
        <f>E20</f>
        <v>Development costs</v>
      </c>
      <c r="F34" s="16"/>
      <c r="G34" s="26" t="str">
        <f>$I$11</f>
        <v>£m 20/21 prices</v>
      </c>
      <c r="H34" s="75"/>
      <c r="I34" s="16"/>
      <c r="J34" s="16"/>
      <c r="K34" s="75">
        <f t="shared" ref="K34:AX34" si="4">IF($I$9="£",K20/K$32,K20/K$32/K$30)</f>
        <v>0</v>
      </c>
      <c r="L34" s="75">
        <f t="shared" si="4"/>
        <v>0</v>
      </c>
      <c r="M34" s="75">
        <f t="shared" si="4"/>
        <v>0</v>
      </c>
      <c r="N34" s="75">
        <f t="shared" si="4"/>
        <v>0</v>
      </c>
      <c r="O34" s="75">
        <f t="shared" si="4"/>
        <v>1.5225360321313501</v>
      </c>
      <c r="P34" s="75">
        <f t="shared" si="4"/>
        <v>6.4943827619646584</v>
      </c>
      <c r="Q34" s="75">
        <f t="shared" si="4"/>
        <v>4.1683094888677878</v>
      </c>
      <c r="R34" s="75">
        <f t="shared" si="4"/>
        <v>5.3566068565282814</v>
      </c>
      <c r="S34" s="75">
        <f t="shared" si="4"/>
        <v>6.5505887598459003</v>
      </c>
      <c r="T34" s="75">
        <f t="shared" si="4"/>
        <v>6.9589865362737378</v>
      </c>
      <c r="U34" s="75">
        <f t="shared" si="4"/>
        <v>0</v>
      </c>
      <c r="V34" s="75">
        <f t="shared" si="4"/>
        <v>0</v>
      </c>
      <c r="W34" s="75">
        <f t="shared" si="4"/>
        <v>0</v>
      </c>
      <c r="X34" s="75">
        <f t="shared" si="4"/>
        <v>0</v>
      </c>
      <c r="Y34" s="75">
        <f t="shared" si="4"/>
        <v>0</v>
      </c>
      <c r="Z34" s="75">
        <f t="shared" si="4"/>
        <v>0</v>
      </c>
      <c r="AA34" s="75">
        <f t="shared" si="4"/>
        <v>0</v>
      </c>
      <c r="AB34" s="75">
        <f t="shared" si="4"/>
        <v>0</v>
      </c>
      <c r="AC34" s="75">
        <f t="shared" si="4"/>
        <v>0</v>
      </c>
      <c r="AD34" s="75">
        <f t="shared" si="4"/>
        <v>0</v>
      </c>
      <c r="AE34" s="75">
        <f t="shared" si="4"/>
        <v>0</v>
      </c>
      <c r="AF34" s="75">
        <f t="shared" si="4"/>
        <v>0</v>
      </c>
      <c r="AG34" s="75">
        <f t="shared" si="4"/>
        <v>0</v>
      </c>
      <c r="AH34" s="75">
        <f t="shared" si="4"/>
        <v>0</v>
      </c>
      <c r="AI34" s="75">
        <f t="shared" si="4"/>
        <v>0</v>
      </c>
      <c r="AJ34" s="75">
        <f t="shared" si="4"/>
        <v>0</v>
      </c>
      <c r="AK34" s="75">
        <f t="shared" si="4"/>
        <v>0</v>
      </c>
      <c r="AL34" s="75">
        <f t="shared" si="4"/>
        <v>0</v>
      </c>
      <c r="AM34" s="75">
        <f t="shared" si="4"/>
        <v>0</v>
      </c>
      <c r="AN34" s="75">
        <f t="shared" si="4"/>
        <v>0</v>
      </c>
      <c r="AO34" s="75">
        <f t="shared" si="4"/>
        <v>0</v>
      </c>
      <c r="AP34" s="75">
        <f t="shared" si="4"/>
        <v>0</v>
      </c>
      <c r="AQ34" s="75">
        <f t="shared" si="4"/>
        <v>0</v>
      </c>
      <c r="AR34" s="75">
        <f t="shared" si="4"/>
        <v>0</v>
      </c>
      <c r="AS34" s="75">
        <f t="shared" si="4"/>
        <v>0</v>
      </c>
      <c r="AT34" s="75">
        <f t="shared" si="4"/>
        <v>0</v>
      </c>
      <c r="AU34" s="75">
        <f t="shared" si="4"/>
        <v>0</v>
      </c>
      <c r="AV34" s="75">
        <f t="shared" si="4"/>
        <v>0</v>
      </c>
      <c r="AW34" s="75">
        <f t="shared" si="4"/>
        <v>0</v>
      </c>
      <c r="AX34" s="75">
        <f t="shared" si="4"/>
        <v>0</v>
      </c>
    </row>
    <row r="35" spans="1:50" ht="13">
      <c r="A35"/>
      <c r="B35" s="16"/>
      <c r="C35" s="16"/>
      <c r="D35" s="16"/>
      <c r="E35" s="16" t="str">
        <f>E21</f>
        <v>Capex</v>
      </c>
      <c r="F35" s="16"/>
      <c r="G35" s="26" t="str">
        <f>$I$11</f>
        <v>£m 20/21 prices</v>
      </c>
      <c r="H35" s="75"/>
      <c r="I35" s="16"/>
      <c r="J35" s="16"/>
      <c r="K35" s="75">
        <f t="shared" ref="K35:AX35" si="5">IF($I$9="£",K21/K$32,K21/K$32/K$30)</f>
        <v>0</v>
      </c>
      <c r="L35" s="75">
        <f t="shared" si="5"/>
        <v>0</v>
      </c>
      <c r="M35" s="75">
        <f t="shared" si="5"/>
        <v>0</v>
      </c>
      <c r="N35" s="75">
        <f t="shared" si="5"/>
        <v>0</v>
      </c>
      <c r="O35" s="75">
        <f t="shared" si="5"/>
        <v>0</v>
      </c>
      <c r="P35" s="75">
        <f t="shared" si="5"/>
        <v>0</v>
      </c>
      <c r="Q35" s="75">
        <f t="shared" si="5"/>
        <v>0</v>
      </c>
      <c r="R35" s="75">
        <f t="shared" si="5"/>
        <v>0</v>
      </c>
      <c r="S35" s="75">
        <f t="shared" si="5"/>
        <v>0</v>
      </c>
      <c r="T35" s="75">
        <f t="shared" si="5"/>
        <v>144.34688638365125</v>
      </c>
      <c r="U35" s="75">
        <f t="shared" si="5"/>
        <v>78.31159344295267</v>
      </c>
      <c r="V35" s="75">
        <f t="shared" si="5"/>
        <v>97.207776511701084</v>
      </c>
      <c r="W35" s="75">
        <f t="shared" si="5"/>
        <v>170.95894984879433</v>
      </c>
      <c r="X35" s="75">
        <f t="shared" si="5"/>
        <v>124.23475936173823</v>
      </c>
      <c r="Y35" s="75">
        <f t="shared" si="5"/>
        <v>48.17252629490212</v>
      </c>
      <c r="Z35" s="75">
        <f t="shared" si="5"/>
        <v>20.492718625532937</v>
      </c>
      <c r="AA35" s="75">
        <f t="shared" si="5"/>
        <v>0</v>
      </c>
      <c r="AB35" s="75">
        <f t="shared" si="5"/>
        <v>0</v>
      </c>
      <c r="AC35" s="75">
        <f t="shared" si="5"/>
        <v>0</v>
      </c>
      <c r="AD35" s="75">
        <f t="shared" si="5"/>
        <v>0</v>
      </c>
      <c r="AE35" s="75">
        <f t="shared" si="5"/>
        <v>0</v>
      </c>
      <c r="AF35" s="75">
        <f t="shared" si="5"/>
        <v>0</v>
      </c>
      <c r="AG35" s="75">
        <f t="shared" si="5"/>
        <v>0</v>
      </c>
      <c r="AH35" s="75">
        <f t="shared" si="5"/>
        <v>0</v>
      </c>
      <c r="AI35" s="75">
        <f t="shared" si="5"/>
        <v>0</v>
      </c>
      <c r="AJ35" s="75">
        <f t="shared" si="5"/>
        <v>0</v>
      </c>
      <c r="AK35" s="75">
        <f t="shared" si="5"/>
        <v>0</v>
      </c>
      <c r="AL35" s="75">
        <f t="shared" si="5"/>
        <v>0</v>
      </c>
      <c r="AM35" s="75">
        <f t="shared" si="5"/>
        <v>0</v>
      </c>
      <c r="AN35" s="75">
        <f t="shared" si="5"/>
        <v>0</v>
      </c>
      <c r="AO35" s="75">
        <f t="shared" si="5"/>
        <v>0</v>
      </c>
      <c r="AP35" s="75">
        <f t="shared" si="5"/>
        <v>0</v>
      </c>
      <c r="AQ35" s="75">
        <f t="shared" si="5"/>
        <v>0</v>
      </c>
      <c r="AR35" s="75">
        <f t="shared" si="5"/>
        <v>0</v>
      </c>
      <c r="AS35" s="75">
        <f t="shared" si="5"/>
        <v>0</v>
      </c>
      <c r="AT35" s="75">
        <f t="shared" si="5"/>
        <v>0</v>
      </c>
      <c r="AU35" s="75">
        <f t="shared" si="5"/>
        <v>0</v>
      </c>
      <c r="AV35" s="75">
        <f t="shared" si="5"/>
        <v>0</v>
      </c>
      <c r="AW35" s="75">
        <f t="shared" si="5"/>
        <v>0</v>
      </c>
      <c r="AX35" s="75">
        <f t="shared" si="5"/>
        <v>0</v>
      </c>
    </row>
    <row r="36" spans="1:50" ht="13">
      <c r="A36"/>
      <c r="B36" s="16"/>
      <c r="C36" s="16"/>
      <c r="D36" s="16"/>
      <c r="E36" s="16" t="str">
        <f>E22</f>
        <v>Spares</v>
      </c>
      <c r="F36" s="16"/>
      <c r="G36" s="26" t="str">
        <f>$I$11</f>
        <v>£m 20/21 prices</v>
      </c>
      <c r="H36" s="75"/>
      <c r="I36" s="16"/>
      <c r="J36" s="16"/>
      <c r="K36" s="75">
        <f t="shared" ref="K36:AX36" si="6">IF($I$9="£",K22/K$32,K22/K$32/K$30)</f>
        <v>0</v>
      </c>
      <c r="L36" s="75">
        <f t="shared" si="6"/>
        <v>0</v>
      </c>
      <c r="M36" s="75">
        <f t="shared" si="6"/>
        <v>0</v>
      </c>
      <c r="N36" s="75">
        <f t="shared" si="6"/>
        <v>0</v>
      </c>
      <c r="O36" s="75">
        <f t="shared" si="6"/>
        <v>0</v>
      </c>
      <c r="P36" s="75">
        <f t="shared" si="6"/>
        <v>0</v>
      </c>
      <c r="Q36" s="75">
        <f t="shared" si="6"/>
        <v>0</v>
      </c>
      <c r="R36" s="75">
        <f t="shared" si="6"/>
        <v>0</v>
      </c>
      <c r="S36" s="75">
        <f t="shared" si="6"/>
        <v>0</v>
      </c>
      <c r="T36" s="75">
        <f t="shared" si="6"/>
        <v>9.3493492364949979</v>
      </c>
      <c r="U36" s="75">
        <f t="shared" si="6"/>
        <v>15.800159412199609</v>
      </c>
      <c r="V36" s="75">
        <f t="shared" si="6"/>
        <v>20.840010984667764</v>
      </c>
      <c r="W36" s="75">
        <f t="shared" si="6"/>
        <v>8.4564306247405447</v>
      </c>
      <c r="X36" s="75">
        <f t="shared" si="6"/>
        <v>13.250017785620548</v>
      </c>
      <c r="Y36" s="75">
        <f t="shared" si="6"/>
        <v>8.2258041860463234</v>
      </c>
      <c r="Z36" s="75">
        <f t="shared" si="6"/>
        <v>2.0282151106573325</v>
      </c>
      <c r="AA36" s="75">
        <f t="shared" si="6"/>
        <v>0</v>
      </c>
      <c r="AB36" s="75">
        <f t="shared" si="6"/>
        <v>0</v>
      </c>
      <c r="AC36" s="75">
        <f t="shared" si="6"/>
        <v>0</v>
      </c>
      <c r="AD36" s="75">
        <f t="shared" si="6"/>
        <v>0</v>
      </c>
      <c r="AE36" s="75">
        <f t="shared" si="6"/>
        <v>0</v>
      </c>
      <c r="AF36" s="75">
        <f t="shared" si="6"/>
        <v>0</v>
      </c>
      <c r="AG36" s="75">
        <f t="shared" si="6"/>
        <v>0</v>
      </c>
      <c r="AH36" s="75">
        <f t="shared" si="6"/>
        <v>0</v>
      </c>
      <c r="AI36" s="75">
        <f t="shared" si="6"/>
        <v>0</v>
      </c>
      <c r="AJ36" s="75">
        <f t="shared" si="6"/>
        <v>0</v>
      </c>
      <c r="AK36" s="75">
        <f t="shared" si="6"/>
        <v>0</v>
      </c>
      <c r="AL36" s="75">
        <f t="shared" si="6"/>
        <v>0</v>
      </c>
      <c r="AM36" s="75">
        <f t="shared" si="6"/>
        <v>0</v>
      </c>
      <c r="AN36" s="75">
        <f t="shared" si="6"/>
        <v>0</v>
      </c>
      <c r="AO36" s="75">
        <f t="shared" si="6"/>
        <v>0</v>
      </c>
      <c r="AP36" s="75">
        <f t="shared" si="6"/>
        <v>0</v>
      </c>
      <c r="AQ36" s="75">
        <f t="shared" si="6"/>
        <v>0</v>
      </c>
      <c r="AR36" s="75">
        <f t="shared" si="6"/>
        <v>0</v>
      </c>
      <c r="AS36" s="75">
        <f t="shared" si="6"/>
        <v>0</v>
      </c>
      <c r="AT36" s="75">
        <f t="shared" si="6"/>
        <v>0</v>
      </c>
      <c r="AU36" s="75">
        <f t="shared" si="6"/>
        <v>0</v>
      </c>
      <c r="AV36" s="75">
        <f t="shared" si="6"/>
        <v>0</v>
      </c>
      <c r="AW36" s="75">
        <f t="shared" si="6"/>
        <v>0</v>
      </c>
      <c r="AX36" s="75">
        <f t="shared" si="6"/>
        <v>0</v>
      </c>
    </row>
    <row r="37" spans="1:50" ht="15" customHeight="1">
      <c r="N37" s="96"/>
    </row>
    <row r="38" spans="1:50" ht="15" customHeight="1">
      <c r="C38" s="67" t="s">
        <v>131</v>
      </c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</row>
    <row r="39" spans="1:50" ht="15" customHeight="1"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</row>
    <row r="40" spans="1:50" ht="15" customHeight="1">
      <c r="A40" s="53"/>
      <c r="B40" s="53"/>
      <c r="C40" s="53"/>
      <c r="D40" s="53"/>
      <c r="E40" s="57" t="s">
        <v>132</v>
      </c>
      <c r="F40" s="55"/>
      <c r="G40" s="55"/>
      <c r="H40" s="55"/>
      <c r="I40" s="55"/>
      <c r="J40" s="57"/>
      <c r="K40" s="97" t="s">
        <v>133</v>
      </c>
      <c r="L40" s="97" t="s">
        <v>134</v>
      </c>
      <c r="M40" s="97" t="s">
        <v>135</v>
      </c>
      <c r="N40" s="97" t="s">
        <v>136</v>
      </c>
      <c r="O40" s="97" t="s">
        <v>137</v>
      </c>
      <c r="P40" s="97" t="s">
        <v>138</v>
      </c>
      <c r="Q40" s="97" t="s">
        <v>139</v>
      </c>
      <c r="R40" s="97" t="s">
        <v>140</v>
      </c>
      <c r="S40" s="97" t="s">
        <v>141</v>
      </c>
      <c r="T40" s="97" t="s">
        <v>142</v>
      </c>
      <c r="U40" s="97" t="s">
        <v>143</v>
      </c>
      <c r="V40" s="97" t="s">
        <v>144</v>
      </c>
      <c r="W40" s="97" t="s">
        <v>145</v>
      </c>
      <c r="X40" s="97" t="s">
        <v>146</v>
      </c>
      <c r="Y40" s="97" t="s">
        <v>147</v>
      </c>
      <c r="Z40" s="97" t="s">
        <v>148</v>
      </c>
      <c r="AA40" s="97" t="s">
        <v>149</v>
      </c>
      <c r="AB40" s="97" t="s">
        <v>150</v>
      </c>
      <c r="AC40" s="97" t="s">
        <v>151</v>
      </c>
      <c r="AD40" s="97" t="s">
        <v>152</v>
      </c>
      <c r="AE40" s="97" t="s">
        <v>153</v>
      </c>
      <c r="AF40" s="97" t="s">
        <v>154</v>
      </c>
      <c r="AG40" s="97" t="s">
        <v>155</v>
      </c>
      <c r="AH40" s="97" t="s">
        <v>156</v>
      </c>
      <c r="AI40" s="97" t="s">
        <v>157</v>
      </c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</row>
    <row r="41" spans="1:50" ht="15" customHeight="1"/>
    <row r="42" spans="1:50" ht="15" customHeight="1">
      <c r="B42" s="16"/>
      <c r="C42" s="16"/>
      <c r="E42" s="16" t="s">
        <v>158</v>
      </c>
      <c r="F42" s="16"/>
      <c r="G42" s="99" t="s">
        <v>159</v>
      </c>
      <c r="H42" s="75"/>
      <c r="I42" s="75"/>
      <c r="J42" s="16"/>
      <c r="K42" s="76">
        <v>0</v>
      </c>
      <c r="L42" s="76">
        <v>0</v>
      </c>
      <c r="M42" s="76">
        <v>0</v>
      </c>
      <c r="N42" s="76">
        <v>0</v>
      </c>
      <c r="O42" s="76">
        <v>0</v>
      </c>
      <c r="P42" s="76">
        <v>0</v>
      </c>
      <c r="Q42" s="76">
        <v>0</v>
      </c>
      <c r="R42" s="76">
        <v>0.70636143174061439</v>
      </c>
      <c r="S42" s="76">
        <v>0.3786279389931741</v>
      </c>
      <c r="T42" s="76">
        <v>0.19516183788395905</v>
      </c>
      <c r="U42" s="76">
        <v>0.38240210092208138</v>
      </c>
      <c r="V42" s="76">
        <v>0.75803865981368157</v>
      </c>
      <c r="W42" s="76">
        <v>1.3952120623575672</v>
      </c>
      <c r="X42" s="76">
        <v>0.29116085134308672</v>
      </c>
      <c r="Y42" s="76">
        <v>0.2902041345224502</v>
      </c>
      <c r="Z42" s="76">
        <v>1.6171075568311293</v>
      </c>
      <c r="AA42" s="76">
        <v>0.2902041345224502</v>
      </c>
      <c r="AB42" s="76">
        <v>0.29116085134308672</v>
      </c>
      <c r="AC42" s="76">
        <v>0.2902041345224502</v>
      </c>
      <c r="AD42" s="76">
        <v>0.33708325873363693</v>
      </c>
      <c r="AE42" s="76">
        <v>0.85562377551860125</v>
      </c>
      <c r="AF42" s="76">
        <v>1.0403548868105208</v>
      </c>
      <c r="AG42" s="76">
        <v>0.2902041345224502</v>
      </c>
      <c r="AH42" s="76">
        <v>0.32464594006536301</v>
      </c>
      <c r="AI42" s="76">
        <v>1.0106119004617085</v>
      </c>
      <c r="AJ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</row>
    <row r="43" spans="1:50" ht="15" customHeight="1">
      <c r="B43" s="16"/>
      <c r="C43" s="16"/>
      <c r="E43" s="16" t="s">
        <v>160</v>
      </c>
      <c r="F43" s="16"/>
      <c r="G43" s="99" t="s">
        <v>159</v>
      </c>
      <c r="H43" s="75"/>
      <c r="I43" s="75"/>
      <c r="J43" s="16"/>
      <c r="K43" s="76">
        <v>0</v>
      </c>
      <c r="L43" s="76">
        <v>0</v>
      </c>
      <c r="M43" s="76">
        <v>0</v>
      </c>
      <c r="N43" s="76">
        <v>0</v>
      </c>
      <c r="O43" s="76">
        <v>0</v>
      </c>
      <c r="P43" s="76">
        <v>0</v>
      </c>
      <c r="Q43" s="76">
        <v>0</v>
      </c>
      <c r="R43" s="76">
        <v>0</v>
      </c>
      <c r="S43" s="76">
        <v>0</v>
      </c>
      <c r="T43" s="76">
        <v>0</v>
      </c>
      <c r="U43" s="76">
        <v>0</v>
      </c>
      <c r="V43" s="76">
        <v>0</v>
      </c>
      <c r="W43" s="76">
        <v>0</v>
      </c>
      <c r="X43" s="76">
        <v>0</v>
      </c>
      <c r="Y43" s="76">
        <v>0</v>
      </c>
      <c r="Z43" s="76">
        <v>0</v>
      </c>
      <c r="AA43" s="76">
        <v>0</v>
      </c>
      <c r="AB43" s="76">
        <v>0</v>
      </c>
      <c r="AC43" s="76">
        <v>0</v>
      </c>
      <c r="AD43" s="76">
        <v>0</v>
      </c>
      <c r="AE43" s="76">
        <v>0</v>
      </c>
      <c r="AF43" s="76">
        <v>0</v>
      </c>
      <c r="AG43" s="76">
        <v>0</v>
      </c>
      <c r="AH43" s="76">
        <v>0</v>
      </c>
      <c r="AI43" s="76">
        <v>69.337011026225994</v>
      </c>
      <c r="AJ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</row>
    <row r="44" spans="1:50" ht="15" customHeight="1">
      <c r="B44" s="16"/>
      <c r="C44" s="16"/>
      <c r="E44" s="16" t="s">
        <v>161</v>
      </c>
      <c r="F44" s="16"/>
      <c r="G44" s="99" t="s">
        <v>159</v>
      </c>
      <c r="H44" s="75"/>
      <c r="I44" s="75"/>
      <c r="J44" s="16"/>
      <c r="K44" s="76">
        <v>21.481137686078458</v>
      </c>
      <c r="L44" s="76">
        <v>20.165117136995967</v>
      </c>
      <c r="M44" s="76">
        <v>20.200842935153961</v>
      </c>
      <c r="N44" s="76">
        <v>20.225225294631159</v>
      </c>
      <c r="O44" s="76">
        <v>21.805619046736787</v>
      </c>
      <c r="P44" s="76">
        <v>20.280863122556788</v>
      </c>
      <c r="Q44" s="76">
        <v>20.322959996718581</v>
      </c>
      <c r="R44" s="76">
        <v>20.350406518247823</v>
      </c>
      <c r="S44" s="76">
        <v>19.10356728891589</v>
      </c>
      <c r="T44" s="76">
        <v>19.150188293608782</v>
      </c>
      <c r="U44" s="76">
        <v>18.977535072385347</v>
      </c>
      <c r="V44" s="76">
        <v>20.391785423552154</v>
      </c>
      <c r="W44" s="76">
        <v>18.918701529662787</v>
      </c>
      <c r="X44" s="76">
        <v>18.918701529662787</v>
      </c>
      <c r="Y44" s="76">
        <v>18.918701529662787</v>
      </c>
      <c r="Z44" s="76">
        <v>20.391785423552154</v>
      </c>
      <c r="AA44" s="76">
        <v>18.918701529662787</v>
      </c>
      <c r="AB44" s="76">
        <v>18.918701529662783</v>
      </c>
      <c r="AC44" s="76">
        <v>18.918701529662783</v>
      </c>
      <c r="AD44" s="76">
        <v>20.391785423552154</v>
      </c>
      <c r="AE44" s="76">
        <v>18.918701529662787</v>
      </c>
      <c r="AF44" s="76">
        <v>18.918701529662783</v>
      </c>
      <c r="AG44" s="76">
        <v>18.918701529662787</v>
      </c>
      <c r="AH44" s="76">
        <v>20.391785423552154</v>
      </c>
      <c r="AI44" s="76">
        <v>18.918701529662787</v>
      </c>
      <c r="AJ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</row>
    <row r="45" spans="1:50" ht="15" customHeight="1">
      <c r="B45" s="16"/>
      <c r="C45" s="16"/>
      <c r="E45" s="16" t="s">
        <v>162</v>
      </c>
      <c r="F45" s="16"/>
      <c r="G45" s="99" t="s">
        <v>159</v>
      </c>
      <c r="H45" s="75"/>
      <c r="I45" s="75"/>
      <c r="J45" s="16"/>
      <c r="K45" s="76">
        <v>0</v>
      </c>
      <c r="L45" s="76">
        <v>0</v>
      </c>
      <c r="M45" s="76">
        <v>0</v>
      </c>
      <c r="N45" s="76">
        <v>0</v>
      </c>
      <c r="O45" s="76">
        <v>0</v>
      </c>
      <c r="P45" s="76">
        <v>0</v>
      </c>
      <c r="Q45" s="76">
        <v>0</v>
      </c>
      <c r="R45" s="76">
        <v>0</v>
      </c>
      <c r="S45" s="76">
        <v>0</v>
      </c>
      <c r="T45" s="76">
        <v>0</v>
      </c>
      <c r="U45" s="76">
        <v>0</v>
      </c>
      <c r="V45" s="76">
        <v>0</v>
      </c>
      <c r="W45" s="76">
        <v>0</v>
      </c>
      <c r="X45" s="76">
        <v>0</v>
      </c>
      <c r="Y45" s="76">
        <v>0</v>
      </c>
      <c r="Z45" s="76">
        <v>0</v>
      </c>
      <c r="AA45" s="76">
        <v>0</v>
      </c>
      <c r="AB45" s="76">
        <v>0</v>
      </c>
      <c r="AC45" s="76">
        <v>0</v>
      </c>
      <c r="AD45" s="76">
        <v>0</v>
      </c>
      <c r="AE45" s="76">
        <v>0</v>
      </c>
      <c r="AF45" s="76">
        <v>0</v>
      </c>
      <c r="AG45" s="76">
        <v>0</v>
      </c>
      <c r="AH45" s="76">
        <v>0</v>
      </c>
      <c r="AI45" s="76">
        <v>0</v>
      </c>
      <c r="AJ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</row>
    <row r="46" spans="1:50" ht="15" customHeight="1">
      <c r="I46" s="100"/>
    </row>
    <row r="47" spans="1:50" ht="26">
      <c r="A47" s="90"/>
      <c r="B47" s="16"/>
      <c r="C47" s="16"/>
      <c r="E47" s="16" t="str">
        <f>E24</f>
        <v>Base year UK RPI inflation index value (CHAW)</v>
      </c>
      <c r="F47" s="16"/>
      <c r="G47" s="94" t="str">
        <f>G24</f>
        <v>Jan 1987 = 100</v>
      </c>
      <c r="H47" s="94" t="str">
        <f>H24</f>
        <v>UK RPI index 2020/21</v>
      </c>
      <c r="I47" s="83">
        <f>I24</f>
        <v>294.16669999999999</v>
      </c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</row>
    <row r="48" spans="1:50" ht="13">
      <c r="A48" s="90"/>
      <c r="B48" s="16"/>
      <c r="C48" s="16"/>
      <c r="E48" s="16" t="str">
        <f>IF(E25="","",E25)</f>
        <v/>
      </c>
      <c r="F48" s="16"/>
      <c r="G48" s="94" t="str">
        <f t="shared" ref="G48:I49" si="7">IF(G25="","",G25)</f>
        <v/>
      </c>
      <c r="H48" s="94" t="str">
        <f t="shared" si="7"/>
        <v/>
      </c>
      <c r="I48" s="95" t="str">
        <f t="shared" si="7"/>
        <v/>
      </c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</row>
    <row r="49" spans="1:50" ht="13">
      <c r="A49" s="90"/>
      <c r="B49" s="16"/>
      <c r="C49" s="16"/>
      <c r="E49" s="16" t="str">
        <f>IF(E26="","",E26)</f>
        <v/>
      </c>
      <c r="F49" s="16"/>
      <c r="G49" s="94" t="str">
        <f t="shared" si="7"/>
        <v/>
      </c>
      <c r="H49" s="94" t="str">
        <f t="shared" si="7"/>
        <v/>
      </c>
      <c r="I49" s="95" t="str">
        <f t="shared" si="7"/>
        <v/>
      </c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</row>
    <row r="50" spans="1:50" ht="13">
      <c r="G50" s="90"/>
      <c r="H50" s="90"/>
      <c r="I50" s="101"/>
    </row>
    <row r="51" spans="1:50" ht="15" customHeight="1">
      <c r="E51" s="79" t="s">
        <v>163</v>
      </c>
      <c r="G51" s="102" t="str">
        <f>G24</f>
        <v>Jan 1987 = 100</v>
      </c>
      <c r="I51" s="81">
        <v>294.16669999999999</v>
      </c>
      <c r="J51" s="16"/>
      <c r="K51" s="103"/>
    </row>
    <row r="52" spans="1:50" ht="15" customHeight="1">
      <c r="E52" s="84" t="s">
        <v>164</v>
      </c>
      <c r="G52" s="102" t="str">
        <f>IF(G25="","",G25)</f>
        <v/>
      </c>
      <c r="I52" s="86"/>
      <c r="J52" s="16"/>
      <c r="K52" s="103"/>
    </row>
    <row r="53" spans="1:50" ht="15" customHeight="1">
      <c r="E53" s="84" t="s">
        <v>165</v>
      </c>
      <c r="G53" s="102" t="str">
        <f>IF(G26="","",G26)</f>
        <v/>
      </c>
      <c r="I53" s="86"/>
      <c r="J53" s="16"/>
      <c r="K53" s="103"/>
    </row>
    <row r="54" spans="1:50" ht="15" customHeight="1"/>
    <row r="55" spans="1:50" ht="13">
      <c r="A55" s="90"/>
      <c r="E55" s="79" t="str">
        <f>IF(E30="","",E30)</f>
        <v/>
      </c>
      <c r="G55" s="80" t="str">
        <f>IF(G30="","",G30)</f>
        <v/>
      </c>
      <c r="H55" s="80" t="str">
        <f>IF(H30="","",H30)</f>
        <v/>
      </c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</row>
    <row r="56" spans="1:50" ht="15" customHeight="1"/>
    <row r="57" spans="1:50" ht="15" customHeight="1">
      <c r="A57" s="16"/>
      <c r="B57" s="16"/>
      <c r="C57" s="16"/>
      <c r="D57" s="16"/>
      <c r="E57" s="16" t="s">
        <v>166</v>
      </c>
      <c r="F57" s="16"/>
      <c r="G57" s="16"/>
      <c r="H57" s="16"/>
      <c r="I57" s="83">
        <f>I51/$I$47</f>
        <v>1</v>
      </c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</row>
    <row r="58" spans="1:50" ht="15" customHeight="1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</row>
    <row r="59" spans="1:50" ht="13">
      <c r="A59" s="94"/>
      <c r="B59" s="16"/>
      <c r="C59" s="16"/>
      <c r="D59" s="16"/>
      <c r="E59" s="16" t="str">
        <f>E42</f>
        <v>Replacement Capex</v>
      </c>
      <c r="F59" s="16"/>
      <c r="G59" s="26" t="str">
        <f>$I$11</f>
        <v>£m 20/21 prices</v>
      </c>
      <c r="H59" s="75"/>
      <c r="I59" s="75"/>
      <c r="J59" s="16"/>
      <c r="K59" s="105">
        <f t="shared" ref="K59:AI59" si="8">IF($I$9="£",K42/$I$57,K42/K$55/$I$57)</f>
        <v>0</v>
      </c>
      <c r="L59" s="105">
        <f t="shared" si="8"/>
        <v>0</v>
      </c>
      <c r="M59" s="105">
        <f t="shared" si="8"/>
        <v>0</v>
      </c>
      <c r="N59" s="105">
        <f t="shared" si="8"/>
        <v>0</v>
      </c>
      <c r="O59" s="105">
        <f t="shared" si="8"/>
        <v>0</v>
      </c>
      <c r="P59" s="105">
        <f t="shared" si="8"/>
        <v>0</v>
      </c>
      <c r="Q59" s="105">
        <f t="shared" si="8"/>
        <v>0</v>
      </c>
      <c r="R59" s="105">
        <f t="shared" si="8"/>
        <v>0.70636143174061439</v>
      </c>
      <c r="S59" s="105">
        <f t="shared" si="8"/>
        <v>0.3786279389931741</v>
      </c>
      <c r="T59" s="105">
        <f t="shared" si="8"/>
        <v>0.19516183788395905</v>
      </c>
      <c r="U59" s="105">
        <f t="shared" si="8"/>
        <v>0.38240210092208138</v>
      </c>
      <c r="V59" s="105">
        <f t="shared" si="8"/>
        <v>0.75803865981368157</v>
      </c>
      <c r="W59" s="105">
        <f t="shared" si="8"/>
        <v>1.3952120623575672</v>
      </c>
      <c r="X59" s="105">
        <f t="shared" si="8"/>
        <v>0.29116085134308672</v>
      </c>
      <c r="Y59" s="105">
        <f t="shared" si="8"/>
        <v>0.2902041345224502</v>
      </c>
      <c r="Z59" s="105">
        <f t="shared" si="8"/>
        <v>1.6171075568311293</v>
      </c>
      <c r="AA59" s="105">
        <f t="shared" si="8"/>
        <v>0.2902041345224502</v>
      </c>
      <c r="AB59" s="105">
        <f t="shared" si="8"/>
        <v>0.29116085134308672</v>
      </c>
      <c r="AC59" s="105">
        <f t="shared" si="8"/>
        <v>0.2902041345224502</v>
      </c>
      <c r="AD59" s="105">
        <f t="shared" si="8"/>
        <v>0.33708325873363693</v>
      </c>
      <c r="AE59" s="105">
        <f t="shared" si="8"/>
        <v>0.85562377551860125</v>
      </c>
      <c r="AF59" s="105">
        <f t="shared" si="8"/>
        <v>1.0403548868105208</v>
      </c>
      <c r="AG59" s="105">
        <f t="shared" si="8"/>
        <v>0.2902041345224502</v>
      </c>
      <c r="AH59" s="105">
        <f t="shared" si="8"/>
        <v>0.32464594006536301</v>
      </c>
      <c r="AI59" s="105">
        <f t="shared" si="8"/>
        <v>1.0106119004617085</v>
      </c>
      <c r="AJ59" s="75"/>
      <c r="AK59" s="75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</row>
    <row r="60" spans="1:50" ht="13">
      <c r="A60" s="94"/>
      <c r="B60" s="16"/>
      <c r="C60" s="16"/>
      <c r="D60" s="16"/>
      <c r="E60" s="16" t="str">
        <f>E43</f>
        <v>Decommissioning baseline</v>
      </c>
      <c r="F60" s="16"/>
      <c r="G60" s="26" t="str">
        <f>$I$11</f>
        <v>£m 20/21 prices</v>
      </c>
      <c r="H60" s="75"/>
      <c r="I60" s="75"/>
      <c r="J60" s="16"/>
      <c r="K60" s="105">
        <f t="shared" ref="K60:AI60" si="9">IF($I$9="£",K43/$I$57,K43/K$55/$I$57)</f>
        <v>0</v>
      </c>
      <c r="L60" s="105">
        <f t="shared" si="9"/>
        <v>0</v>
      </c>
      <c r="M60" s="105">
        <f t="shared" si="9"/>
        <v>0</v>
      </c>
      <c r="N60" s="105">
        <f t="shared" si="9"/>
        <v>0</v>
      </c>
      <c r="O60" s="105">
        <f t="shared" si="9"/>
        <v>0</v>
      </c>
      <c r="P60" s="105">
        <f t="shared" si="9"/>
        <v>0</v>
      </c>
      <c r="Q60" s="105">
        <f t="shared" si="9"/>
        <v>0</v>
      </c>
      <c r="R60" s="105">
        <f t="shared" si="9"/>
        <v>0</v>
      </c>
      <c r="S60" s="105">
        <f t="shared" si="9"/>
        <v>0</v>
      </c>
      <c r="T60" s="105">
        <f t="shared" si="9"/>
        <v>0</v>
      </c>
      <c r="U60" s="105">
        <f t="shared" si="9"/>
        <v>0</v>
      </c>
      <c r="V60" s="105">
        <f t="shared" si="9"/>
        <v>0</v>
      </c>
      <c r="W60" s="105">
        <f t="shared" si="9"/>
        <v>0</v>
      </c>
      <c r="X60" s="105">
        <f t="shared" si="9"/>
        <v>0</v>
      </c>
      <c r="Y60" s="105">
        <f t="shared" si="9"/>
        <v>0</v>
      </c>
      <c r="Z60" s="105">
        <f t="shared" si="9"/>
        <v>0</v>
      </c>
      <c r="AA60" s="105">
        <f t="shared" si="9"/>
        <v>0</v>
      </c>
      <c r="AB60" s="105">
        <f t="shared" si="9"/>
        <v>0</v>
      </c>
      <c r="AC60" s="105">
        <f t="shared" si="9"/>
        <v>0</v>
      </c>
      <c r="AD60" s="105">
        <f t="shared" si="9"/>
        <v>0</v>
      </c>
      <c r="AE60" s="105">
        <f t="shared" si="9"/>
        <v>0</v>
      </c>
      <c r="AF60" s="105">
        <f t="shared" si="9"/>
        <v>0</v>
      </c>
      <c r="AG60" s="105">
        <f t="shared" si="9"/>
        <v>0</v>
      </c>
      <c r="AH60" s="105">
        <f t="shared" si="9"/>
        <v>0</v>
      </c>
      <c r="AI60" s="105">
        <f t="shared" si="9"/>
        <v>69.337011026225994</v>
      </c>
      <c r="AJ60" s="75"/>
      <c r="AK60" s="75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</row>
    <row r="61" spans="1:50" ht="13">
      <c r="A61" s="94"/>
      <c r="B61" s="16"/>
      <c r="C61" s="16"/>
      <c r="D61" s="16"/>
      <c r="E61" s="16" t="str">
        <f>E44</f>
        <v>Controllable Opex</v>
      </c>
      <c r="F61" s="16"/>
      <c r="G61" s="26" t="str">
        <f>$I$11</f>
        <v>£m 20/21 prices</v>
      </c>
      <c r="H61" s="75"/>
      <c r="I61" s="75"/>
      <c r="J61" s="16"/>
      <c r="K61" s="105">
        <f t="shared" ref="K61:AI61" si="10">IF($I$9="£",K44/$I$57,K44/K$55/$I$57)</f>
        <v>21.481137686078458</v>
      </c>
      <c r="L61" s="105">
        <f t="shared" si="10"/>
        <v>20.165117136995967</v>
      </c>
      <c r="M61" s="105">
        <f t="shared" si="10"/>
        <v>20.200842935153961</v>
      </c>
      <c r="N61" s="105">
        <f t="shared" si="10"/>
        <v>20.225225294631159</v>
      </c>
      <c r="O61" s="105">
        <f t="shared" si="10"/>
        <v>21.805619046736787</v>
      </c>
      <c r="P61" s="105">
        <f t="shared" si="10"/>
        <v>20.280863122556788</v>
      </c>
      <c r="Q61" s="105">
        <f t="shared" si="10"/>
        <v>20.322959996718581</v>
      </c>
      <c r="R61" s="105">
        <f t="shared" si="10"/>
        <v>20.350406518247823</v>
      </c>
      <c r="S61" s="105">
        <f t="shared" si="10"/>
        <v>19.10356728891589</v>
      </c>
      <c r="T61" s="105">
        <f t="shared" si="10"/>
        <v>19.150188293608782</v>
      </c>
      <c r="U61" s="105">
        <f t="shared" si="10"/>
        <v>18.977535072385347</v>
      </c>
      <c r="V61" s="105">
        <f t="shared" si="10"/>
        <v>20.391785423552154</v>
      </c>
      <c r="W61" s="105">
        <f t="shared" si="10"/>
        <v>18.918701529662787</v>
      </c>
      <c r="X61" s="105">
        <f t="shared" si="10"/>
        <v>18.918701529662787</v>
      </c>
      <c r="Y61" s="105">
        <f t="shared" si="10"/>
        <v>18.918701529662787</v>
      </c>
      <c r="Z61" s="105">
        <f t="shared" si="10"/>
        <v>20.391785423552154</v>
      </c>
      <c r="AA61" s="105">
        <f t="shared" si="10"/>
        <v>18.918701529662787</v>
      </c>
      <c r="AB61" s="105">
        <f t="shared" si="10"/>
        <v>18.918701529662783</v>
      </c>
      <c r="AC61" s="105">
        <f t="shared" si="10"/>
        <v>18.918701529662783</v>
      </c>
      <c r="AD61" s="105">
        <f t="shared" si="10"/>
        <v>20.391785423552154</v>
      </c>
      <c r="AE61" s="105">
        <f t="shared" si="10"/>
        <v>18.918701529662787</v>
      </c>
      <c r="AF61" s="105">
        <f t="shared" si="10"/>
        <v>18.918701529662783</v>
      </c>
      <c r="AG61" s="105">
        <f t="shared" si="10"/>
        <v>18.918701529662787</v>
      </c>
      <c r="AH61" s="105">
        <f t="shared" si="10"/>
        <v>20.391785423552154</v>
      </c>
      <c r="AI61" s="105">
        <f t="shared" si="10"/>
        <v>18.918701529662787</v>
      </c>
      <c r="AJ61" s="75"/>
      <c r="AK61" s="75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</row>
    <row r="62" spans="1:50" ht="13">
      <c r="A62" s="94"/>
      <c r="B62" s="16"/>
      <c r="C62" s="16"/>
      <c r="D62" s="16"/>
      <c r="E62" s="16" t="str">
        <f>E45</f>
        <v>Non-controllable Opex baseline</v>
      </c>
      <c r="F62" s="16"/>
      <c r="G62" s="26" t="str">
        <f>$I$11</f>
        <v>£m 20/21 prices</v>
      </c>
      <c r="H62" s="75"/>
      <c r="I62" s="75"/>
      <c r="J62" s="16"/>
      <c r="K62" s="105">
        <f t="shared" ref="K62:AI62" si="11">IF($I$9="£",K45/$I$57,K45/K$55/$I$57)</f>
        <v>0</v>
      </c>
      <c r="L62" s="105">
        <f t="shared" si="11"/>
        <v>0</v>
      </c>
      <c r="M62" s="105">
        <f t="shared" si="11"/>
        <v>0</v>
      </c>
      <c r="N62" s="105">
        <f t="shared" si="11"/>
        <v>0</v>
      </c>
      <c r="O62" s="105">
        <f t="shared" si="11"/>
        <v>0</v>
      </c>
      <c r="P62" s="105">
        <f t="shared" si="11"/>
        <v>0</v>
      </c>
      <c r="Q62" s="105">
        <f t="shared" si="11"/>
        <v>0</v>
      </c>
      <c r="R62" s="105">
        <f t="shared" si="11"/>
        <v>0</v>
      </c>
      <c r="S62" s="105">
        <f t="shared" si="11"/>
        <v>0</v>
      </c>
      <c r="T62" s="105">
        <f t="shared" si="11"/>
        <v>0</v>
      </c>
      <c r="U62" s="105">
        <f t="shared" si="11"/>
        <v>0</v>
      </c>
      <c r="V62" s="105">
        <f t="shared" si="11"/>
        <v>0</v>
      </c>
      <c r="W62" s="105">
        <f t="shared" si="11"/>
        <v>0</v>
      </c>
      <c r="X62" s="105">
        <f t="shared" si="11"/>
        <v>0</v>
      </c>
      <c r="Y62" s="105">
        <f t="shared" si="11"/>
        <v>0</v>
      </c>
      <c r="Z62" s="105">
        <f t="shared" si="11"/>
        <v>0</v>
      </c>
      <c r="AA62" s="105">
        <f t="shared" si="11"/>
        <v>0</v>
      </c>
      <c r="AB62" s="105">
        <f t="shared" si="11"/>
        <v>0</v>
      </c>
      <c r="AC62" s="105">
        <f t="shared" si="11"/>
        <v>0</v>
      </c>
      <c r="AD62" s="105">
        <f t="shared" si="11"/>
        <v>0</v>
      </c>
      <c r="AE62" s="105">
        <f t="shared" si="11"/>
        <v>0</v>
      </c>
      <c r="AF62" s="105">
        <f t="shared" si="11"/>
        <v>0</v>
      </c>
      <c r="AG62" s="105">
        <f t="shared" si="11"/>
        <v>0</v>
      </c>
      <c r="AH62" s="105">
        <f t="shared" si="11"/>
        <v>0</v>
      </c>
      <c r="AI62" s="105">
        <f t="shared" si="11"/>
        <v>0</v>
      </c>
      <c r="AJ62" s="75"/>
      <c r="AK62" s="75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</row>
    <row r="63" spans="1:50" ht="15" customHeight="1">
      <c r="I63" s="100"/>
    </row>
    <row r="64" spans="1:50" ht="15" customHeight="1">
      <c r="A64" s="26"/>
      <c r="B64" s="14" t="s">
        <v>167</v>
      </c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  <c r="AL64" s="106"/>
      <c r="AM64" s="106"/>
      <c r="AN64" s="106"/>
      <c r="AO64" s="106"/>
      <c r="AP64" s="106"/>
      <c r="AQ64" s="106"/>
      <c r="AR64" s="106"/>
      <c r="AS64" s="106"/>
      <c r="AT64" s="106"/>
      <c r="AU64" s="106"/>
      <c r="AV64" s="106"/>
      <c r="AW64" s="106"/>
      <c r="AX64" s="106"/>
    </row>
    <row r="65" spans="1:50" ht="15" customHeight="1">
      <c r="A65" s="26"/>
      <c r="B65" s="26"/>
      <c r="C65" s="26"/>
      <c r="D65" s="26"/>
      <c r="E65" s="26"/>
      <c r="F65" s="26"/>
      <c r="G65" s="26"/>
      <c r="H65" s="26"/>
      <c r="I65" s="107"/>
      <c r="J65" s="107"/>
      <c r="K65" s="26"/>
      <c r="L65" s="26"/>
      <c r="M65" s="26"/>
      <c r="N65" s="26"/>
      <c r="O65" s="26"/>
      <c r="P65" s="107"/>
      <c r="Q65" s="107"/>
      <c r="R65" s="107"/>
      <c r="S65" s="26"/>
      <c r="T65" s="26"/>
      <c r="U65" s="26"/>
      <c r="V65" s="26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08"/>
      <c r="AP65" s="108"/>
      <c r="AQ65" s="108"/>
      <c r="AR65" s="108"/>
      <c r="AS65" s="108"/>
      <c r="AT65" s="108"/>
      <c r="AU65" s="108"/>
      <c r="AV65" s="108"/>
      <c r="AW65" s="108"/>
      <c r="AX65" s="108"/>
    </row>
    <row r="66" spans="1:50" ht="15" customHeight="1">
      <c r="A66" s="26"/>
      <c r="B66" s="26"/>
      <c r="C66" s="67" t="s">
        <v>28</v>
      </c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  <c r="AV66" s="67"/>
      <c r="AW66" s="67"/>
      <c r="AX66" s="67"/>
    </row>
    <row r="67" spans="1:50" ht="15" customHeight="1">
      <c r="A67" s="26"/>
      <c r="B67" s="26"/>
      <c r="C67" s="26"/>
      <c r="D67" s="26"/>
      <c r="E67" s="26"/>
      <c r="F67" s="26"/>
      <c r="G67" s="26"/>
      <c r="H67" s="26"/>
      <c r="I67" s="107"/>
      <c r="J67" s="107"/>
      <c r="P67" s="107"/>
      <c r="Y67" s="108"/>
      <c r="Z67" s="108"/>
      <c r="AA67" s="108"/>
      <c r="AB67" s="108"/>
      <c r="AC67" s="108"/>
      <c r="AD67" s="108"/>
      <c r="AE67" s="108"/>
      <c r="AG67" s="108"/>
      <c r="AH67" s="108"/>
      <c r="AI67" s="108"/>
      <c r="AJ67" s="108"/>
      <c r="AK67" s="108"/>
      <c r="AL67" s="108"/>
      <c r="AM67" s="108"/>
      <c r="AN67" s="108"/>
      <c r="AO67" s="108"/>
      <c r="AP67" s="108"/>
      <c r="AQ67" s="108"/>
      <c r="AR67" s="108"/>
      <c r="AS67" s="108"/>
      <c r="AT67" s="108"/>
      <c r="AU67" s="108"/>
      <c r="AV67" s="108"/>
      <c r="AW67" s="108"/>
      <c r="AX67" s="108"/>
    </row>
    <row r="68" spans="1:50" ht="13">
      <c r="A68"/>
      <c r="B68" s="16"/>
      <c r="C68" s="16"/>
      <c r="D68" s="16"/>
      <c r="E68" s="16" t="s">
        <v>168</v>
      </c>
      <c r="F68" s="16"/>
      <c r="G68" s="26" t="s">
        <v>169</v>
      </c>
      <c r="H68" s="16"/>
      <c r="I68" s="109">
        <v>8.1000000000000003E-2</v>
      </c>
      <c r="J68" s="16"/>
      <c r="K68" s="16"/>
      <c r="L68" s="16"/>
      <c r="M68" s="16"/>
      <c r="N68" s="16"/>
      <c r="O68" s="16"/>
      <c r="P68" s="107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</row>
    <row r="69" spans="1:50" ht="15" customHeight="1">
      <c r="A69" s="16"/>
      <c r="B69" s="16"/>
      <c r="C69" s="16"/>
      <c r="D69" s="16"/>
      <c r="E69" s="16" t="s">
        <v>170</v>
      </c>
      <c r="F69" s="26"/>
      <c r="G69" s="26" t="s">
        <v>169</v>
      </c>
      <c r="H69" s="16"/>
      <c r="I69" s="109">
        <v>1.2200000000000001E-2</v>
      </c>
      <c r="J69" s="16"/>
      <c r="K69" s="16"/>
      <c r="L69" s="16"/>
      <c r="M69" s="16"/>
      <c r="N69" s="16"/>
      <c r="O69" s="16"/>
      <c r="P69" s="107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</row>
    <row r="70" spans="1:50" ht="15" customHeight="1">
      <c r="A70" s="16"/>
      <c r="B70" s="16"/>
      <c r="C70" s="16"/>
      <c r="D70" s="16"/>
      <c r="E70" s="16" t="s">
        <v>171</v>
      </c>
      <c r="F70" s="16"/>
      <c r="G70" s="26" t="s">
        <v>169</v>
      </c>
      <c r="H70" s="16"/>
      <c r="I70" s="109">
        <v>3.0599999999999999E-2</v>
      </c>
      <c r="J70" s="16"/>
      <c r="K70" s="16"/>
      <c r="L70" s="16"/>
      <c r="M70" s="16"/>
      <c r="N70" s="16"/>
      <c r="O70" s="16"/>
      <c r="P70" s="107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</row>
    <row r="71" spans="1:50" ht="15" customHeight="1">
      <c r="A71" s="16"/>
      <c r="B71" s="16"/>
      <c r="C71" s="16"/>
      <c r="D71" s="16"/>
      <c r="E71" s="16" t="s">
        <v>172</v>
      </c>
      <c r="F71" s="16"/>
      <c r="G71" s="26" t="s">
        <v>169</v>
      </c>
      <c r="H71" s="16"/>
      <c r="I71" s="110">
        <f>I69</f>
        <v>1.2200000000000001E-2</v>
      </c>
      <c r="J71" s="16"/>
      <c r="K71" s="16"/>
      <c r="L71" s="16"/>
      <c r="M71" s="16"/>
      <c r="N71" s="16"/>
      <c r="O71" s="16"/>
      <c r="P71" s="107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</row>
    <row r="72" spans="1:50" ht="15" customHeight="1">
      <c r="A72" s="16"/>
      <c r="B72" s="16"/>
      <c r="C72" s="16"/>
      <c r="D72" s="16"/>
      <c r="E72" s="16"/>
      <c r="F72" s="16"/>
      <c r="G72" s="26"/>
      <c r="H72" s="16"/>
      <c r="I72" s="111"/>
      <c r="J72" s="16"/>
      <c r="K72" s="16"/>
      <c r="L72" s="16"/>
      <c r="M72" s="16"/>
      <c r="N72" s="16"/>
      <c r="O72" s="16"/>
      <c r="P72" s="107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</row>
    <row r="73" spans="1:50" ht="13">
      <c r="A73"/>
      <c r="B73" s="16"/>
      <c r="C73" s="16"/>
      <c r="D73" s="16"/>
      <c r="E73" s="16" t="s">
        <v>173</v>
      </c>
      <c r="F73" s="16"/>
      <c r="G73" s="26" t="s">
        <v>111</v>
      </c>
      <c r="H73" s="16"/>
      <c r="I73" s="109">
        <v>0.375</v>
      </c>
      <c r="J73" s="16"/>
      <c r="K73" s="16"/>
      <c r="L73" s="16"/>
      <c r="M73" s="16"/>
      <c r="N73" s="16"/>
      <c r="O73" s="16"/>
      <c r="P73" s="107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</row>
    <row r="74" spans="1:50" ht="13">
      <c r="A74"/>
      <c r="B74" s="16"/>
      <c r="C74" s="16"/>
      <c r="D74" s="16"/>
      <c r="E74" s="16" t="s">
        <v>174</v>
      </c>
      <c r="F74" s="16"/>
      <c r="G74" s="26" t="s">
        <v>111</v>
      </c>
      <c r="H74" s="16"/>
      <c r="I74" s="109">
        <v>0.5</v>
      </c>
      <c r="J74" s="16"/>
      <c r="K74" s="16"/>
      <c r="L74" s="16"/>
      <c r="M74" s="16"/>
      <c r="N74" s="16"/>
      <c r="O74" s="16"/>
      <c r="P74" s="107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</row>
    <row r="75" spans="1:50" ht="15" customHeight="1">
      <c r="A75" s="16"/>
      <c r="B75" s="16"/>
      <c r="C75" s="16"/>
      <c r="D75" s="16"/>
      <c r="E75" s="112"/>
      <c r="F75" s="16"/>
      <c r="G75" s="26"/>
      <c r="H75" s="16"/>
      <c r="I75" s="113"/>
      <c r="J75" s="16"/>
      <c r="K75" s="61"/>
      <c r="L75" s="16"/>
      <c r="M75" s="16"/>
      <c r="N75" s="16"/>
      <c r="O75" s="16"/>
      <c r="P75" s="107"/>
      <c r="Q75" s="107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</row>
    <row r="76" spans="1:50" ht="15" customHeight="1">
      <c r="A76" s="16"/>
      <c r="B76" s="16"/>
      <c r="C76" s="16"/>
      <c r="D76" s="16"/>
      <c r="E76" s="16" t="s">
        <v>175</v>
      </c>
      <c r="F76" s="16"/>
      <c r="G76" s="26" t="s">
        <v>111</v>
      </c>
      <c r="H76" s="16"/>
      <c r="I76" s="109">
        <v>0.05</v>
      </c>
      <c r="J76" s="16"/>
      <c r="K76" s="61"/>
      <c r="L76" s="16"/>
      <c r="M76" s="16"/>
      <c r="N76" s="16"/>
      <c r="O76" s="16"/>
      <c r="P76" s="107"/>
      <c r="Q76" s="107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</row>
    <row r="77" spans="1:50" ht="15" customHeight="1">
      <c r="A77" s="16"/>
      <c r="B77" s="16"/>
      <c r="C77" s="16"/>
      <c r="D77" s="16"/>
      <c r="E77" s="16" t="s">
        <v>176</v>
      </c>
      <c r="F77" s="16"/>
      <c r="G77" s="26" t="s">
        <v>111</v>
      </c>
      <c r="H77" s="16"/>
      <c r="I77" s="109">
        <v>2.5000000000000001E-2</v>
      </c>
      <c r="J77" s="16"/>
      <c r="K77" s="61"/>
      <c r="L77" s="16"/>
      <c r="M77" s="16"/>
      <c r="N77" s="16"/>
      <c r="O77" s="16"/>
      <c r="P77" s="107"/>
      <c r="Q77" s="107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</row>
    <row r="78" spans="1:50" ht="15" customHeight="1">
      <c r="A78" s="16"/>
      <c r="B78" s="16"/>
      <c r="C78" s="16"/>
      <c r="D78" s="16"/>
      <c r="E78" s="16"/>
      <c r="F78" s="16"/>
      <c r="G78" s="26"/>
      <c r="H78" s="16"/>
      <c r="I78" s="102"/>
      <c r="J78" s="16"/>
      <c r="K78" s="16"/>
      <c r="L78" s="16"/>
      <c r="M78" s="16"/>
      <c r="N78" s="16"/>
      <c r="O78" s="16"/>
      <c r="P78" s="107"/>
      <c r="Q78" s="107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</row>
    <row r="79" spans="1:50" ht="15" customHeight="1">
      <c r="A79" s="27"/>
      <c r="B79" s="26"/>
      <c r="C79" s="67" t="s">
        <v>177</v>
      </c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  <c r="AV79" s="67"/>
      <c r="AW79" s="67"/>
      <c r="AX79" s="67"/>
    </row>
    <row r="80" spans="1:50" ht="15" customHeight="1">
      <c r="A80" s="114"/>
    </row>
    <row r="81" spans="1:50" ht="26">
      <c r="A81" s="114"/>
      <c r="E81" s="13" t="s">
        <v>178</v>
      </c>
      <c r="G81" s="90" t="s">
        <v>179</v>
      </c>
      <c r="I81" s="115">
        <v>1</v>
      </c>
    </row>
    <row r="82" spans="1:50" ht="15" customHeight="1">
      <c r="A82" s="114"/>
      <c r="E82" s="13" t="s">
        <v>180</v>
      </c>
      <c r="G82" s="13" t="str">
        <f>CONCATENATE($I$9,"m nominal prices")</f>
        <v>£m nominal prices</v>
      </c>
      <c r="I82" s="116">
        <v>1504</v>
      </c>
    </row>
    <row r="83" spans="1:50" ht="15" customHeight="1">
      <c r="A83" s="114"/>
      <c r="E83" s="13" t="s">
        <v>181</v>
      </c>
      <c r="G83" s="13" t="s">
        <v>111</v>
      </c>
      <c r="I83" s="117">
        <v>0.8</v>
      </c>
    </row>
    <row r="84" spans="1:50" ht="15" customHeight="1">
      <c r="A84" s="114"/>
    </row>
    <row r="85" spans="1:50" ht="15" customHeight="1">
      <c r="A85" s="114"/>
      <c r="E85" s="16" t="s">
        <v>182</v>
      </c>
      <c r="F85" s="16"/>
      <c r="G85" s="16" t="s">
        <v>183</v>
      </c>
      <c r="H85" s="16"/>
      <c r="I85" s="118">
        <v>23.3</v>
      </c>
    </row>
    <row r="86" spans="1:50" ht="15" customHeight="1">
      <c r="A86" s="114"/>
      <c r="E86" s="16" t="s">
        <v>184</v>
      </c>
      <c r="F86" s="16"/>
      <c r="G86" s="16" t="s">
        <v>183</v>
      </c>
      <c r="H86" s="16"/>
      <c r="I86" s="118">
        <v>1.75</v>
      </c>
    </row>
    <row r="87" spans="1:50" ht="15" customHeight="1">
      <c r="A87" s="114"/>
      <c r="E87" s="16" t="s">
        <v>185</v>
      </c>
      <c r="F87" s="16"/>
      <c r="G87" s="26" t="s">
        <v>186</v>
      </c>
      <c r="H87" s="16"/>
      <c r="I87" s="118">
        <v>1.2</v>
      </c>
    </row>
    <row r="88" spans="1:50" ht="15" customHeight="1">
      <c r="A88" s="114"/>
    </row>
    <row r="89" spans="1:50" ht="15" customHeight="1">
      <c r="A89" s="119"/>
      <c r="C89" s="16"/>
      <c r="D89" s="16"/>
      <c r="E89" s="16" t="s">
        <v>187</v>
      </c>
      <c r="F89" s="16"/>
      <c r="G89" s="26" t="s">
        <v>188</v>
      </c>
      <c r="H89" s="16"/>
      <c r="I89" s="109">
        <v>2.1700000000000001E-2</v>
      </c>
      <c r="J89" s="16"/>
      <c r="K89" s="16"/>
      <c r="L89" s="16"/>
      <c r="M89" s="16"/>
      <c r="N89" s="16"/>
      <c r="O89" s="16"/>
      <c r="P89" s="107"/>
      <c r="Q89" s="107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</row>
    <row r="90" spans="1:50" ht="15" customHeight="1">
      <c r="A90" s="119"/>
      <c r="C90" s="16"/>
      <c r="D90" s="16"/>
      <c r="E90" s="16" t="s">
        <v>189</v>
      </c>
      <c r="F90" s="16"/>
      <c r="G90" s="26" t="s">
        <v>188</v>
      </c>
      <c r="H90" s="16"/>
      <c r="I90" s="109">
        <v>2.1700000000000001E-2</v>
      </c>
      <c r="J90" s="16"/>
      <c r="K90" s="16"/>
      <c r="L90" s="16"/>
      <c r="M90" s="16"/>
      <c r="N90" s="16"/>
      <c r="O90" s="16"/>
      <c r="P90" s="107"/>
      <c r="Q90" s="107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</row>
    <row r="91" spans="1:50" ht="15" customHeight="1">
      <c r="A91" s="119"/>
      <c r="C91" s="16"/>
      <c r="D91" s="16"/>
      <c r="E91" s="16"/>
      <c r="F91" s="16"/>
      <c r="G91" s="16"/>
      <c r="H91" s="16"/>
      <c r="I91" s="120"/>
      <c r="J91" s="16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</row>
    <row r="92" spans="1:50" ht="15" customHeight="1">
      <c r="A92" s="114"/>
      <c r="E92" s="16" t="s">
        <v>190</v>
      </c>
      <c r="F92" s="16"/>
      <c r="G92" s="26" t="s">
        <v>188</v>
      </c>
      <c r="H92" s="16"/>
      <c r="I92" s="109">
        <v>1.7999999999999999E-2</v>
      </c>
    </row>
    <row r="93" spans="1:50" ht="15" customHeight="1">
      <c r="A93" s="114"/>
      <c r="E93" s="122" t="s">
        <v>191</v>
      </c>
      <c r="F93" s="122"/>
      <c r="G93" s="123" t="s">
        <v>188</v>
      </c>
      <c r="H93" s="122"/>
      <c r="I93" s="124">
        <v>2E-3</v>
      </c>
    </row>
    <row r="94" spans="1:50" ht="15" customHeight="1">
      <c r="A94" s="125"/>
      <c r="B94"/>
      <c r="C94"/>
      <c r="D94"/>
      <c r="E94" s="16" t="s">
        <v>192</v>
      </c>
      <c r="G94" s="26" t="s">
        <v>188</v>
      </c>
      <c r="H94" s="16"/>
      <c r="I94" s="109">
        <v>1.4999999999999999E-2</v>
      </c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</row>
    <row r="95" spans="1:50" ht="15" customHeight="1">
      <c r="A95" s="119"/>
      <c r="B95" s="16"/>
      <c r="C95" s="16"/>
      <c r="D95" s="16"/>
      <c r="E95" s="16" t="s">
        <v>193</v>
      </c>
      <c r="F95" s="16"/>
      <c r="G95" s="26" t="s">
        <v>194</v>
      </c>
      <c r="H95" s="16"/>
      <c r="I95" s="109">
        <v>0.35</v>
      </c>
      <c r="J95" s="16"/>
      <c r="K95" s="16"/>
      <c r="L95" s="16"/>
      <c r="M95" s="16"/>
      <c r="N95" s="16"/>
      <c r="O95" s="16"/>
      <c r="P95" s="107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</row>
    <row r="96" spans="1:50" ht="15" customHeight="1">
      <c r="A96" s="119"/>
      <c r="B96" s="16"/>
      <c r="C96" s="16"/>
      <c r="D96" s="16"/>
      <c r="E96" s="16"/>
      <c r="F96" s="16"/>
      <c r="G96" s="26"/>
      <c r="H96" s="16"/>
      <c r="I96" s="111"/>
      <c r="J96" s="16"/>
      <c r="K96" s="16"/>
      <c r="L96" s="16"/>
      <c r="M96" s="16"/>
      <c r="N96" s="16"/>
      <c r="O96" s="16"/>
      <c r="P96" s="107"/>
      <c r="Q96" s="16"/>
      <c r="R96" s="16"/>
      <c r="S96" s="16"/>
      <c r="T96" s="16"/>
      <c r="U96"/>
      <c r="V96"/>
      <c r="W96"/>
      <c r="X96"/>
      <c r="Y96"/>
      <c r="Z9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</row>
    <row r="97" spans="1:50" ht="15" customHeight="1">
      <c r="A97" s="119"/>
      <c r="B97" s="16"/>
      <c r="C97" s="16"/>
      <c r="D97" s="16"/>
      <c r="E97" s="16" t="s">
        <v>195</v>
      </c>
      <c r="F97" s="16"/>
      <c r="G97" s="26" t="s">
        <v>196</v>
      </c>
      <c r="H97" s="16"/>
      <c r="I97" s="111"/>
      <c r="J97" s="16"/>
      <c r="K97" s="126">
        <v>1</v>
      </c>
      <c r="L97" s="126">
        <v>2</v>
      </c>
      <c r="M97" s="126">
        <v>3</v>
      </c>
      <c r="N97" s="126">
        <v>4</v>
      </c>
      <c r="O97" s="126">
        <v>5</v>
      </c>
      <c r="P97" s="126">
        <v>6</v>
      </c>
      <c r="Q97" s="126">
        <v>7</v>
      </c>
      <c r="R97" s="126">
        <v>8</v>
      </c>
      <c r="S97" s="126">
        <v>9</v>
      </c>
      <c r="T97" s="126">
        <v>10</v>
      </c>
      <c r="U97"/>
      <c r="V97"/>
      <c r="W97"/>
      <c r="X97"/>
      <c r="Y97"/>
      <c r="Z97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</row>
    <row r="98" spans="1:50" ht="15" customHeight="1">
      <c r="A98" s="119"/>
      <c r="B98" s="16"/>
      <c r="C98" s="16"/>
      <c r="D98" s="16"/>
      <c r="E98" s="16" t="s">
        <v>197</v>
      </c>
      <c r="F98" s="16"/>
      <c r="G98" s="26" t="s">
        <v>111</v>
      </c>
      <c r="H98" s="16"/>
      <c r="I98" s="111"/>
      <c r="J98" s="16"/>
      <c r="K98" s="109">
        <v>0</v>
      </c>
      <c r="L98" s="109">
        <v>0.25390127597904438</v>
      </c>
      <c r="M98" s="109">
        <v>0.10658107550180575</v>
      </c>
      <c r="N98" s="109">
        <v>0.13625949877216686</v>
      </c>
      <c r="O98" s="109">
        <v>0.20412572677858212</v>
      </c>
      <c r="P98" s="109">
        <v>0.17772475281649658</v>
      </c>
      <c r="Q98" s="109">
        <v>8.9563129849944925E-2</v>
      </c>
      <c r="R98" s="109">
        <v>3.1844540301959455E-2</v>
      </c>
      <c r="S98" s="109">
        <v>0</v>
      </c>
      <c r="T98" s="109">
        <v>0</v>
      </c>
      <c r="U98"/>
      <c r="V98"/>
      <c r="W98"/>
      <c r="X98"/>
      <c r="Y98"/>
      <c r="Z98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</row>
    <row r="99" spans="1:50" ht="15" customHeight="1">
      <c r="A99" s="125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</row>
    <row r="100" spans="1:50" ht="15" customHeight="1">
      <c r="A100" s="119"/>
      <c r="E100" s="26" t="s">
        <v>198</v>
      </c>
      <c r="F100" s="16"/>
      <c r="G100" s="13" t="str">
        <f>CONCATENATE($I$9,"m nominal prices")</f>
        <v>£m nominal prices</v>
      </c>
      <c r="H100" s="16"/>
      <c r="I100" s="127">
        <v>73</v>
      </c>
      <c r="U100"/>
      <c r="V100"/>
      <c r="W100"/>
      <c r="X100"/>
      <c r="Y100"/>
      <c r="Z100"/>
    </row>
    <row r="101" spans="1:50" ht="15" customHeight="1">
      <c r="A101" s="125"/>
      <c r="B101"/>
      <c r="C101"/>
      <c r="D101"/>
      <c r="E101" s="16" t="s">
        <v>199</v>
      </c>
      <c r="F101" s="16"/>
      <c r="G101" s="26" t="s">
        <v>188</v>
      </c>
      <c r="H101" s="16"/>
      <c r="I101" s="109">
        <v>1.4999999999999999E-2</v>
      </c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</row>
    <row r="102" spans="1:50" ht="15" customHeight="1">
      <c r="A102" s="125"/>
      <c r="B102"/>
      <c r="C102"/>
      <c r="D102"/>
      <c r="E102" s="16" t="s">
        <v>200</v>
      </c>
      <c r="F102" s="16"/>
      <c r="G102" s="26" t="s">
        <v>188</v>
      </c>
      <c r="H102" s="16"/>
      <c r="I102" s="109">
        <v>1.7999999999999999E-2</v>
      </c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</row>
    <row r="103" spans="1:50" ht="15" customHeight="1">
      <c r="A103" s="119"/>
      <c r="B103" s="16"/>
      <c r="C103" s="16"/>
      <c r="D103" s="16"/>
      <c r="E103" s="16" t="s">
        <v>201</v>
      </c>
      <c r="F103" s="16"/>
      <c r="G103" s="26" t="s">
        <v>194</v>
      </c>
      <c r="H103" s="16"/>
      <c r="I103" s="109">
        <v>0.35</v>
      </c>
      <c r="J103" s="16"/>
      <c r="K103" s="16"/>
      <c r="L103" s="16"/>
      <c r="M103" s="16"/>
      <c r="N103" s="16"/>
      <c r="O103" s="16"/>
      <c r="P103" s="107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</row>
    <row r="104" spans="1:50" ht="15" customHeight="1">
      <c r="A104" s="125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</row>
    <row r="105" spans="1:50" ht="15" customHeight="1">
      <c r="A105" s="119"/>
      <c r="E105" s="26" t="s">
        <v>202</v>
      </c>
      <c r="F105" s="16"/>
      <c r="G105" s="13" t="str">
        <f>CONCATENATE($I$9,"m nominal prices")</f>
        <v>£m nominal prices</v>
      </c>
      <c r="H105" s="16"/>
      <c r="I105" s="127">
        <v>50</v>
      </c>
    </row>
    <row r="106" spans="1:50" ht="14.25" customHeight="1">
      <c r="A106" s="119"/>
      <c r="B106" s="128"/>
      <c r="C106" s="128"/>
      <c r="E106" s="26" t="s">
        <v>203</v>
      </c>
      <c r="F106" s="16"/>
      <c r="G106" s="13" t="str">
        <f>CONCATENATE($I$9,"m nominal prices")</f>
        <v>£m nominal prices</v>
      </c>
      <c r="H106" s="16"/>
      <c r="I106" s="115">
        <v>5</v>
      </c>
    </row>
    <row r="107" spans="1:50" ht="15" customHeight="1">
      <c r="A107" s="125"/>
      <c r="B107"/>
      <c r="C107"/>
      <c r="D107"/>
      <c r="E107" s="16" t="s">
        <v>204</v>
      </c>
      <c r="F107" s="16"/>
      <c r="G107" s="26" t="s">
        <v>188</v>
      </c>
      <c r="H107" s="16"/>
      <c r="I107" s="109">
        <v>1.4999999999999999E-2</v>
      </c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</row>
    <row r="108" spans="1:50" ht="15" customHeight="1">
      <c r="A108" s="125"/>
      <c r="B108"/>
      <c r="C108"/>
      <c r="D108"/>
      <c r="E108" s="16" t="s">
        <v>205</v>
      </c>
      <c r="F108" s="16"/>
      <c r="G108" s="26" t="s">
        <v>188</v>
      </c>
      <c r="H108" s="16"/>
      <c r="I108" s="109">
        <v>1.7999999999999999E-2</v>
      </c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</row>
    <row r="109" spans="1:50" ht="15" customHeight="1">
      <c r="A109" s="119"/>
      <c r="B109" s="16"/>
      <c r="C109" s="16"/>
      <c r="D109" s="16"/>
      <c r="E109" s="16" t="s">
        <v>206</v>
      </c>
      <c r="F109" s="16"/>
      <c r="G109" s="26" t="s">
        <v>194</v>
      </c>
      <c r="H109" s="16"/>
      <c r="I109" s="109">
        <v>0.35</v>
      </c>
      <c r="J109" s="16"/>
      <c r="K109" s="16"/>
      <c r="L109" s="16"/>
      <c r="M109" s="16"/>
      <c r="N109" s="16"/>
      <c r="O109" s="16"/>
      <c r="P109" s="107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</row>
    <row r="110" spans="1:50" ht="15" customHeight="1">
      <c r="A110" s="125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</row>
    <row r="111" spans="1:50" ht="15" customHeight="1">
      <c r="A111" s="125"/>
      <c r="B111"/>
      <c r="C111"/>
      <c r="D111"/>
      <c r="E111" s="26" t="s">
        <v>207</v>
      </c>
      <c r="F111" s="16"/>
      <c r="G111" s="13" t="str">
        <f>CONCATENATE($I$9,"m nominal prices")</f>
        <v>£m nominal prices</v>
      </c>
      <c r="H111" s="16"/>
      <c r="I111" s="115">
        <v>60</v>
      </c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</row>
    <row r="112" spans="1:50" ht="15" customHeight="1">
      <c r="A112" s="125"/>
      <c r="B112"/>
      <c r="C112"/>
      <c r="D112"/>
      <c r="E112" s="16" t="s">
        <v>208</v>
      </c>
      <c r="F112" s="16"/>
      <c r="G112" s="26" t="s">
        <v>188</v>
      </c>
      <c r="H112" s="16"/>
      <c r="I112" s="109">
        <v>1.4999999999999999E-2</v>
      </c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</row>
    <row r="113" spans="1:9" customFormat="1" ht="15" customHeight="1">
      <c r="A113" s="125"/>
      <c r="E113" s="16" t="s">
        <v>209</v>
      </c>
      <c r="F113" s="16"/>
      <c r="G113" s="26" t="s">
        <v>188</v>
      </c>
      <c r="H113" s="16"/>
      <c r="I113" s="109">
        <v>1.6199999999999999E-2</v>
      </c>
    </row>
    <row r="114" spans="1:9" customFormat="1" ht="15" customHeight="1">
      <c r="A114" s="125"/>
      <c r="E114" s="16" t="s">
        <v>210</v>
      </c>
      <c r="F114" s="16"/>
      <c r="G114" s="26" t="s">
        <v>194</v>
      </c>
      <c r="H114" s="16"/>
      <c r="I114" s="109">
        <v>0.35</v>
      </c>
    </row>
    <row r="115" spans="1:9" customFormat="1" ht="15" customHeight="1">
      <c r="A115" s="125"/>
    </row>
    <row r="116" spans="1:9" customFormat="1" ht="15" customHeight="1">
      <c r="A116" s="125"/>
      <c r="E116" s="16" t="s">
        <v>211</v>
      </c>
      <c r="F116" s="16"/>
      <c r="G116" s="13" t="str">
        <f>CONCATENATE($I$9,"m nominal prices")</f>
        <v>£m nominal prices</v>
      </c>
      <c r="H116" s="16"/>
      <c r="I116" s="115">
        <v>17</v>
      </c>
    </row>
    <row r="117" spans="1:9" customFormat="1" ht="15" customHeight="1">
      <c r="A117" s="125"/>
      <c r="E117" s="16" t="s">
        <v>212</v>
      </c>
      <c r="F117" s="16"/>
      <c r="G117" s="13" t="str">
        <f>CONCATENATE($I$9,"m nominal prices")</f>
        <v>£m nominal prices</v>
      </c>
      <c r="H117" s="16"/>
      <c r="I117" s="127">
        <v>5</v>
      </c>
    </row>
    <row r="118" spans="1:9" customFormat="1" ht="15" customHeight="1">
      <c r="A118" s="125"/>
      <c r="E118" s="16" t="s">
        <v>213</v>
      </c>
      <c r="F118" s="16"/>
      <c r="G118" s="26" t="s">
        <v>188</v>
      </c>
      <c r="H118" s="16"/>
      <c r="I118" s="129">
        <v>1.0999999999999999E-2</v>
      </c>
    </row>
    <row r="119" spans="1:9" customFormat="1" ht="15" customHeight="1">
      <c r="A119" s="125"/>
      <c r="E119" s="16" t="s">
        <v>214</v>
      </c>
      <c r="F119" s="16"/>
      <c r="G119" s="26" t="s">
        <v>188</v>
      </c>
      <c r="H119" s="16"/>
      <c r="I119" s="129">
        <v>1.0999999999999999E-2</v>
      </c>
    </row>
    <row r="120" spans="1:9" customFormat="1" ht="15" customHeight="1">
      <c r="A120" s="125"/>
      <c r="E120" s="16" t="s">
        <v>215</v>
      </c>
      <c r="F120" s="16"/>
      <c r="G120" s="26" t="s">
        <v>194</v>
      </c>
      <c r="H120" s="16"/>
      <c r="I120" s="129">
        <v>0.35</v>
      </c>
    </row>
    <row r="121" spans="1:9" customFormat="1" ht="15" customHeight="1">
      <c r="A121" s="125"/>
    </row>
    <row r="122" spans="1:9" customFormat="1" ht="15" customHeight="1">
      <c r="A122" s="125"/>
      <c r="E122" s="26" t="s">
        <v>216</v>
      </c>
      <c r="F122" s="16"/>
      <c r="G122" s="13" t="str">
        <f>CONCATENATE($I$9,"m nominal prices")</f>
        <v>£m nominal prices</v>
      </c>
      <c r="H122" s="16"/>
      <c r="I122" s="115">
        <v>0</v>
      </c>
    </row>
    <row r="123" spans="1:9" customFormat="1" ht="15" customHeight="1">
      <c r="A123" s="125"/>
      <c r="E123" s="16" t="s">
        <v>217</v>
      </c>
      <c r="F123" s="16"/>
      <c r="G123" s="26" t="s">
        <v>188</v>
      </c>
      <c r="H123" s="16"/>
      <c r="I123" s="130">
        <v>0</v>
      </c>
    </row>
    <row r="124" spans="1:9" customFormat="1" ht="15" customHeight="1">
      <c r="A124" s="125"/>
      <c r="E124" s="16" t="s">
        <v>218</v>
      </c>
      <c r="F124" s="16"/>
      <c r="G124" s="26" t="s">
        <v>188</v>
      </c>
      <c r="H124" s="16"/>
      <c r="I124" s="130">
        <v>0</v>
      </c>
    </row>
    <row r="125" spans="1:9" customFormat="1" ht="15" customHeight="1">
      <c r="A125" s="125"/>
      <c r="E125" s="16" t="s">
        <v>219</v>
      </c>
      <c r="F125" s="16"/>
      <c r="G125" s="26" t="s">
        <v>194</v>
      </c>
      <c r="H125" s="16"/>
      <c r="I125" s="130">
        <v>0</v>
      </c>
    </row>
    <row r="126" spans="1:9" customFormat="1" ht="15" customHeight="1">
      <c r="A126" s="125"/>
    </row>
    <row r="127" spans="1:9" customFormat="1" ht="26">
      <c r="A127" s="125"/>
      <c r="E127" s="16" t="s">
        <v>220</v>
      </c>
      <c r="F127" s="16"/>
      <c r="G127" s="90" t="s">
        <v>221</v>
      </c>
      <c r="H127" s="16"/>
      <c r="I127" s="115">
        <v>1</v>
      </c>
    </row>
    <row r="128" spans="1:9" customFormat="1" ht="26">
      <c r="A128" s="125"/>
      <c r="E128" s="16" t="s">
        <v>222</v>
      </c>
      <c r="F128" s="16"/>
      <c r="G128" s="94" t="s">
        <v>223</v>
      </c>
      <c r="H128" s="16"/>
      <c r="I128" s="115">
        <v>2</v>
      </c>
    </row>
    <row r="129" spans="1:50" ht="15" customHeight="1">
      <c r="A129" s="125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</row>
    <row r="130" spans="1:50" ht="15" customHeight="1">
      <c r="A130" s="68"/>
      <c r="B130" s="68"/>
      <c r="C130" s="68"/>
      <c r="D130" s="68"/>
      <c r="E130" s="69" t="s">
        <v>119</v>
      </c>
      <c r="F130" s="70"/>
      <c r="G130" s="70"/>
      <c r="H130" s="70"/>
      <c r="I130" s="70"/>
      <c r="J130" s="68"/>
      <c r="K130" s="131">
        <f>$I$148</f>
        <v>41275</v>
      </c>
      <c r="L130" s="72">
        <f t="shared" ref="L130:AX130" si="12">+K131+1</f>
        <v>41640</v>
      </c>
      <c r="M130" s="72">
        <f t="shared" si="12"/>
        <v>42005</v>
      </c>
      <c r="N130" s="72">
        <f t="shared" si="12"/>
        <v>42370</v>
      </c>
      <c r="O130" s="72">
        <f t="shared" si="12"/>
        <v>42736</v>
      </c>
      <c r="P130" s="72">
        <f t="shared" si="12"/>
        <v>43101</v>
      </c>
      <c r="Q130" s="72">
        <f t="shared" si="12"/>
        <v>43466</v>
      </c>
      <c r="R130" s="72">
        <f t="shared" si="12"/>
        <v>43831</v>
      </c>
      <c r="S130" s="72">
        <f t="shared" si="12"/>
        <v>44197</v>
      </c>
      <c r="T130" s="72">
        <f t="shared" si="12"/>
        <v>44562</v>
      </c>
      <c r="U130" s="72">
        <f t="shared" si="12"/>
        <v>44927</v>
      </c>
      <c r="V130" s="72">
        <f t="shared" si="12"/>
        <v>45292</v>
      </c>
      <c r="W130" s="72">
        <f t="shared" si="12"/>
        <v>45658</v>
      </c>
      <c r="X130" s="72">
        <f t="shared" si="12"/>
        <v>46023</v>
      </c>
      <c r="Y130" s="72">
        <f t="shared" si="12"/>
        <v>46388</v>
      </c>
      <c r="Z130" s="72">
        <f t="shared" si="12"/>
        <v>46753</v>
      </c>
      <c r="AA130" s="72">
        <f t="shared" si="12"/>
        <v>47119</v>
      </c>
      <c r="AB130" s="72">
        <f t="shared" si="12"/>
        <v>47484</v>
      </c>
      <c r="AC130" s="72">
        <f t="shared" si="12"/>
        <v>47849</v>
      </c>
      <c r="AD130" s="72">
        <f t="shared" si="12"/>
        <v>48214</v>
      </c>
      <c r="AE130" s="72">
        <f t="shared" si="12"/>
        <v>48580</v>
      </c>
      <c r="AF130" s="72">
        <f t="shared" si="12"/>
        <v>48945</v>
      </c>
      <c r="AG130" s="72">
        <f t="shared" si="12"/>
        <v>49310</v>
      </c>
      <c r="AH130" s="72">
        <f t="shared" si="12"/>
        <v>49675</v>
      </c>
      <c r="AI130" s="72">
        <f t="shared" si="12"/>
        <v>50041</v>
      </c>
      <c r="AJ130" s="72">
        <f t="shared" si="12"/>
        <v>50406</v>
      </c>
      <c r="AK130" s="72">
        <f t="shared" si="12"/>
        <v>50771</v>
      </c>
      <c r="AL130" s="72">
        <f t="shared" si="12"/>
        <v>51136</v>
      </c>
      <c r="AM130" s="72">
        <f t="shared" si="12"/>
        <v>51502</v>
      </c>
      <c r="AN130" s="72">
        <f t="shared" si="12"/>
        <v>51867</v>
      </c>
      <c r="AO130" s="72">
        <f t="shared" si="12"/>
        <v>52232</v>
      </c>
      <c r="AP130" s="72">
        <f t="shared" si="12"/>
        <v>52597</v>
      </c>
      <c r="AQ130" s="72">
        <f t="shared" si="12"/>
        <v>52963</v>
      </c>
      <c r="AR130" s="72">
        <f t="shared" si="12"/>
        <v>53328</v>
      </c>
      <c r="AS130" s="72">
        <f t="shared" si="12"/>
        <v>53693</v>
      </c>
      <c r="AT130" s="72">
        <f t="shared" si="12"/>
        <v>54058</v>
      </c>
      <c r="AU130" s="72">
        <f t="shared" si="12"/>
        <v>54424</v>
      </c>
      <c r="AV130" s="72">
        <f t="shared" si="12"/>
        <v>54789</v>
      </c>
      <c r="AW130" s="72">
        <f t="shared" si="12"/>
        <v>55154</v>
      </c>
      <c r="AX130" s="72">
        <f t="shared" si="12"/>
        <v>55519</v>
      </c>
    </row>
    <row r="131" spans="1:50" ht="15" customHeight="1">
      <c r="A131" s="73"/>
      <c r="B131" s="73"/>
      <c r="C131" s="73"/>
      <c r="D131" s="73"/>
      <c r="E131" s="69" t="s">
        <v>120</v>
      </c>
      <c r="F131" s="73"/>
      <c r="G131" s="73"/>
      <c r="H131" s="73"/>
      <c r="I131" s="74"/>
      <c r="J131" s="73"/>
      <c r="K131" s="131">
        <f>EOMONTH(K130,11)</f>
        <v>41639</v>
      </c>
      <c r="L131" s="72">
        <f t="shared" ref="L131:AX131" si="13">DATE(YEAR(K131) + 1, MONTH(K131), DAY(K131))</f>
        <v>42004</v>
      </c>
      <c r="M131" s="72">
        <f t="shared" si="13"/>
        <v>42369</v>
      </c>
      <c r="N131" s="72">
        <f t="shared" si="13"/>
        <v>42735</v>
      </c>
      <c r="O131" s="72">
        <f t="shared" si="13"/>
        <v>43100</v>
      </c>
      <c r="P131" s="72">
        <f t="shared" si="13"/>
        <v>43465</v>
      </c>
      <c r="Q131" s="72">
        <f t="shared" si="13"/>
        <v>43830</v>
      </c>
      <c r="R131" s="72">
        <f t="shared" si="13"/>
        <v>44196</v>
      </c>
      <c r="S131" s="72">
        <f t="shared" si="13"/>
        <v>44561</v>
      </c>
      <c r="T131" s="72">
        <f t="shared" si="13"/>
        <v>44926</v>
      </c>
      <c r="U131" s="72">
        <f t="shared" si="13"/>
        <v>45291</v>
      </c>
      <c r="V131" s="72">
        <f t="shared" si="13"/>
        <v>45657</v>
      </c>
      <c r="W131" s="72">
        <f t="shared" si="13"/>
        <v>46022</v>
      </c>
      <c r="X131" s="72">
        <f t="shared" si="13"/>
        <v>46387</v>
      </c>
      <c r="Y131" s="72">
        <f t="shared" si="13"/>
        <v>46752</v>
      </c>
      <c r="Z131" s="72">
        <f t="shared" si="13"/>
        <v>47118</v>
      </c>
      <c r="AA131" s="72">
        <f t="shared" si="13"/>
        <v>47483</v>
      </c>
      <c r="AB131" s="72">
        <f t="shared" si="13"/>
        <v>47848</v>
      </c>
      <c r="AC131" s="72">
        <f t="shared" si="13"/>
        <v>48213</v>
      </c>
      <c r="AD131" s="72">
        <f t="shared" si="13"/>
        <v>48579</v>
      </c>
      <c r="AE131" s="72">
        <f t="shared" si="13"/>
        <v>48944</v>
      </c>
      <c r="AF131" s="72">
        <f t="shared" si="13"/>
        <v>49309</v>
      </c>
      <c r="AG131" s="72">
        <f t="shared" si="13"/>
        <v>49674</v>
      </c>
      <c r="AH131" s="72">
        <f t="shared" si="13"/>
        <v>50040</v>
      </c>
      <c r="AI131" s="72">
        <f t="shared" si="13"/>
        <v>50405</v>
      </c>
      <c r="AJ131" s="72">
        <f t="shared" si="13"/>
        <v>50770</v>
      </c>
      <c r="AK131" s="72">
        <f t="shared" si="13"/>
        <v>51135</v>
      </c>
      <c r="AL131" s="72">
        <f t="shared" si="13"/>
        <v>51501</v>
      </c>
      <c r="AM131" s="72">
        <f t="shared" si="13"/>
        <v>51866</v>
      </c>
      <c r="AN131" s="72">
        <f t="shared" si="13"/>
        <v>52231</v>
      </c>
      <c r="AO131" s="72">
        <f t="shared" si="13"/>
        <v>52596</v>
      </c>
      <c r="AP131" s="72">
        <f t="shared" si="13"/>
        <v>52962</v>
      </c>
      <c r="AQ131" s="72">
        <f t="shared" si="13"/>
        <v>53327</v>
      </c>
      <c r="AR131" s="72">
        <f t="shared" si="13"/>
        <v>53692</v>
      </c>
      <c r="AS131" s="72">
        <f t="shared" si="13"/>
        <v>54057</v>
      </c>
      <c r="AT131" s="72">
        <f t="shared" si="13"/>
        <v>54423</v>
      </c>
      <c r="AU131" s="72">
        <f t="shared" si="13"/>
        <v>54788</v>
      </c>
      <c r="AV131" s="72">
        <f t="shared" si="13"/>
        <v>55153</v>
      </c>
      <c r="AW131" s="72">
        <f t="shared" si="13"/>
        <v>55518</v>
      </c>
      <c r="AX131" s="72">
        <f t="shared" si="13"/>
        <v>55884</v>
      </c>
    </row>
    <row r="132" spans="1:50" ht="15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</row>
    <row r="133" spans="1:50" ht="15" customHeight="1">
      <c r="A133" s="132"/>
      <c r="B133" s="133"/>
      <c r="C133" s="1"/>
      <c r="D133" s="1"/>
      <c r="E133" s="16" t="s">
        <v>224</v>
      </c>
      <c r="F133" s="134"/>
      <c r="G133" s="26" t="s">
        <v>196</v>
      </c>
      <c r="H133" s="134"/>
      <c r="I133" s="134"/>
      <c r="J133" s="26"/>
      <c r="K133" s="135">
        <f t="shared" ref="K133:AX133" si="14">K171</f>
        <v>0</v>
      </c>
      <c r="L133" s="135">
        <f t="shared" si="14"/>
        <v>0</v>
      </c>
      <c r="M133" s="135">
        <f t="shared" si="14"/>
        <v>0</v>
      </c>
      <c r="N133" s="135">
        <f t="shared" si="14"/>
        <v>0</v>
      </c>
      <c r="O133" s="135">
        <f t="shared" si="14"/>
        <v>0</v>
      </c>
      <c r="P133" s="135">
        <f t="shared" si="14"/>
        <v>0</v>
      </c>
      <c r="Q133" s="135">
        <f t="shared" si="14"/>
        <v>0</v>
      </c>
      <c r="R133" s="135">
        <f t="shared" si="14"/>
        <v>0</v>
      </c>
      <c r="S133" s="135">
        <f t="shared" si="14"/>
        <v>0</v>
      </c>
      <c r="T133" s="135">
        <f t="shared" si="14"/>
        <v>0</v>
      </c>
      <c r="U133" s="135">
        <f t="shared" si="14"/>
        <v>0</v>
      </c>
      <c r="V133" s="136">
        <f t="shared" si="14"/>
        <v>0</v>
      </c>
      <c r="W133" s="136">
        <f t="shared" si="14"/>
        <v>0</v>
      </c>
      <c r="X133" s="136">
        <f t="shared" si="14"/>
        <v>0</v>
      </c>
      <c r="Y133" s="136">
        <f t="shared" si="14"/>
        <v>0</v>
      </c>
      <c r="Z133" s="136">
        <f t="shared" si="14"/>
        <v>0.75136612021857918</v>
      </c>
      <c r="AA133" s="136">
        <f t="shared" si="14"/>
        <v>1.7513661202185791</v>
      </c>
      <c r="AB133" s="136">
        <f t="shared" si="14"/>
        <v>2.7513661202185791</v>
      </c>
      <c r="AC133" s="136">
        <f t="shared" si="14"/>
        <v>3.7513661202185791</v>
      </c>
      <c r="AD133" s="136">
        <f t="shared" si="14"/>
        <v>4.7513661202185791</v>
      </c>
      <c r="AE133" s="136">
        <f t="shared" si="14"/>
        <v>5.7513661202185791</v>
      </c>
      <c r="AF133" s="136">
        <f t="shared" si="14"/>
        <v>6.7513661202185791</v>
      </c>
      <c r="AG133" s="136">
        <f t="shared" si="14"/>
        <v>7.7513661202185791</v>
      </c>
      <c r="AH133" s="136">
        <f t="shared" si="14"/>
        <v>8.7513661202185791</v>
      </c>
      <c r="AI133" s="136">
        <f t="shared" si="14"/>
        <v>9.7513661202185791</v>
      </c>
      <c r="AJ133" s="136">
        <f t="shared" si="14"/>
        <v>10.751366120218579</v>
      </c>
      <c r="AK133" s="136">
        <f t="shared" si="14"/>
        <v>11.751366120218579</v>
      </c>
      <c r="AL133" s="136">
        <f t="shared" si="14"/>
        <v>12.751366120218579</v>
      </c>
      <c r="AM133" s="136">
        <f t="shared" si="14"/>
        <v>13.751366120218579</v>
      </c>
      <c r="AN133" s="136">
        <f t="shared" si="14"/>
        <v>14.751366120218579</v>
      </c>
      <c r="AO133" s="136">
        <f t="shared" si="14"/>
        <v>15.751366120218579</v>
      </c>
      <c r="AP133" s="136">
        <f t="shared" si="14"/>
        <v>16.751366120218577</v>
      </c>
      <c r="AQ133" s="135">
        <f t="shared" si="14"/>
        <v>17.751366120218577</v>
      </c>
      <c r="AR133" s="135">
        <f t="shared" si="14"/>
        <v>18.751366120218577</v>
      </c>
      <c r="AS133" s="135">
        <f t="shared" si="14"/>
        <v>19.751366120218577</v>
      </c>
      <c r="AT133" s="135">
        <f t="shared" si="14"/>
        <v>20.751366120218577</v>
      </c>
      <c r="AU133" s="135">
        <f t="shared" si="14"/>
        <v>21.751366120218577</v>
      </c>
      <c r="AV133" s="135">
        <f t="shared" si="14"/>
        <v>22.751366120218577</v>
      </c>
      <c r="AW133" s="135">
        <f t="shared" si="14"/>
        <v>23.247256531177481</v>
      </c>
      <c r="AX133" s="135">
        <f t="shared" si="14"/>
        <v>0</v>
      </c>
    </row>
    <row r="134" spans="1:50" ht="15" customHeight="1">
      <c r="A134" s="27"/>
      <c r="B134" s="26"/>
      <c r="C134" s="26"/>
      <c r="D134" s="26"/>
      <c r="E134" s="13" t="s">
        <v>225</v>
      </c>
      <c r="G134" s="26" t="s">
        <v>111</v>
      </c>
      <c r="H134" s="26"/>
      <c r="I134" s="26"/>
      <c r="J134" s="107"/>
      <c r="K134" s="137"/>
      <c r="L134" s="137"/>
      <c r="M134" s="137"/>
      <c r="N134" s="137"/>
      <c r="O134" s="137"/>
      <c r="P134" s="137"/>
      <c r="Q134" s="137"/>
      <c r="R134" s="137"/>
      <c r="S134" s="137"/>
      <c r="T134" s="137"/>
      <c r="U134" s="137"/>
      <c r="V134" s="109">
        <v>1.8187382837073121E-2</v>
      </c>
      <c r="W134" s="109">
        <v>2.8158208409331448E-2</v>
      </c>
      <c r="X134" s="109">
        <v>3.0728928137965909E-2</v>
      </c>
      <c r="Y134" s="109">
        <v>3.3537695981637236E-2</v>
      </c>
      <c r="Z134" s="109">
        <v>3.5504901307687353E-2</v>
      </c>
      <c r="AA134" s="109">
        <v>3.6278363736629134E-2</v>
      </c>
      <c r="AB134" s="109">
        <v>3.0181413338990971E-2</v>
      </c>
      <c r="AC134" s="109">
        <v>4.1687961985932546E-2</v>
      </c>
      <c r="AD134" s="109">
        <v>4.6001116676762835E-2</v>
      </c>
      <c r="AE134" s="109">
        <v>4.96377340137387E-2</v>
      </c>
      <c r="AF134" s="109">
        <v>5.2081453254757923E-2</v>
      </c>
      <c r="AG134" s="109">
        <v>5.602175857356128E-2</v>
      </c>
      <c r="AH134" s="109">
        <v>6.018952346268442E-2</v>
      </c>
      <c r="AI134" s="109">
        <v>6.4553103902805012E-2</v>
      </c>
      <c r="AJ134" s="109">
        <v>1.54908217126913E-2</v>
      </c>
      <c r="AK134" s="109">
        <v>6.6385035153888564E-2</v>
      </c>
      <c r="AL134" s="109">
        <v>7.6018678724294603E-2</v>
      </c>
      <c r="AM134" s="109">
        <v>8.1115350233064293E-2</v>
      </c>
      <c r="AN134" s="109">
        <v>8.6381958505597489E-2</v>
      </c>
      <c r="AO134" s="109">
        <v>9.1858610050905704E-2</v>
      </c>
      <c r="AP134" s="137"/>
      <c r="AQ134" s="137"/>
      <c r="AR134" s="137"/>
      <c r="AS134" s="137"/>
      <c r="AT134" s="137"/>
      <c r="AU134" s="137"/>
      <c r="AV134" s="137"/>
      <c r="AW134" s="137"/>
      <c r="AX134" s="137"/>
    </row>
    <row r="135" spans="1:50" ht="15" customHeight="1">
      <c r="A135" s="27"/>
      <c r="B135" s="26"/>
      <c r="C135" s="26"/>
      <c r="D135" s="26"/>
      <c r="E135" s="26"/>
      <c r="F135" s="26"/>
      <c r="G135" s="26"/>
      <c r="H135" s="26"/>
      <c r="I135" s="26"/>
      <c r="J135" s="107"/>
      <c r="K135" s="26"/>
      <c r="L135" s="26"/>
      <c r="M135" s="26"/>
      <c r="N135" s="26"/>
      <c r="O135" s="26"/>
      <c r="P135" s="107"/>
      <c r="Q135" s="107"/>
      <c r="R135" s="107"/>
      <c r="S135" s="26"/>
      <c r="T135" s="26"/>
      <c r="U135" s="26"/>
      <c r="V135" s="26"/>
      <c r="W135" s="26"/>
      <c r="X135" s="26"/>
      <c r="Y135" s="26"/>
      <c r="Z135" s="26"/>
      <c r="AA135" s="107"/>
      <c r="AB135" s="107"/>
      <c r="AC135" s="107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</row>
    <row r="136" spans="1:50" ht="15" customHeight="1">
      <c r="A136" s="27"/>
      <c r="B136" s="26"/>
      <c r="C136" s="26"/>
      <c r="D136" s="26"/>
      <c r="E136" s="13" t="s">
        <v>226</v>
      </c>
      <c r="G136" s="26" t="s">
        <v>188</v>
      </c>
      <c r="H136" s="26"/>
      <c r="I136" s="26"/>
      <c r="J136" s="107"/>
      <c r="K136" s="137"/>
      <c r="L136" s="137"/>
      <c r="M136" s="137"/>
      <c r="N136" s="137"/>
      <c r="O136" s="137"/>
      <c r="P136" s="137"/>
      <c r="Q136" s="137"/>
      <c r="R136" s="137"/>
      <c r="S136" s="137"/>
      <c r="T136" s="137"/>
      <c r="U136" s="137"/>
      <c r="V136" s="109">
        <v>1.7999999999999999E-2</v>
      </c>
      <c r="W136" s="109">
        <v>1.7999999999999999E-2</v>
      </c>
      <c r="X136" s="109">
        <v>1.7999999999999999E-2</v>
      </c>
      <c r="Y136" s="109">
        <v>1.7999999999999999E-2</v>
      </c>
      <c r="Z136" s="109">
        <v>1.7999999999999999E-2</v>
      </c>
      <c r="AA136" s="109">
        <v>0.02</v>
      </c>
      <c r="AB136" s="109">
        <v>0.02</v>
      </c>
      <c r="AC136" s="109">
        <v>0.02</v>
      </c>
      <c r="AD136" s="109">
        <v>0.02</v>
      </c>
      <c r="AE136" s="109">
        <v>0.02</v>
      </c>
      <c r="AF136" s="109">
        <v>2.1999999999999999E-2</v>
      </c>
      <c r="AG136" s="109">
        <v>2.1999999999999999E-2</v>
      </c>
      <c r="AH136" s="109">
        <v>2.1999999999999999E-2</v>
      </c>
      <c r="AI136" s="109">
        <v>2.1999999999999999E-2</v>
      </c>
      <c r="AJ136" s="109">
        <v>2.1999999999999999E-2</v>
      </c>
      <c r="AK136" s="109">
        <v>2.4E-2</v>
      </c>
      <c r="AL136" s="109">
        <v>2.4E-2</v>
      </c>
      <c r="AM136" s="109">
        <v>2.4E-2</v>
      </c>
      <c r="AN136" s="109">
        <v>2.4E-2</v>
      </c>
      <c r="AO136" s="109">
        <v>2.4E-2</v>
      </c>
      <c r="AP136" s="137"/>
      <c r="AQ136" s="137"/>
      <c r="AR136" s="137"/>
      <c r="AS136" s="137"/>
      <c r="AT136" s="137"/>
      <c r="AU136" s="137"/>
      <c r="AV136" s="137"/>
      <c r="AW136" s="137"/>
      <c r="AX136" s="137"/>
    </row>
    <row r="137" spans="1:50" ht="15" customHeight="1">
      <c r="A137" s="27"/>
      <c r="B137" s="26"/>
      <c r="C137" s="26"/>
      <c r="D137" s="26"/>
      <c r="E137" s="13" t="s">
        <v>227</v>
      </c>
      <c r="G137" s="26" t="s">
        <v>188</v>
      </c>
      <c r="H137" s="26"/>
      <c r="I137" s="26"/>
      <c r="J137" s="107"/>
      <c r="K137" s="137"/>
      <c r="L137" s="137"/>
      <c r="M137" s="137"/>
      <c r="N137" s="137"/>
      <c r="O137" s="137"/>
      <c r="P137" s="137"/>
      <c r="Q137" s="137"/>
      <c r="R137" s="137"/>
      <c r="S137" s="137"/>
      <c r="T137" s="137"/>
      <c r="U137" s="137"/>
      <c r="V137" s="109">
        <v>1.7999999999999999E-2</v>
      </c>
      <c r="W137" s="109">
        <v>1.7999999999999999E-2</v>
      </c>
      <c r="X137" s="109">
        <v>1.7999999999999999E-2</v>
      </c>
      <c r="Y137" s="109">
        <v>1.7999999999999999E-2</v>
      </c>
      <c r="Z137" s="109">
        <v>1.7999999999999999E-2</v>
      </c>
      <c r="AA137" s="109">
        <v>0.02</v>
      </c>
      <c r="AB137" s="109">
        <v>0.02</v>
      </c>
      <c r="AC137" s="109">
        <v>0.02</v>
      </c>
      <c r="AD137" s="109">
        <v>0.02</v>
      </c>
      <c r="AE137" s="109">
        <v>0.02</v>
      </c>
      <c r="AF137" s="109">
        <v>2.1999999999999999E-2</v>
      </c>
      <c r="AG137" s="109">
        <v>2.1999999999999999E-2</v>
      </c>
      <c r="AH137" s="109">
        <v>2.1999999999999999E-2</v>
      </c>
      <c r="AI137" s="109">
        <v>2.1999999999999999E-2</v>
      </c>
      <c r="AJ137" s="109">
        <v>2.1999999999999999E-2</v>
      </c>
      <c r="AK137" s="109">
        <v>2.4E-2</v>
      </c>
      <c r="AL137" s="109">
        <v>2.4E-2</v>
      </c>
      <c r="AM137" s="109">
        <v>2.4E-2</v>
      </c>
      <c r="AN137" s="109">
        <v>2.4E-2</v>
      </c>
      <c r="AO137" s="109">
        <v>2.4E-2</v>
      </c>
      <c r="AP137" s="137"/>
      <c r="AQ137" s="137"/>
      <c r="AR137" s="137"/>
      <c r="AS137" s="137"/>
      <c r="AT137" s="137"/>
      <c r="AU137" s="137"/>
      <c r="AV137" s="137"/>
      <c r="AW137" s="137"/>
      <c r="AX137" s="137"/>
    </row>
    <row r="138" spans="1:50" ht="15" customHeight="1">
      <c r="A138" s="27"/>
      <c r="B138" s="26"/>
      <c r="C138" s="26"/>
      <c r="D138" s="26"/>
      <c r="E138" s="13" t="s">
        <v>228</v>
      </c>
      <c r="G138" s="26" t="s">
        <v>188</v>
      </c>
      <c r="H138" s="26"/>
      <c r="I138" s="26"/>
      <c r="J138" s="107"/>
      <c r="K138" s="137"/>
      <c r="L138" s="137"/>
      <c r="M138" s="137"/>
      <c r="N138" s="137"/>
      <c r="O138" s="137"/>
      <c r="P138" s="137"/>
      <c r="Q138" s="137"/>
      <c r="R138" s="137"/>
      <c r="S138" s="137"/>
      <c r="T138" s="137"/>
      <c r="U138" s="137"/>
      <c r="V138" s="109">
        <v>1.7999999999999999E-2</v>
      </c>
      <c r="W138" s="109">
        <v>1.7999999999999999E-2</v>
      </c>
      <c r="X138" s="109">
        <v>1.7999999999999999E-2</v>
      </c>
      <c r="Y138" s="109">
        <v>1.7999999999999999E-2</v>
      </c>
      <c r="Z138" s="109">
        <v>1.7999999999999999E-2</v>
      </c>
      <c r="AA138" s="109">
        <v>0.02</v>
      </c>
      <c r="AB138" s="109">
        <v>0.02</v>
      </c>
      <c r="AC138" s="109">
        <v>0.02</v>
      </c>
      <c r="AD138" s="109">
        <v>0.02</v>
      </c>
      <c r="AE138" s="109">
        <v>0.02</v>
      </c>
      <c r="AF138" s="109">
        <v>2.1999999999999999E-2</v>
      </c>
      <c r="AG138" s="109">
        <v>2.1999999999999999E-2</v>
      </c>
      <c r="AH138" s="109">
        <v>2.1999999999999999E-2</v>
      </c>
      <c r="AI138" s="109">
        <v>2.1999999999999999E-2</v>
      </c>
      <c r="AJ138" s="109">
        <v>2.1999999999999999E-2</v>
      </c>
      <c r="AK138" s="109">
        <v>2.4E-2</v>
      </c>
      <c r="AL138" s="109">
        <v>2.4E-2</v>
      </c>
      <c r="AM138" s="109">
        <v>2.4E-2</v>
      </c>
      <c r="AN138" s="109">
        <v>2.4E-2</v>
      </c>
      <c r="AO138" s="109">
        <v>2.4E-2</v>
      </c>
      <c r="AP138" s="137"/>
      <c r="AQ138" s="137"/>
      <c r="AR138" s="137"/>
      <c r="AS138" s="137"/>
      <c r="AT138" s="137"/>
      <c r="AU138" s="137"/>
      <c r="AV138" s="137"/>
      <c r="AW138" s="137"/>
      <c r="AX138" s="137"/>
    </row>
    <row r="139" spans="1:50" ht="15" customHeight="1">
      <c r="A139" s="27"/>
      <c r="B139" s="26"/>
      <c r="C139" s="26"/>
      <c r="D139" s="26"/>
      <c r="E139" s="13" t="s">
        <v>229</v>
      </c>
      <c r="G139" s="26" t="s">
        <v>188</v>
      </c>
      <c r="H139" s="26"/>
      <c r="I139" s="26"/>
      <c r="J139" s="107"/>
      <c r="K139" s="137"/>
      <c r="L139" s="137"/>
      <c r="M139" s="137"/>
      <c r="N139" s="137"/>
      <c r="O139" s="137"/>
      <c r="P139" s="137"/>
      <c r="Q139" s="137"/>
      <c r="R139" s="137"/>
      <c r="S139" s="137"/>
      <c r="T139" s="137"/>
      <c r="U139" s="137"/>
      <c r="V139" s="109">
        <v>1.7999999999999999E-2</v>
      </c>
      <c r="W139" s="109">
        <v>1.7999999999999999E-2</v>
      </c>
      <c r="X139" s="109">
        <v>1.7999999999999999E-2</v>
      </c>
      <c r="Y139" s="109">
        <v>1.7999999999999999E-2</v>
      </c>
      <c r="Z139" s="109">
        <v>1.7999999999999999E-2</v>
      </c>
      <c r="AA139" s="109">
        <v>0.02</v>
      </c>
      <c r="AB139" s="109">
        <v>0.02</v>
      </c>
      <c r="AC139" s="109">
        <v>0.02</v>
      </c>
      <c r="AD139" s="109">
        <v>0.02</v>
      </c>
      <c r="AE139" s="109">
        <v>0.02</v>
      </c>
      <c r="AF139" s="109">
        <v>2.1999999999999999E-2</v>
      </c>
      <c r="AG139" s="109">
        <v>2.1999999999999999E-2</v>
      </c>
      <c r="AH139" s="109">
        <v>2.1999999999999999E-2</v>
      </c>
      <c r="AI139" s="109">
        <v>2.1999999999999999E-2</v>
      </c>
      <c r="AJ139" s="109">
        <v>2.1999999999999999E-2</v>
      </c>
      <c r="AK139" s="109">
        <v>2.4E-2</v>
      </c>
      <c r="AL139" s="109">
        <v>2.4E-2</v>
      </c>
      <c r="AM139" s="109">
        <v>2.4E-2</v>
      </c>
      <c r="AN139" s="109">
        <v>2.4E-2</v>
      </c>
      <c r="AO139" s="109">
        <v>2.4E-2</v>
      </c>
      <c r="AP139" s="137"/>
      <c r="AQ139" s="137"/>
      <c r="AR139" s="137"/>
      <c r="AS139" s="137"/>
      <c r="AT139" s="137"/>
      <c r="AU139" s="137"/>
      <c r="AV139" s="137"/>
      <c r="AW139" s="137"/>
      <c r="AX139" s="137"/>
    </row>
    <row r="140" spans="1:50" ht="15" customHeight="1">
      <c r="A140" s="27"/>
      <c r="B140" s="26"/>
      <c r="C140" s="26"/>
      <c r="D140" s="26"/>
      <c r="E140" s="13" t="s">
        <v>230</v>
      </c>
      <c r="G140" s="26" t="s">
        <v>188</v>
      </c>
      <c r="H140" s="26"/>
      <c r="I140" s="26"/>
      <c r="J140" s="107"/>
      <c r="K140" s="137"/>
      <c r="L140" s="137"/>
      <c r="M140" s="137"/>
      <c r="N140" s="137"/>
      <c r="O140" s="137"/>
      <c r="P140" s="137"/>
      <c r="Q140" s="137"/>
      <c r="R140" s="137"/>
      <c r="S140" s="137"/>
      <c r="T140" s="137"/>
      <c r="U140" s="137"/>
      <c r="V140" s="109">
        <v>1.2999999999999999E-2</v>
      </c>
      <c r="W140" s="109">
        <v>1.7999999999999999E-2</v>
      </c>
      <c r="X140" s="109">
        <v>1.7999999999999999E-2</v>
      </c>
      <c r="Y140" s="109">
        <v>1.7999999999999999E-2</v>
      </c>
      <c r="Z140" s="109">
        <v>1.7999999999999999E-2</v>
      </c>
      <c r="AA140" s="109">
        <v>0.02</v>
      </c>
      <c r="AB140" s="109">
        <v>0.02</v>
      </c>
      <c r="AC140" s="109">
        <v>0.02</v>
      </c>
      <c r="AD140" s="109">
        <v>0.02</v>
      </c>
      <c r="AE140" s="109">
        <v>0.02</v>
      </c>
      <c r="AF140" s="109">
        <v>2.1999999999999999E-2</v>
      </c>
      <c r="AG140" s="109">
        <v>2.1999999999999999E-2</v>
      </c>
      <c r="AH140" s="109">
        <v>2.1999999999999999E-2</v>
      </c>
      <c r="AI140" s="109">
        <v>2.1999999999999999E-2</v>
      </c>
      <c r="AJ140" s="109">
        <v>2.1999999999999999E-2</v>
      </c>
      <c r="AK140" s="109">
        <v>2.4E-2</v>
      </c>
      <c r="AL140" s="109">
        <v>2.4E-2</v>
      </c>
      <c r="AM140" s="109">
        <v>2.4E-2</v>
      </c>
      <c r="AN140" s="109">
        <v>2.4E-2</v>
      </c>
      <c r="AO140" s="109">
        <v>2.4E-2</v>
      </c>
      <c r="AP140" s="137"/>
      <c r="AQ140" s="137"/>
      <c r="AR140" s="137"/>
      <c r="AS140" s="137"/>
      <c r="AT140" s="137"/>
      <c r="AU140" s="137"/>
      <c r="AV140" s="137"/>
      <c r="AW140" s="137"/>
      <c r="AX140" s="137"/>
    </row>
    <row r="141" spans="1:50" ht="15" customHeight="1">
      <c r="A141" s="27"/>
      <c r="B141" s="26"/>
      <c r="C141" s="26"/>
      <c r="D141" s="26"/>
      <c r="E141" s="13" t="s">
        <v>231</v>
      </c>
      <c r="G141" s="26" t="s">
        <v>188</v>
      </c>
      <c r="H141" s="26"/>
      <c r="I141" s="26"/>
      <c r="J141" s="107"/>
      <c r="K141" s="137"/>
      <c r="L141" s="137"/>
      <c r="M141" s="137"/>
      <c r="N141" s="137"/>
      <c r="O141" s="137"/>
      <c r="P141" s="137"/>
      <c r="Q141" s="137"/>
      <c r="R141" s="137"/>
      <c r="S141" s="137"/>
      <c r="T141" s="137"/>
      <c r="U141" s="137"/>
      <c r="V141" s="109">
        <v>1.7999999999999999E-2</v>
      </c>
      <c r="W141" s="109">
        <v>1.2999999999999999E-2</v>
      </c>
      <c r="X141" s="109">
        <v>1.2999999999999999E-2</v>
      </c>
      <c r="Y141" s="109">
        <v>1.2999999999999999E-2</v>
      </c>
      <c r="Z141" s="109">
        <v>1.2999999999999999E-2</v>
      </c>
      <c r="AA141" s="109">
        <v>1.2999999999999999E-2</v>
      </c>
      <c r="AB141" s="109">
        <v>1.2999999999999999E-2</v>
      </c>
      <c r="AC141" s="109">
        <v>1.2999999999999999E-2</v>
      </c>
      <c r="AD141" s="109">
        <v>1.2999999999999999E-2</v>
      </c>
      <c r="AE141" s="109">
        <v>1.2999999999999999E-2</v>
      </c>
      <c r="AF141" s="109">
        <v>1.2999999999999999E-2</v>
      </c>
      <c r="AG141" s="109">
        <v>1.2999999999999999E-2</v>
      </c>
      <c r="AH141" s="109">
        <v>1.2999999999999999E-2</v>
      </c>
      <c r="AI141" s="109">
        <v>1.2999999999999999E-2</v>
      </c>
      <c r="AJ141" s="109">
        <v>1.2999999999999999E-2</v>
      </c>
      <c r="AK141" s="109">
        <v>1.2999999999999999E-2</v>
      </c>
      <c r="AL141" s="109">
        <v>1.2999999999999999E-2</v>
      </c>
      <c r="AM141" s="109">
        <v>1.2999999999999999E-2</v>
      </c>
      <c r="AN141" s="109">
        <v>1.2999999999999999E-2</v>
      </c>
      <c r="AO141" s="109">
        <v>1.2999999999999999E-2</v>
      </c>
      <c r="AP141" s="137"/>
      <c r="AQ141" s="137"/>
      <c r="AR141" s="137"/>
      <c r="AS141" s="137"/>
      <c r="AT141" s="137"/>
      <c r="AU141" s="137"/>
      <c r="AV141" s="137"/>
      <c r="AW141" s="137"/>
      <c r="AX141" s="137"/>
    </row>
    <row r="142" spans="1:50" ht="15" customHeight="1">
      <c r="A142" s="27"/>
      <c r="B142" s="26"/>
      <c r="C142" s="26"/>
      <c r="D142" s="26"/>
      <c r="E142" s="26"/>
      <c r="F142" s="26"/>
      <c r="G142" s="26"/>
      <c r="H142" s="26"/>
      <c r="I142" s="26"/>
      <c r="J142" s="107"/>
      <c r="K142" s="26"/>
      <c r="L142" s="26"/>
      <c r="M142" s="26"/>
      <c r="N142" s="26"/>
      <c r="O142" s="26"/>
      <c r="P142" s="107"/>
      <c r="Q142" s="107"/>
      <c r="R142" s="107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</row>
    <row r="143" spans="1:50" ht="15" customHeight="1">
      <c r="A143" s="26"/>
      <c r="B143" s="26"/>
      <c r="C143" s="67" t="s">
        <v>232</v>
      </c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  <c r="AA143" s="67"/>
      <c r="AB143" s="67"/>
      <c r="AC143" s="67"/>
      <c r="AD143" s="67"/>
      <c r="AE143" s="67"/>
      <c r="AF143" s="67"/>
      <c r="AG143" s="67"/>
      <c r="AH143" s="67"/>
      <c r="AI143" s="67"/>
      <c r="AJ143" s="67"/>
      <c r="AK143" s="67"/>
      <c r="AL143" s="67"/>
      <c r="AM143" s="67"/>
      <c r="AN143" s="67"/>
      <c r="AO143" s="67"/>
      <c r="AP143" s="67"/>
      <c r="AQ143" s="67"/>
      <c r="AR143" s="67"/>
      <c r="AS143" s="67"/>
      <c r="AT143" s="67"/>
      <c r="AU143" s="67"/>
      <c r="AV143" s="67"/>
      <c r="AW143" s="67"/>
      <c r="AX143" s="67"/>
    </row>
    <row r="144" spans="1:50" ht="15" customHeight="1">
      <c r="A144" s="26"/>
      <c r="B144" s="26"/>
      <c r="C144" s="122"/>
      <c r="D144" s="16"/>
      <c r="E144" s="16"/>
      <c r="F144" s="16"/>
      <c r="G144" s="16"/>
      <c r="H144" s="16"/>
      <c r="I144" s="16"/>
      <c r="J144" s="16"/>
      <c r="K144" s="138"/>
      <c r="L144" s="138"/>
      <c r="M144" s="138"/>
      <c r="N144" s="138"/>
      <c r="O144" s="138"/>
      <c r="P144" s="138"/>
      <c r="Q144" s="138"/>
      <c r="R144" s="138"/>
      <c r="S144" s="138"/>
      <c r="T144" s="138"/>
      <c r="U144" s="138"/>
      <c r="V144" s="138"/>
      <c r="W144" s="138"/>
      <c r="X144" s="138"/>
      <c r="Y144" s="138"/>
      <c r="Z144" s="138"/>
      <c r="AA144" s="138"/>
      <c r="AB144" s="138"/>
      <c r="AC144" s="138"/>
      <c r="AD144" s="138"/>
      <c r="AE144" s="138"/>
      <c r="AF144" s="138"/>
      <c r="AG144" s="138"/>
      <c r="AH144" s="138"/>
      <c r="AI144" s="138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</row>
    <row r="145" spans="1:50" ht="15" customHeight="1">
      <c r="A145" s="68"/>
      <c r="B145" s="68"/>
      <c r="C145" s="68"/>
      <c r="D145" s="68"/>
      <c r="E145" s="69" t="s">
        <v>119</v>
      </c>
      <c r="F145" s="70"/>
      <c r="G145" s="70"/>
      <c r="H145" s="70"/>
      <c r="I145" s="70"/>
      <c r="J145" s="68"/>
      <c r="K145" s="131">
        <f>$I$148</f>
        <v>41275</v>
      </c>
      <c r="L145" s="72">
        <f t="shared" ref="L145:AX145" si="15">+K146+1</f>
        <v>41640</v>
      </c>
      <c r="M145" s="72">
        <f t="shared" si="15"/>
        <v>42005</v>
      </c>
      <c r="N145" s="72">
        <f t="shared" si="15"/>
        <v>42370</v>
      </c>
      <c r="O145" s="72">
        <f t="shared" si="15"/>
        <v>42736</v>
      </c>
      <c r="P145" s="72">
        <f t="shared" si="15"/>
        <v>43101</v>
      </c>
      <c r="Q145" s="72">
        <f t="shared" si="15"/>
        <v>43466</v>
      </c>
      <c r="R145" s="72">
        <f t="shared" si="15"/>
        <v>43831</v>
      </c>
      <c r="S145" s="72">
        <f t="shared" si="15"/>
        <v>44197</v>
      </c>
      <c r="T145" s="72">
        <f t="shared" si="15"/>
        <v>44562</v>
      </c>
      <c r="U145" s="72">
        <f t="shared" si="15"/>
        <v>44927</v>
      </c>
      <c r="V145" s="72">
        <f t="shared" si="15"/>
        <v>45292</v>
      </c>
      <c r="W145" s="72">
        <f t="shared" si="15"/>
        <v>45658</v>
      </c>
      <c r="X145" s="72">
        <f t="shared" si="15"/>
        <v>46023</v>
      </c>
      <c r="Y145" s="72">
        <f t="shared" si="15"/>
        <v>46388</v>
      </c>
      <c r="Z145" s="72">
        <f t="shared" si="15"/>
        <v>46753</v>
      </c>
      <c r="AA145" s="72">
        <f t="shared" si="15"/>
        <v>47119</v>
      </c>
      <c r="AB145" s="72">
        <f t="shared" si="15"/>
        <v>47484</v>
      </c>
      <c r="AC145" s="72">
        <f t="shared" si="15"/>
        <v>47849</v>
      </c>
      <c r="AD145" s="72">
        <f t="shared" si="15"/>
        <v>48214</v>
      </c>
      <c r="AE145" s="72">
        <f t="shared" si="15"/>
        <v>48580</v>
      </c>
      <c r="AF145" s="72">
        <f t="shared" si="15"/>
        <v>48945</v>
      </c>
      <c r="AG145" s="72">
        <f t="shared" si="15"/>
        <v>49310</v>
      </c>
      <c r="AH145" s="72">
        <f t="shared" si="15"/>
        <v>49675</v>
      </c>
      <c r="AI145" s="72">
        <f t="shared" si="15"/>
        <v>50041</v>
      </c>
      <c r="AJ145" s="72">
        <f t="shared" si="15"/>
        <v>50406</v>
      </c>
      <c r="AK145" s="72">
        <f t="shared" si="15"/>
        <v>50771</v>
      </c>
      <c r="AL145" s="72">
        <f t="shared" si="15"/>
        <v>51136</v>
      </c>
      <c r="AM145" s="72">
        <f t="shared" si="15"/>
        <v>51502</v>
      </c>
      <c r="AN145" s="72">
        <f t="shared" si="15"/>
        <v>51867</v>
      </c>
      <c r="AO145" s="72">
        <f t="shared" si="15"/>
        <v>52232</v>
      </c>
      <c r="AP145" s="72">
        <f t="shared" si="15"/>
        <v>52597</v>
      </c>
      <c r="AQ145" s="72">
        <f t="shared" si="15"/>
        <v>52963</v>
      </c>
      <c r="AR145" s="72">
        <f t="shared" si="15"/>
        <v>53328</v>
      </c>
      <c r="AS145" s="72">
        <f t="shared" si="15"/>
        <v>53693</v>
      </c>
      <c r="AT145" s="72">
        <f t="shared" si="15"/>
        <v>54058</v>
      </c>
      <c r="AU145" s="72">
        <f t="shared" si="15"/>
        <v>54424</v>
      </c>
      <c r="AV145" s="72">
        <f t="shared" si="15"/>
        <v>54789</v>
      </c>
      <c r="AW145" s="72">
        <f t="shared" si="15"/>
        <v>55154</v>
      </c>
      <c r="AX145" s="72">
        <f t="shared" si="15"/>
        <v>55519</v>
      </c>
    </row>
    <row r="146" spans="1:50" ht="15" customHeight="1">
      <c r="A146" s="73"/>
      <c r="B146" s="73"/>
      <c r="C146" s="73"/>
      <c r="D146" s="73"/>
      <c r="E146" s="69" t="s">
        <v>120</v>
      </c>
      <c r="F146" s="73"/>
      <c r="G146" s="73"/>
      <c r="H146" s="73"/>
      <c r="I146" s="74"/>
      <c r="J146" s="73"/>
      <c r="K146" s="131">
        <f>EOMONTH(K145,11)</f>
        <v>41639</v>
      </c>
      <c r="L146" s="72">
        <f t="shared" ref="L146:AX146" si="16">DATE(YEAR(K146) + 1, MONTH(K146), DAY(K146))</f>
        <v>42004</v>
      </c>
      <c r="M146" s="72">
        <f t="shared" si="16"/>
        <v>42369</v>
      </c>
      <c r="N146" s="72">
        <f t="shared" si="16"/>
        <v>42735</v>
      </c>
      <c r="O146" s="72">
        <f t="shared" si="16"/>
        <v>43100</v>
      </c>
      <c r="P146" s="72">
        <f t="shared" si="16"/>
        <v>43465</v>
      </c>
      <c r="Q146" s="72">
        <f t="shared" si="16"/>
        <v>43830</v>
      </c>
      <c r="R146" s="72">
        <f t="shared" si="16"/>
        <v>44196</v>
      </c>
      <c r="S146" s="72">
        <f t="shared" si="16"/>
        <v>44561</v>
      </c>
      <c r="T146" s="72">
        <f t="shared" si="16"/>
        <v>44926</v>
      </c>
      <c r="U146" s="72">
        <f t="shared" si="16"/>
        <v>45291</v>
      </c>
      <c r="V146" s="72">
        <f t="shared" si="16"/>
        <v>45657</v>
      </c>
      <c r="W146" s="72">
        <f t="shared" si="16"/>
        <v>46022</v>
      </c>
      <c r="X146" s="72">
        <f t="shared" si="16"/>
        <v>46387</v>
      </c>
      <c r="Y146" s="72">
        <f t="shared" si="16"/>
        <v>46752</v>
      </c>
      <c r="Z146" s="72">
        <f t="shared" si="16"/>
        <v>47118</v>
      </c>
      <c r="AA146" s="72">
        <f t="shared" si="16"/>
        <v>47483</v>
      </c>
      <c r="AB146" s="72">
        <f t="shared" si="16"/>
        <v>47848</v>
      </c>
      <c r="AC146" s="72">
        <f t="shared" si="16"/>
        <v>48213</v>
      </c>
      <c r="AD146" s="72">
        <f t="shared" si="16"/>
        <v>48579</v>
      </c>
      <c r="AE146" s="72">
        <f t="shared" si="16"/>
        <v>48944</v>
      </c>
      <c r="AF146" s="72">
        <f t="shared" si="16"/>
        <v>49309</v>
      </c>
      <c r="AG146" s="72">
        <f t="shared" si="16"/>
        <v>49674</v>
      </c>
      <c r="AH146" s="72">
        <f t="shared" si="16"/>
        <v>50040</v>
      </c>
      <c r="AI146" s="72">
        <f t="shared" si="16"/>
        <v>50405</v>
      </c>
      <c r="AJ146" s="72">
        <f t="shared" si="16"/>
        <v>50770</v>
      </c>
      <c r="AK146" s="72">
        <f t="shared" si="16"/>
        <v>51135</v>
      </c>
      <c r="AL146" s="72">
        <f t="shared" si="16"/>
        <v>51501</v>
      </c>
      <c r="AM146" s="72">
        <f t="shared" si="16"/>
        <v>51866</v>
      </c>
      <c r="AN146" s="72">
        <f t="shared" si="16"/>
        <v>52231</v>
      </c>
      <c r="AO146" s="72">
        <f t="shared" si="16"/>
        <v>52596</v>
      </c>
      <c r="AP146" s="72">
        <f t="shared" si="16"/>
        <v>52962</v>
      </c>
      <c r="AQ146" s="72">
        <f t="shared" si="16"/>
        <v>53327</v>
      </c>
      <c r="AR146" s="72">
        <f t="shared" si="16"/>
        <v>53692</v>
      </c>
      <c r="AS146" s="72">
        <f t="shared" si="16"/>
        <v>54057</v>
      </c>
      <c r="AT146" s="72">
        <f t="shared" si="16"/>
        <v>54423</v>
      </c>
      <c r="AU146" s="72">
        <f t="shared" si="16"/>
        <v>54788</v>
      </c>
      <c r="AV146" s="72">
        <f t="shared" si="16"/>
        <v>55153</v>
      </c>
      <c r="AW146" s="72">
        <f t="shared" si="16"/>
        <v>55518</v>
      </c>
      <c r="AX146" s="72">
        <f t="shared" si="16"/>
        <v>55884</v>
      </c>
    </row>
    <row r="147" spans="1:50" ht="15" customHeight="1"/>
    <row r="148" spans="1:50" ht="15" customHeight="1">
      <c r="A148" s="16"/>
      <c r="B148" s="16"/>
      <c r="C148" s="16"/>
      <c r="D148" s="16"/>
      <c r="E148" s="16" t="s">
        <v>233</v>
      </c>
      <c r="F148" s="16"/>
      <c r="G148" s="16" t="s">
        <v>234</v>
      </c>
      <c r="H148" s="16"/>
      <c r="I148" s="139">
        <v>41275</v>
      </c>
      <c r="J148" s="16"/>
      <c r="K148" s="61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</row>
    <row r="149" spans="1:50" ht="15" customHeight="1">
      <c r="A149" s="16"/>
      <c r="B149" s="16"/>
      <c r="C149" s="16"/>
      <c r="D149" s="16"/>
      <c r="E149" s="16" t="s">
        <v>235</v>
      </c>
      <c r="F149" s="16"/>
      <c r="G149" s="16" t="s">
        <v>234</v>
      </c>
      <c r="H149" s="16"/>
      <c r="I149" s="139">
        <v>46844</v>
      </c>
      <c r="J149" s="16"/>
      <c r="K149" s="61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</row>
    <row r="150" spans="1:50" ht="15.65" customHeight="1">
      <c r="A150" s="16"/>
      <c r="B150" s="16"/>
      <c r="C150" s="16"/>
      <c r="D150" s="16"/>
      <c r="E150" s="16" t="s">
        <v>236</v>
      </c>
      <c r="F150" s="16"/>
      <c r="G150" s="16" t="s">
        <v>234</v>
      </c>
      <c r="H150" s="16"/>
      <c r="I150" s="140">
        <v>46843</v>
      </c>
      <c r="J150" s="16"/>
      <c r="K150" s="61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</row>
    <row r="151" spans="1:50" ht="15" customHeight="1">
      <c r="A151" s="16"/>
      <c r="B151" s="16"/>
      <c r="C151" s="16"/>
      <c r="D151" s="16"/>
      <c r="E151" s="16" t="s">
        <v>237</v>
      </c>
      <c r="F151" s="16"/>
      <c r="G151" s="16" t="s">
        <v>234</v>
      </c>
      <c r="H151" s="16"/>
      <c r="I151" s="139">
        <v>46844</v>
      </c>
      <c r="J151" s="16"/>
      <c r="K151" s="61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</row>
    <row r="152" spans="1:50" ht="15" customHeight="1">
      <c r="A152" s="16"/>
      <c r="B152" s="16"/>
      <c r="C152" s="16"/>
      <c r="D152" s="16"/>
      <c r="E152" s="16" t="s">
        <v>238</v>
      </c>
      <c r="F152" s="16"/>
      <c r="G152" s="16" t="s">
        <v>234</v>
      </c>
      <c r="H152" s="16"/>
      <c r="I152" s="120">
        <f>DATE(YEAR($I$149)+I155,MONTH($I$149),DAY($I$149))-1</f>
        <v>55974</v>
      </c>
      <c r="J152" s="16"/>
      <c r="K152" s="61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</row>
    <row r="153" spans="1:50" ht="15" customHeight="1">
      <c r="A153" s="16"/>
      <c r="B153" s="16"/>
      <c r="C153" s="16"/>
      <c r="D153" s="16"/>
      <c r="E153" s="16" t="s">
        <v>239</v>
      </c>
      <c r="F153" s="16"/>
      <c r="G153" s="16" t="s">
        <v>234</v>
      </c>
      <c r="H153" s="16"/>
      <c r="I153" s="120">
        <f>EOMONTH(I151-1,I85*12)</f>
        <v>55334</v>
      </c>
      <c r="J153" s="16"/>
      <c r="K153" s="61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</row>
    <row r="154" spans="1:50" ht="15" customHeight="1">
      <c r="A154" s="16"/>
      <c r="B154" s="16"/>
      <c r="C154" s="16"/>
      <c r="D154" s="16"/>
      <c r="E154" s="16" t="s">
        <v>240</v>
      </c>
      <c r="F154" s="16"/>
      <c r="G154" s="16" t="s">
        <v>234</v>
      </c>
      <c r="H154" s="16"/>
      <c r="I154" s="120">
        <f>MIN(EOMONTH(I151-1,(I85+I86)*12),I152)</f>
        <v>55974</v>
      </c>
      <c r="J154" s="16"/>
      <c r="K154" s="61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</row>
    <row r="155" spans="1:50" ht="15" customHeight="1">
      <c r="A155" s="16"/>
      <c r="B155" s="16"/>
      <c r="C155" s="16"/>
      <c r="D155" s="16"/>
      <c r="E155" s="16" t="s">
        <v>241</v>
      </c>
      <c r="F155" s="16"/>
      <c r="G155" s="16" t="s">
        <v>183</v>
      </c>
      <c r="H155" s="16"/>
      <c r="I155" s="115">
        <v>25</v>
      </c>
      <c r="J155" s="16"/>
      <c r="K155" s="61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</row>
    <row r="156" spans="1:50" ht="15" customHeight="1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</row>
    <row r="157" spans="1:50" ht="15" customHeight="1">
      <c r="A157" s="16"/>
      <c r="B157" s="16"/>
      <c r="C157" s="16"/>
      <c r="D157" s="16"/>
      <c r="E157" s="26" t="s">
        <v>242</v>
      </c>
      <c r="F157" s="26"/>
      <c r="G157" s="26" t="s">
        <v>243</v>
      </c>
      <c r="H157" s="26"/>
      <c r="I157" s="141" t="b">
        <f>I85&lt;=ROUND((I152-I151)/365.25,0)</f>
        <v>1</v>
      </c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</row>
    <row r="158" spans="1:50" ht="15" customHeight="1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</row>
    <row r="159" spans="1:50" ht="15" customHeight="1">
      <c r="A159" s="16"/>
      <c r="B159" s="16"/>
      <c r="C159" s="16"/>
      <c r="D159" s="16"/>
      <c r="E159" s="16" t="s">
        <v>244</v>
      </c>
      <c r="F159" s="16"/>
      <c r="G159" s="16" t="s">
        <v>245</v>
      </c>
      <c r="H159" s="16"/>
      <c r="I159" s="120"/>
      <c r="J159" s="16"/>
      <c r="K159" s="142">
        <f t="shared" ref="K159:AX159" si="17">K$146-K$145+1</f>
        <v>365</v>
      </c>
      <c r="L159" s="142">
        <f t="shared" si="17"/>
        <v>365</v>
      </c>
      <c r="M159" s="142">
        <f t="shared" si="17"/>
        <v>365</v>
      </c>
      <c r="N159" s="142">
        <f t="shared" si="17"/>
        <v>366</v>
      </c>
      <c r="O159" s="142">
        <f t="shared" si="17"/>
        <v>365</v>
      </c>
      <c r="P159" s="142">
        <f t="shared" si="17"/>
        <v>365</v>
      </c>
      <c r="Q159" s="142">
        <f t="shared" si="17"/>
        <v>365</v>
      </c>
      <c r="R159" s="142">
        <f t="shared" si="17"/>
        <v>366</v>
      </c>
      <c r="S159" s="142">
        <f t="shared" si="17"/>
        <v>365</v>
      </c>
      <c r="T159" s="142">
        <f t="shared" si="17"/>
        <v>365</v>
      </c>
      <c r="U159" s="142">
        <f t="shared" si="17"/>
        <v>365</v>
      </c>
      <c r="V159" s="142">
        <f t="shared" si="17"/>
        <v>366</v>
      </c>
      <c r="W159" s="142">
        <f t="shared" si="17"/>
        <v>365</v>
      </c>
      <c r="X159" s="142">
        <f t="shared" si="17"/>
        <v>365</v>
      </c>
      <c r="Y159" s="142">
        <f t="shared" si="17"/>
        <v>365</v>
      </c>
      <c r="Z159" s="142">
        <f t="shared" si="17"/>
        <v>366</v>
      </c>
      <c r="AA159" s="142">
        <f t="shared" si="17"/>
        <v>365</v>
      </c>
      <c r="AB159" s="142">
        <f t="shared" si="17"/>
        <v>365</v>
      </c>
      <c r="AC159" s="142">
        <f t="shared" si="17"/>
        <v>365</v>
      </c>
      <c r="AD159" s="142">
        <f t="shared" si="17"/>
        <v>366</v>
      </c>
      <c r="AE159" s="142">
        <f t="shared" si="17"/>
        <v>365</v>
      </c>
      <c r="AF159" s="142">
        <f t="shared" si="17"/>
        <v>365</v>
      </c>
      <c r="AG159" s="142">
        <f t="shared" si="17"/>
        <v>365</v>
      </c>
      <c r="AH159" s="142">
        <f t="shared" si="17"/>
        <v>366</v>
      </c>
      <c r="AI159" s="142">
        <f t="shared" si="17"/>
        <v>365</v>
      </c>
      <c r="AJ159" s="142">
        <f t="shared" si="17"/>
        <v>365</v>
      </c>
      <c r="AK159" s="142">
        <f t="shared" si="17"/>
        <v>365</v>
      </c>
      <c r="AL159" s="142">
        <f t="shared" si="17"/>
        <v>366</v>
      </c>
      <c r="AM159" s="142">
        <f t="shared" si="17"/>
        <v>365</v>
      </c>
      <c r="AN159" s="142">
        <f t="shared" si="17"/>
        <v>365</v>
      </c>
      <c r="AO159" s="142">
        <f t="shared" si="17"/>
        <v>365</v>
      </c>
      <c r="AP159" s="142">
        <f t="shared" si="17"/>
        <v>366</v>
      </c>
      <c r="AQ159" s="142">
        <f t="shared" si="17"/>
        <v>365</v>
      </c>
      <c r="AR159" s="142">
        <f t="shared" si="17"/>
        <v>365</v>
      </c>
      <c r="AS159" s="142">
        <f t="shared" si="17"/>
        <v>365</v>
      </c>
      <c r="AT159" s="142">
        <f t="shared" si="17"/>
        <v>366</v>
      </c>
      <c r="AU159" s="142">
        <f t="shared" si="17"/>
        <v>365</v>
      </c>
      <c r="AV159" s="142">
        <f t="shared" si="17"/>
        <v>365</v>
      </c>
      <c r="AW159" s="142">
        <f t="shared" si="17"/>
        <v>365</v>
      </c>
      <c r="AX159" s="142">
        <f t="shared" si="17"/>
        <v>366</v>
      </c>
    </row>
    <row r="160" spans="1:50" ht="15" customHeight="1">
      <c r="A160" s="16"/>
      <c r="B160" s="16"/>
      <c r="C160" s="16"/>
      <c r="D160" s="16"/>
      <c r="E160" s="16" t="s">
        <v>246</v>
      </c>
      <c r="F160" s="16"/>
      <c r="G160" s="16" t="s">
        <v>247</v>
      </c>
      <c r="H160" s="16"/>
      <c r="I160" s="120"/>
      <c r="J160" s="16"/>
      <c r="K160" s="143">
        <f t="shared" ref="K160:AX160" si="18">IF($I$150&gt;=K$146,1,IF($I$150&gt;=K$145,($I$150-K$145+1)/K$159,0))</f>
        <v>1</v>
      </c>
      <c r="L160" s="143">
        <f t="shared" si="18"/>
        <v>1</v>
      </c>
      <c r="M160" s="143">
        <f t="shared" si="18"/>
        <v>1</v>
      </c>
      <c r="N160" s="143">
        <f t="shared" si="18"/>
        <v>1</v>
      </c>
      <c r="O160" s="143">
        <f t="shared" si="18"/>
        <v>1</v>
      </c>
      <c r="P160" s="143">
        <f t="shared" si="18"/>
        <v>1</v>
      </c>
      <c r="Q160" s="143">
        <f t="shared" si="18"/>
        <v>1</v>
      </c>
      <c r="R160" s="143">
        <f t="shared" si="18"/>
        <v>1</v>
      </c>
      <c r="S160" s="143">
        <f t="shared" si="18"/>
        <v>1</v>
      </c>
      <c r="T160" s="143">
        <f t="shared" si="18"/>
        <v>1</v>
      </c>
      <c r="U160" s="143">
        <f t="shared" si="18"/>
        <v>1</v>
      </c>
      <c r="V160" s="143">
        <f t="shared" si="18"/>
        <v>1</v>
      </c>
      <c r="W160" s="143">
        <f t="shared" si="18"/>
        <v>1</v>
      </c>
      <c r="X160" s="143">
        <f t="shared" si="18"/>
        <v>1</v>
      </c>
      <c r="Y160" s="143">
        <f t="shared" si="18"/>
        <v>1</v>
      </c>
      <c r="Z160" s="143">
        <f t="shared" si="18"/>
        <v>0.24863387978142076</v>
      </c>
      <c r="AA160" s="143">
        <f t="shared" si="18"/>
        <v>0</v>
      </c>
      <c r="AB160" s="143">
        <f t="shared" si="18"/>
        <v>0</v>
      </c>
      <c r="AC160" s="143">
        <f t="shared" si="18"/>
        <v>0</v>
      </c>
      <c r="AD160" s="143">
        <f t="shared" si="18"/>
        <v>0</v>
      </c>
      <c r="AE160" s="143">
        <f t="shared" si="18"/>
        <v>0</v>
      </c>
      <c r="AF160" s="143">
        <f t="shared" si="18"/>
        <v>0</v>
      </c>
      <c r="AG160" s="143">
        <f t="shared" si="18"/>
        <v>0</v>
      </c>
      <c r="AH160" s="143">
        <f t="shared" si="18"/>
        <v>0</v>
      </c>
      <c r="AI160" s="143">
        <f t="shared" si="18"/>
        <v>0</v>
      </c>
      <c r="AJ160" s="143">
        <f t="shared" si="18"/>
        <v>0</v>
      </c>
      <c r="AK160" s="143">
        <f t="shared" si="18"/>
        <v>0</v>
      </c>
      <c r="AL160" s="143">
        <f t="shared" si="18"/>
        <v>0</v>
      </c>
      <c r="AM160" s="143">
        <f t="shared" si="18"/>
        <v>0</v>
      </c>
      <c r="AN160" s="143">
        <f t="shared" si="18"/>
        <v>0</v>
      </c>
      <c r="AO160" s="143">
        <f t="shared" si="18"/>
        <v>0</v>
      </c>
      <c r="AP160" s="143">
        <f t="shared" si="18"/>
        <v>0</v>
      </c>
      <c r="AQ160" s="143">
        <f t="shared" si="18"/>
        <v>0</v>
      </c>
      <c r="AR160" s="143">
        <f t="shared" si="18"/>
        <v>0</v>
      </c>
      <c r="AS160" s="143">
        <f t="shared" si="18"/>
        <v>0</v>
      </c>
      <c r="AT160" s="143">
        <f t="shared" si="18"/>
        <v>0</v>
      </c>
      <c r="AU160" s="143">
        <f t="shared" si="18"/>
        <v>0</v>
      </c>
      <c r="AV160" s="143">
        <f t="shared" si="18"/>
        <v>0</v>
      </c>
      <c r="AW160" s="143">
        <f t="shared" si="18"/>
        <v>0</v>
      </c>
      <c r="AX160" s="143">
        <f t="shared" si="18"/>
        <v>0</v>
      </c>
    </row>
    <row r="161" spans="1:50" ht="15" customHeight="1">
      <c r="A161" s="16"/>
      <c r="B161" s="16"/>
      <c r="C161" s="16"/>
      <c r="D161" s="16"/>
      <c r="E161" s="16" t="s">
        <v>248</v>
      </c>
      <c r="F161" s="16"/>
      <c r="G161" s="16" t="s">
        <v>247</v>
      </c>
      <c r="H161" s="16"/>
      <c r="I161" s="120"/>
      <c r="J161" s="16"/>
      <c r="K161" s="143">
        <f t="shared" ref="K161:AX161" si="19">IF(OR(K160=1,K162=1),0,IF($I$151&lt;K145,0,IF($I$151&lt;K146,($I$151-(MAX($I$150+1,K145)))/K159,MIN(1,(K146-$I$150)/K159))))</f>
        <v>0</v>
      </c>
      <c r="L161" s="143">
        <f t="shared" si="19"/>
        <v>0</v>
      </c>
      <c r="M161" s="143">
        <f t="shared" si="19"/>
        <v>0</v>
      </c>
      <c r="N161" s="143">
        <f t="shared" si="19"/>
        <v>0</v>
      </c>
      <c r="O161" s="143">
        <f t="shared" si="19"/>
        <v>0</v>
      </c>
      <c r="P161" s="143">
        <f t="shared" si="19"/>
        <v>0</v>
      </c>
      <c r="Q161" s="143">
        <f t="shared" si="19"/>
        <v>0</v>
      </c>
      <c r="R161" s="143">
        <f t="shared" si="19"/>
        <v>0</v>
      </c>
      <c r="S161" s="143">
        <f t="shared" si="19"/>
        <v>0</v>
      </c>
      <c r="T161" s="143">
        <f t="shared" si="19"/>
        <v>0</v>
      </c>
      <c r="U161" s="143">
        <f t="shared" si="19"/>
        <v>0</v>
      </c>
      <c r="V161" s="143">
        <f t="shared" si="19"/>
        <v>0</v>
      </c>
      <c r="W161" s="143">
        <f t="shared" si="19"/>
        <v>0</v>
      </c>
      <c r="X161" s="143">
        <f t="shared" si="19"/>
        <v>0</v>
      </c>
      <c r="Y161" s="143">
        <f t="shared" si="19"/>
        <v>0</v>
      </c>
      <c r="Z161" s="143">
        <f t="shared" si="19"/>
        <v>0</v>
      </c>
      <c r="AA161" s="143">
        <f t="shared" si="19"/>
        <v>0</v>
      </c>
      <c r="AB161" s="143">
        <f t="shared" si="19"/>
        <v>0</v>
      </c>
      <c r="AC161" s="143">
        <f t="shared" si="19"/>
        <v>0</v>
      </c>
      <c r="AD161" s="143">
        <f t="shared" si="19"/>
        <v>0</v>
      </c>
      <c r="AE161" s="143">
        <f t="shared" si="19"/>
        <v>0</v>
      </c>
      <c r="AF161" s="143">
        <f t="shared" si="19"/>
        <v>0</v>
      </c>
      <c r="AG161" s="143">
        <f t="shared" si="19"/>
        <v>0</v>
      </c>
      <c r="AH161" s="143">
        <f t="shared" si="19"/>
        <v>0</v>
      </c>
      <c r="AI161" s="143">
        <f t="shared" si="19"/>
        <v>0</v>
      </c>
      <c r="AJ161" s="143">
        <f t="shared" si="19"/>
        <v>0</v>
      </c>
      <c r="AK161" s="143">
        <f t="shared" si="19"/>
        <v>0</v>
      </c>
      <c r="AL161" s="143">
        <f t="shared" si="19"/>
        <v>0</v>
      </c>
      <c r="AM161" s="143">
        <f t="shared" si="19"/>
        <v>0</v>
      </c>
      <c r="AN161" s="143">
        <f t="shared" si="19"/>
        <v>0</v>
      </c>
      <c r="AO161" s="143">
        <f t="shared" si="19"/>
        <v>0</v>
      </c>
      <c r="AP161" s="143">
        <f t="shared" si="19"/>
        <v>0</v>
      </c>
      <c r="AQ161" s="143">
        <f t="shared" si="19"/>
        <v>0</v>
      </c>
      <c r="AR161" s="143">
        <f t="shared" si="19"/>
        <v>0</v>
      </c>
      <c r="AS161" s="143">
        <f t="shared" si="19"/>
        <v>0</v>
      </c>
      <c r="AT161" s="143">
        <f t="shared" si="19"/>
        <v>0</v>
      </c>
      <c r="AU161" s="143">
        <f t="shared" si="19"/>
        <v>0</v>
      </c>
      <c r="AV161" s="143">
        <f t="shared" si="19"/>
        <v>0</v>
      </c>
      <c r="AW161" s="143">
        <f t="shared" si="19"/>
        <v>0</v>
      </c>
      <c r="AX161" s="143">
        <f t="shared" si="19"/>
        <v>0</v>
      </c>
    </row>
    <row r="162" spans="1:50" ht="15" customHeight="1">
      <c r="A162" s="16"/>
      <c r="B162" s="16"/>
      <c r="D162" s="16"/>
      <c r="E162" s="16" t="s">
        <v>249</v>
      </c>
      <c r="F162" s="16"/>
      <c r="G162" s="16" t="s">
        <v>247</v>
      </c>
      <c r="H162" s="16"/>
      <c r="I162" s="120"/>
      <c r="J162" s="16"/>
      <c r="K162" s="143">
        <f t="shared" ref="K162:AX162" si="20">IF(OR($I$151&gt;K$146,$I$152&lt;K$145),0,IF($I$151&gt;=K$145,(K$146-$I$151+1)/K$159,IF($I$152&lt;=K$146,($I$152-K$145+1)/K$159,1)))</f>
        <v>0</v>
      </c>
      <c r="L162" s="143">
        <f t="shared" si="20"/>
        <v>0</v>
      </c>
      <c r="M162" s="143">
        <f t="shared" si="20"/>
        <v>0</v>
      </c>
      <c r="N162" s="143">
        <f t="shared" si="20"/>
        <v>0</v>
      </c>
      <c r="O162" s="143">
        <f t="shared" si="20"/>
        <v>0</v>
      </c>
      <c r="P162" s="143">
        <f t="shared" si="20"/>
        <v>0</v>
      </c>
      <c r="Q162" s="143">
        <f t="shared" si="20"/>
        <v>0</v>
      </c>
      <c r="R162" s="143">
        <f t="shared" si="20"/>
        <v>0</v>
      </c>
      <c r="S162" s="143">
        <f t="shared" si="20"/>
        <v>0</v>
      </c>
      <c r="T162" s="143">
        <f t="shared" si="20"/>
        <v>0</v>
      </c>
      <c r="U162" s="143">
        <f t="shared" si="20"/>
        <v>0</v>
      </c>
      <c r="V162" s="143">
        <f t="shared" si="20"/>
        <v>0</v>
      </c>
      <c r="W162" s="143">
        <f t="shared" si="20"/>
        <v>0</v>
      </c>
      <c r="X162" s="143">
        <f t="shared" si="20"/>
        <v>0</v>
      </c>
      <c r="Y162" s="143">
        <f t="shared" si="20"/>
        <v>0</v>
      </c>
      <c r="Z162" s="143">
        <f t="shared" si="20"/>
        <v>0.75136612021857918</v>
      </c>
      <c r="AA162" s="143">
        <f t="shared" si="20"/>
        <v>1</v>
      </c>
      <c r="AB162" s="143">
        <f t="shared" si="20"/>
        <v>1</v>
      </c>
      <c r="AC162" s="143">
        <f t="shared" si="20"/>
        <v>1</v>
      </c>
      <c r="AD162" s="143">
        <f t="shared" si="20"/>
        <v>1</v>
      </c>
      <c r="AE162" s="143">
        <f t="shared" si="20"/>
        <v>1</v>
      </c>
      <c r="AF162" s="143">
        <f t="shared" si="20"/>
        <v>1</v>
      </c>
      <c r="AG162" s="143">
        <f t="shared" si="20"/>
        <v>1</v>
      </c>
      <c r="AH162" s="143">
        <f t="shared" si="20"/>
        <v>1</v>
      </c>
      <c r="AI162" s="143">
        <f t="shared" si="20"/>
        <v>1</v>
      </c>
      <c r="AJ162" s="143">
        <f t="shared" si="20"/>
        <v>1</v>
      </c>
      <c r="AK162" s="143">
        <f t="shared" si="20"/>
        <v>1</v>
      </c>
      <c r="AL162" s="143">
        <f t="shared" si="20"/>
        <v>1</v>
      </c>
      <c r="AM162" s="143">
        <f t="shared" si="20"/>
        <v>1</v>
      </c>
      <c r="AN162" s="143">
        <f t="shared" si="20"/>
        <v>1</v>
      </c>
      <c r="AO162" s="143">
        <f t="shared" si="20"/>
        <v>1</v>
      </c>
      <c r="AP162" s="143">
        <f t="shared" si="20"/>
        <v>1</v>
      </c>
      <c r="AQ162" s="143">
        <f t="shared" si="20"/>
        <v>1</v>
      </c>
      <c r="AR162" s="143">
        <f t="shared" si="20"/>
        <v>1</v>
      </c>
      <c r="AS162" s="143">
        <f t="shared" si="20"/>
        <v>1</v>
      </c>
      <c r="AT162" s="143">
        <f t="shared" si="20"/>
        <v>1</v>
      </c>
      <c r="AU162" s="143">
        <f t="shared" si="20"/>
        <v>1</v>
      </c>
      <c r="AV162" s="143">
        <f t="shared" si="20"/>
        <v>1</v>
      </c>
      <c r="AW162" s="143">
        <f t="shared" si="20"/>
        <v>1</v>
      </c>
      <c r="AX162" s="143">
        <f t="shared" si="20"/>
        <v>1</v>
      </c>
    </row>
    <row r="163" spans="1:50" ht="15" customHeight="1">
      <c r="A163" s="16"/>
      <c r="B163" s="16"/>
      <c r="C163" s="16"/>
      <c r="D163" s="16"/>
      <c r="E163" s="16" t="s">
        <v>250</v>
      </c>
      <c r="F163" s="16"/>
      <c r="G163" s="16" t="s">
        <v>247</v>
      </c>
      <c r="H163" s="16"/>
      <c r="I163" s="120"/>
      <c r="J163" s="16"/>
      <c r="K163" s="143">
        <f t="shared" ref="K163:AX163" si="21">IF(OR($I$149&gt;K$146,$I$152&lt;K$145),0,IF($I$149&gt;=K$145,(K$146-$I$149+1)/K$159,IF($I$152&lt;=K$146,($I$152-K$145+1)/K$159,1)))</f>
        <v>0</v>
      </c>
      <c r="L163" s="143">
        <f t="shared" si="21"/>
        <v>0</v>
      </c>
      <c r="M163" s="143">
        <f t="shared" si="21"/>
        <v>0</v>
      </c>
      <c r="N163" s="143">
        <f t="shared" si="21"/>
        <v>0</v>
      </c>
      <c r="O163" s="143">
        <f t="shared" si="21"/>
        <v>0</v>
      </c>
      <c r="P163" s="143">
        <f t="shared" si="21"/>
        <v>0</v>
      </c>
      <c r="Q163" s="143">
        <f t="shared" si="21"/>
        <v>0</v>
      </c>
      <c r="R163" s="143">
        <f t="shared" si="21"/>
        <v>0</v>
      </c>
      <c r="S163" s="143">
        <f t="shared" si="21"/>
        <v>0</v>
      </c>
      <c r="T163" s="143">
        <f t="shared" si="21"/>
        <v>0</v>
      </c>
      <c r="U163" s="143">
        <f t="shared" si="21"/>
        <v>0</v>
      </c>
      <c r="V163" s="143">
        <f t="shared" si="21"/>
        <v>0</v>
      </c>
      <c r="W163" s="143">
        <f t="shared" si="21"/>
        <v>0</v>
      </c>
      <c r="X163" s="143">
        <f t="shared" si="21"/>
        <v>0</v>
      </c>
      <c r="Y163" s="143">
        <f t="shared" si="21"/>
        <v>0</v>
      </c>
      <c r="Z163" s="143">
        <f t="shared" si="21"/>
        <v>0.75136612021857918</v>
      </c>
      <c r="AA163" s="143">
        <f t="shared" si="21"/>
        <v>1</v>
      </c>
      <c r="AB163" s="143">
        <f t="shared" si="21"/>
        <v>1</v>
      </c>
      <c r="AC163" s="143">
        <f t="shared" si="21"/>
        <v>1</v>
      </c>
      <c r="AD163" s="143">
        <f t="shared" si="21"/>
        <v>1</v>
      </c>
      <c r="AE163" s="143">
        <f t="shared" si="21"/>
        <v>1</v>
      </c>
      <c r="AF163" s="143">
        <f t="shared" si="21"/>
        <v>1</v>
      </c>
      <c r="AG163" s="143">
        <f t="shared" si="21"/>
        <v>1</v>
      </c>
      <c r="AH163" s="143">
        <f t="shared" si="21"/>
        <v>1</v>
      </c>
      <c r="AI163" s="143">
        <f t="shared" si="21"/>
        <v>1</v>
      </c>
      <c r="AJ163" s="143">
        <f t="shared" si="21"/>
        <v>1</v>
      </c>
      <c r="AK163" s="143">
        <f t="shared" si="21"/>
        <v>1</v>
      </c>
      <c r="AL163" s="143">
        <f t="shared" si="21"/>
        <v>1</v>
      </c>
      <c r="AM163" s="143">
        <f t="shared" si="21"/>
        <v>1</v>
      </c>
      <c r="AN163" s="143">
        <f t="shared" si="21"/>
        <v>1</v>
      </c>
      <c r="AO163" s="143">
        <f t="shared" si="21"/>
        <v>1</v>
      </c>
      <c r="AP163" s="143">
        <f t="shared" si="21"/>
        <v>1</v>
      </c>
      <c r="AQ163" s="143">
        <f t="shared" si="21"/>
        <v>1</v>
      </c>
      <c r="AR163" s="143">
        <f t="shared" si="21"/>
        <v>1</v>
      </c>
      <c r="AS163" s="143">
        <f t="shared" si="21"/>
        <v>1</v>
      </c>
      <c r="AT163" s="143">
        <f t="shared" si="21"/>
        <v>1</v>
      </c>
      <c r="AU163" s="143">
        <f t="shared" si="21"/>
        <v>1</v>
      </c>
      <c r="AV163" s="143">
        <f t="shared" si="21"/>
        <v>1</v>
      </c>
      <c r="AW163" s="143">
        <f t="shared" si="21"/>
        <v>1</v>
      </c>
      <c r="AX163" s="143">
        <f t="shared" si="21"/>
        <v>1</v>
      </c>
    </row>
    <row r="164" spans="1:50" ht="15" customHeight="1">
      <c r="A164" s="16"/>
      <c r="B164" s="16"/>
      <c r="C164" s="16"/>
      <c r="D164" s="16"/>
      <c r="E164" s="16" t="s">
        <v>251</v>
      </c>
      <c r="F164" s="16"/>
      <c r="G164" s="16" t="s">
        <v>252</v>
      </c>
      <c r="H164" s="16"/>
      <c r="I164" s="120"/>
      <c r="J164" s="16"/>
      <c r="K164" s="143">
        <f>ROUNDUP(SUM($K$163:K163)*(K163&lt;&gt;0),0)</f>
        <v>0</v>
      </c>
      <c r="L164" s="143">
        <f>ROUNDUP(SUM($K$163:L163)*(L163&lt;&gt;0),0)</f>
        <v>0</v>
      </c>
      <c r="M164" s="143">
        <f>ROUNDUP(SUM($K$163:M163)*(M163&lt;&gt;0),0)</f>
        <v>0</v>
      </c>
      <c r="N164" s="143">
        <f>ROUNDUP(SUM($K$163:N163)*(N163&lt;&gt;0),0)</f>
        <v>0</v>
      </c>
      <c r="O164" s="143">
        <f>ROUNDUP(SUM($K$163:O163)*(O163&lt;&gt;0),0)</f>
        <v>0</v>
      </c>
      <c r="P164" s="143">
        <f>ROUNDUP(SUM($K$163:P163)*(P163&lt;&gt;0),0)</f>
        <v>0</v>
      </c>
      <c r="Q164" s="143">
        <f>ROUNDUP(SUM($K$163:Q163)*(Q163&lt;&gt;0),0)</f>
        <v>0</v>
      </c>
      <c r="R164" s="143">
        <f>ROUNDUP(SUM($K$163:R163)*(R163&lt;&gt;0),0)</f>
        <v>0</v>
      </c>
      <c r="S164" s="143">
        <f>ROUNDUP(SUM($K$163:S163)*(S163&lt;&gt;0),0)</f>
        <v>0</v>
      </c>
      <c r="T164" s="143">
        <f>ROUNDUP(SUM($K$163:T163)*(T163&lt;&gt;0),0)</f>
        <v>0</v>
      </c>
      <c r="U164" s="143">
        <f>ROUNDUP(SUM($K$163:U163)*(U163&lt;&gt;0),0)</f>
        <v>0</v>
      </c>
      <c r="V164" s="143">
        <f>ROUNDUP(SUM($K$163:V163)*(V163&lt;&gt;0),0)</f>
        <v>0</v>
      </c>
      <c r="W164" s="143">
        <f>ROUNDUP(SUM($K$163:W163)*(W163&lt;&gt;0),0)</f>
        <v>0</v>
      </c>
      <c r="X164" s="143">
        <f>ROUNDUP(SUM($K$163:X163)*(X163&lt;&gt;0),0)</f>
        <v>0</v>
      </c>
      <c r="Y164" s="143">
        <f>ROUNDUP(SUM($K$163:Y163)*(Y163&lt;&gt;0),0)</f>
        <v>0</v>
      </c>
      <c r="Z164" s="143">
        <f>ROUNDUP(SUM($K$163:Z163)*(Z163&lt;&gt;0),0)</f>
        <v>1</v>
      </c>
      <c r="AA164" s="143">
        <f>ROUNDUP(SUM($K$163:AA163)*(AA163&lt;&gt;0),0)</f>
        <v>2</v>
      </c>
      <c r="AB164" s="143">
        <f>ROUNDUP(SUM($K$163:AB163)*(AB163&lt;&gt;0),0)</f>
        <v>3</v>
      </c>
      <c r="AC164" s="143">
        <f>ROUNDUP(SUM($K$163:AC163)*(AC163&lt;&gt;0),0)</f>
        <v>4</v>
      </c>
      <c r="AD164" s="143">
        <f>ROUNDUP(SUM($K$163:AD163)*(AD163&lt;&gt;0),0)</f>
        <v>5</v>
      </c>
      <c r="AE164" s="143">
        <f>ROUNDUP(SUM($K$163:AE163)*(AE163&lt;&gt;0),0)</f>
        <v>6</v>
      </c>
      <c r="AF164" s="143">
        <f>ROUNDUP(SUM($K$163:AF163)*(AF163&lt;&gt;0),0)</f>
        <v>7</v>
      </c>
      <c r="AG164" s="143">
        <f>ROUNDUP(SUM($K$163:AG163)*(AG163&lt;&gt;0),0)</f>
        <v>8</v>
      </c>
      <c r="AH164" s="143">
        <f>ROUNDUP(SUM($K$163:AH163)*(AH163&lt;&gt;0),0)</f>
        <v>9</v>
      </c>
      <c r="AI164" s="143">
        <f>ROUNDUP(SUM($K$163:AI163)*(AI163&lt;&gt;0),0)</f>
        <v>10</v>
      </c>
      <c r="AJ164" s="143">
        <f>ROUNDUP(SUM($K$163:AJ163)*(AJ163&lt;&gt;0),0)</f>
        <v>11</v>
      </c>
      <c r="AK164" s="143">
        <f>ROUNDUP(SUM($K$163:AK163)*(AK163&lt;&gt;0),0)</f>
        <v>12</v>
      </c>
      <c r="AL164" s="143">
        <f>ROUNDUP(SUM($K$163:AL163)*(AL163&lt;&gt;0),0)</f>
        <v>13</v>
      </c>
      <c r="AM164" s="143">
        <f>ROUNDUP(SUM($K$163:AM163)*(AM163&lt;&gt;0),0)</f>
        <v>14</v>
      </c>
      <c r="AN164" s="143">
        <f>ROUNDUP(SUM($K$163:AN163)*(AN163&lt;&gt;0),0)</f>
        <v>15</v>
      </c>
      <c r="AO164" s="143">
        <f>ROUNDUP(SUM($K$163:AO163)*(AO163&lt;&gt;0),0)</f>
        <v>16</v>
      </c>
      <c r="AP164" s="143">
        <f>ROUNDUP(SUM($K$163:AP163)*(AP163&lt;&gt;0),0)</f>
        <v>17</v>
      </c>
      <c r="AQ164" s="143">
        <f>ROUNDUP(SUM($K$163:AQ163)*(AQ163&lt;&gt;0),0)</f>
        <v>18</v>
      </c>
      <c r="AR164" s="143">
        <f>ROUNDUP(SUM($K$163:AR163)*(AR163&lt;&gt;0),0)</f>
        <v>19</v>
      </c>
      <c r="AS164" s="143">
        <f>ROUNDUP(SUM($K$163:AS163)*(AS163&lt;&gt;0),0)</f>
        <v>20</v>
      </c>
      <c r="AT164" s="143">
        <f>ROUNDUP(SUM($K$163:AT163)*(AT163&lt;&gt;0),0)</f>
        <v>21</v>
      </c>
      <c r="AU164" s="143">
        <f>ROUNDUP(SUM($K$163:AU163)*(AU163&lt;&gt;0),0)</f>
        <v>22</v>
      </c>
      <c r="AV164" s="143">
        <f>ROUNDUP(SUM($K$163:AV163)*(AV163&lt;&gt;0),0)</f>
        <v>23</v>
      </c>
      <c r="AW164" s="143">
        <f>ROUNDUP(SUM($K$163:AW163)*(AW163&lt;&gt;0),0)</f>
        <v>24</v>
      </c>
      <c r="AX164" s="143">
        <f>ROUNDUP(SUM($K$163:AX163)*(AX163&lt;&gt;0),0)</f>
        <v>25</v>
      </c>
    </row>
    <row r="165" spans="1:50" ht="15" customHeight="1">
      <c r="A165" s="16"/>
      <c r="B165" s="16"/>
      <c r="C165" s="16"/>
      <c r="D165" s="16"/>
      <c r="E165" s="16" t="s">
        <v>253</v>
      </c>
      <c r="F165" s="16"/>
      <c r="G165" s="16" t="s">
        <v>247</v>
      </c>
      <c r="H165" s="16"/>
      <c r="I165" s="120"/>
      <c r="J165" s="16"/>
      <c r="K165" s="143">
        <f>IF(AND(SUM(K34:K36)&lt;&gt;0,SUM(L34:$AY36)=0),1,0)</f>
        <v>0</v>
      </c>
      <c r="L165" s="143">
        <f>IF(AND(SUM(L34:L36)&lt;&gt;0,SUM(M34:$AY36)=0),1,0)</f>
        <v>0</v>
      </c>
      <c r="M165" s="143">
        <f>IF(AND(SUM(M34:M36)&lt;&gt;0,SUM(N34:$AY36)=0),1,0)</f>
        <v>0</v>
      </c>
      <c r="N165" s="143">
        <f>IF(AND(SUM(N34:N36)&lt;&gt;0,SUM(O34:$AY36)=0),1,0)</f>
        <v>0</v>
      </c>
      <c r="O165" s="143">
        <f>IF(AND(SUM(O34:O36)&lt;&gt;0,SUM(P34:$AY36)=0),1,0)</f>
        <v>0</v>
      </c>
      <c r="P165" s="143">
        <f>IF(AND(SUM(P34:P36)&lt;&gt;0,SUM(Q34:$AY36)=0),1,0)</f>
        <v>0</v>
      </c>
      <c r="Q165" s="143">
        <f>IF(AND(SUM(Q34:Q36)&lt;&gt;0,SUM(R34:$AY36)=0),1,0)</f>
        <v>0</v>
      </c>
      <c r="R165" s="143">
        <f>IF(AND(SUM(R34:R36)&lt;&gt;0,SUM(S34:$AY36)=0),1,0)</f>
        <v>0</v>
      </c>
      <c r="S165" s="143">
        <f>IF(AND(SUM(S34:S36)&lt;&gt;0,SUM(T34:$AY36)=0),1,0)</f>
        <v>0</v>
      </c>
      <c r="T165" s="143">
        <f>IF(AND(SUM(T34:T36)&lt;&gt;0,SUM(U34:$AY36)=0),1,0)</f>
        <v>0</v>
      </c>
      <c r="U165" s="143">
        <f>IF(AND(SUM(U34:U36)&lt;&gt;0,SUM(V34:$AY36)=0),1,0)</f>
        <v>0</v>
      </c>
      <c r="V165" s="143">
        <f>IF(AND(SUM(V34:V36)&lt;&gt;0,SUM(W34:$AY36)=0),1,0)</f>
        <v>0</v>
      </c>
      <c r="W165" s="143">
        <f>IF(AND(SUM(W34:W36)&lt;&gt;0,SUM(X34:$AY36)=0),1,0)</f>
        <v>0</v>
      </c>
      <c r="X165" s="143">
        <f>IF(AND(SUM(X34:X36)&lt;&gt;0,SUM(Y34:$AY36)=0),1,0)</f>
        <v>0</v>
      </c>
      <c r="Y165" s="143">
        <f>IF(AND(SUM(Y34:Y36)&lt;&gt;0,SUM(Z34:$AY36)=0),1,0)</f>
        <v>0</v>
      </c>
      <c r="Z165" s="143">
        <f>IF(AND(SUM(Z34:Z36)&lt;&gt;0,SUM(AA34:$AY36)=0),1,0)</f>
        <v>1</v>
      </c>
      <c r="AA165" s="143">
        <f>IF(AND(SUM(AA34:AA36)&lt;&gt;0,SUM(AB34:$AY36)=0),1,0)</f>
        <v>0</v>
      </c>
      <c r="AB165" s="143">
        <f>IF(AND(SUM(AB34:AB36)&lt;&gt;0,SUM(AC34:$AY36)=0),1,0)</f>
        <v>0</v>
      </c>
      <c r="AC165" s="143">
        <f>IF(AND(SUM(AC34:AC36)&lt;&gt;0,SUM(AD34:$AY36)=0),1,0)</f>
        <v>0</v>
      </c>
      <c r="AD165" s="143">
        <f>IF(AND(SUM(AD34:AD36)&lt;&gt;0,SUM(AE34:$AY36)=0),1,0)</f>
        <v>0</v>
      </c>
      <c r="AE165" s="143">
        <f>IF(AND(SUM(AE34:AE36)&lt;&gt;0,SUM(AF34:$AY36)=0),1,0)</f>
        <v>0</v>
      </c>
      <c r="AF165" s="143">
        <f>IF(AND(SUM(AF34:AF36)&lt;&gt;0,SUM(AG34:$AY36)=0),1,0)</f>
        <v>0</v>
      </c>
      <c r="AG165" s="143">
        <f>IF(AND(SUM(AG34:AG36)&lt;&gt;0,SUM(AH34:$AY36)=0),1,0)</f>
        <v>0</v>
      </c>
      <c r="AH165" s="143">
        <f>IF(AND(SUM(AH34:AH36)&lt;&gt;0,SUM(AI34:$AY36)=0),1,0)</f>
        <v>0</v>
      </c>
      <c r="AI165" s="143">
        <f>IF(AND(SUM(AI34:AI36)&lt;&gt;0,SUM(AJ34:$AY36)=0),1,0)</f>
        <v>0</v>
      </c>
      <c r="AJ165" s="143">
        <f>IF(AND(SUM(AJ34:AJ36)&lt;&gt;0,SUM(AK34:$AY36)=0),1,0)</f>
        <v>0</v>
      </c>
      <c r="AK165" s="143">
        <f>IF(AND(SUM(AK34:AK36)&lt;&gt;0,SUM(AL34:$AY36)=0),1,0)</f>
        <v>0</v>
      </c>
      <c r="AL165" s="143">
        <f>IF(AND(SUM(AL34:AL36)&lt;&gt;0,SUM(AM34:$AY36)=0),1,0)</f>
        <v>0</v>
      </c>
      <c r="AM165" s="143">
        <f>IF(AND(SUM(AM34:AM36)&lt;&gt;0,SUM(AN34:$AY36)=0),1,0)</f>
        <v>0</v>
      </c>
      <c r="AN165" s="143">
        <f>IF(AND(SUM(AN34:AN36)&lt;&gt;0,SUM(AO34:$AY36)=0),1,0)</f>
        <v>0</v>
      </c>
      <c r="AO165" s="143">
        <f>IF(AND(SUM(AO34:AO36)&lt;&gt;0,SUM(AP34:$AY36)=0),1,0)</f>
        <v>0</v>
      </c>
      <c r="AP165" s="143">
        <f>IF(AND(SUM(AP34:AP36)&lt;&gt;0,SUM(AQ34:$AY36)=0),1,0)</f>
        <v>0</v>
      </c>
      <c r="AQ165" s="143">
        <f>IF(AND(SUM(AQ34:AQ36)&lt;&gt;0,SUM(AR34:$AY36)=0),1,0)</f>
        <v>0</v>
      </c>
      <c r="AR165" s="143">
        <f>IF(AND(SUM(AR34:AR36)&lt;&gt;0,SUM(AS34:$AY36)=0),1,0)</f>
        <v>0</v>
      </c>
      <c r="AS165" s="143">
        <f>IF(AND(SUM(AS34:AS36)&lt;&gt;0,SUM(AT34:$AY36)=0),1,0)</f>
        <v>0</v>
      </c>
      <c r="AT165" s="143">
        <f>IF(AND(SUM(AT34:AT36)&lt;&gt;0,SUM(AU34:$AY36)=0),1,0)</f>
        <v>0</v>
      </c>
      <c r="AU165" s="143">
        <f>IF(AND(SUM(AU34:AU36)&lt;&gt;0,SUM(AV34:$AY36)=0),1,0)</f>
        <v>0</v>
      </c>
      <c r="AV165" s="143">
        <f>IF(AND(SUM(AV34:AV36)&lt;&gt;0,SUM(AW34:$AY36)=0),1,0)</f>
        <v>0</v>
      </c>
      <c r="AW165" s="143">
        <f>IF(AND(SUM(AW34:AW36)&lt;&gt;0,SUM(AX34:$AY36)=0),1,0)</f>
        <v>0</v>
      </c>
      <c r="AX165" s="143">
        <f>IF(AND(SUM(AX34:AX36)&lt;&gt;0,SUM(AY34:$AY36)=0),1,0)</f>
        <v>0</v>
      </c>
    </row>
    <row r="166" spans="1:50" ht="14.25" customHeight="1">
      <c r="A166" s="16"/>
      <c r="B166" s="16"/>
      <c r="C166" s="16"/>
      <c r="D166" s="16"/>
      <c r="E166" s="16" t="s">
        <v>254</v>
      </c>
      <c r="F166" s="16"/>
      <c r="G166" s="16" t="s">
        <v>247</v>
      </c>
      <c r="H166" s="16" t="s">
        <v>255</v>
      </c>
      <c r="I166" s="120"/>
      <c r="J166" s="16"/>
      <c r="K166" s="143">
        <f t="shared" ref="K166:AX166" si="22">IF(AND($I$151&lt;=K$146,$I$151&gt;=K$145),1,0)</f>
        <v>0</v>
      </c>
      <c r="L166" s="143">
        <f t="shared" si="22"/>
        <v>0</v>
      </c>
      <c r="M166" s="143">
        <f t="shared" si="22"/>
        <v>0</v>
      </c>
      <c r="N166" s="143">
        <f t="shared" si="22"/>
        <v>0</v>
      </c>
      <c r="O166" s="143">
        <f t="shared" si="22"/>
        <v>0</v>
      </c>
      <c r="P166" s="143">
        <f t="shared" si="22"/>
        <v>0</v>
      </c>
      <c r="Q166" s="143">
        <f t="shared" si="22"/>
        <v>0</v>
      </c>
      <c r="R166" s="143">
        <f t="shared" si="22"/>
        <v>0</v>
      </c>
      <c r="S166" s="143">
        <f t="shared" si="22"/>
        <v>0</v>
      </c>
      <c r="T166" s="143">
        <f t="shared" si="22"/>
        <v>0</v>
      </c>
      <c r="U166" s="143">
        <f t="shared" si="22"/>
        <v>0</v>
      </c>
      <c r="V166" s="143">
        <f t="shared" si="22"/>
        <v>0</v>
      </c>
      <c r="W166" s="143">
        <f t="shared" si="22"/>
        <v>0</v>
      </c>
      <c r="X166" s="143">
        <f t="shared" si="22"/>
        <v>0</v>
      </c>
      <c r="Y166" s="143">
        <f t="shared" si="22"/>
        <v>0</v>
      </c>
      <c r="Z166" s="143">
        <f t="shared" si="22"/>
        <v>1</v>
      </c>
      <c r="AA166" s="143">
        <f t="shared" si="22"/>
        <v>0</v>
      </c>
      <c r="AB166" s="143">
        <f t="shared" si="22"/>
        <v>0</v>
      </c>
      <c r="AC166" s="143">
        <f t="shared" si="22"/>
        <v>0</v>
      </c>
      <c r="AD166" s="143">
        <f t="shared" si="22"/>
        <v>0</v>
      </c>
      <c r="AE166" s="143">
        <f t="shared" si="22"/>
        <v>0</v>
      </c>
      <c r="AF166" s="143">
        <f t="shared" si="22"/>
        <v>0</v>
      </c>
      <c r="AG166" s="143">
        <f t="shared" si="22"/>
        <v>0</v>
      </c>
      <c r="AH166" s="143">
        <f t="shared" si="22"/>
        <v>0</v>
      </c>
      <c r="AI166" s="143">
        <f t="shared" si="22"/>
        <v>0</v>
      </c>
      <c r="AJ166" s="143">
        <f t="shared" si="22"/>
        <v>0</v>
      </c>
      <c r="AK166" s="143">
        <f t="shared" si="22"/>
        <v>0</v>
      </c>
      <c r="AL166" s="143">
        <f t="shared" si="22"/>
        <v>0</v>
      </c>
      <c r="AM166" s="143">
        <f t="shared" si="22"/>
        <v>0</v>
      </c>
      <c r="AN166" s="143">
        <f t="shared" si="22"/>
        <v>0</v>
      </c>
      <c r="AO166" s="143">
        <f t="shared" si="22"/>
        <v>0</v>
      </c>
      <c r="AP166" s="143">
        <f t="shared" si="22"/>
        <v>0</v>
      </c>
      <c r="AQ166" s="143">
        <f t="shared" si="22"/>
        <v>0</v>
      </c>
      <c r="AR166" s="143">
        <f t="shared" si="22"/>
        <v>0</v>
      </c>
      <c r="AS166" s="143">
        <f t="shared" si="22"/>
        <v>0</v>
      </c>
      <c r="AT166" s="143">
        <f t="shared" si="22"/>
        <v>0</v>
      </c>
      <c r="AU166" s="143">
        <f t="shared" si="22"/>
        <v>0</v>
      </c>
      <c r="AV166" s="143">
        <f t="shared" si="22"/>
        <v>0</v>
      </c>
      <c r="AW166" s="143">
        <f t="shared" si="22"/>
        <v>0</v>
      </c>
      <c r="AX166" s="143">
        <f t="shared" si="22"/>
        <v>0</v>
      </c>
    </row>
    <row r="167" spans="1:50" ht="15" customHeight="1">
      <c r="A167" s="16"/>
      <c r="B167" s="16"/>
      <c r="C167" s="16"/>
      <c r="D167" s="16"/>
      <c r="E167" s="16" t="s">
        <v>256</v>
      </c>
      <c r="F167" s="16"/>
      <c r="G167" s="16" t="s">
        <v>247</v>
      </c>
      <c r="H167" s="16"/>
      <c r="I167" s="120"/>
      <c r="J167" s="16"/>
      <c r="K167" s="143">
        <f>IF(AND(SUM($J35:K35)=0,L35&gt;0),1,0)</f>
        <v>0</v>
      </c>
      <c r="L167" s="143">
        <f>IF(AND(SUM($J35:L35)=0,M35&gt;0),1,0)</f>
        <v>0</v>
      </c>
      <c r="M167" s="143">
        <f>IF(AND(SUM($J35:M35)=0,N35&gt;0),1,0)</f>
        <v>0</v>
      </c>
      <c r="N167" s="143">
        <f>IF(AND(SUM($J35:N35)=0,O35&gt;0),1,0)</f>
        <v>0</v>
      </c>
      <c r="O167" s="143">
        <f>IF(AND(SUM($J35:O35)=0,P35&gt;0),1,0)</f>
        <v>0</v>
      </c>
      <c r="P167" s="143">
        <f>IF(AND(SUM($J35:P35)=0,Q35&gt;0),1,0)</f>
        <v>0</v>
      </c>
      <c r="Q167" s="143">
        <f>IF(AND(SUM($J35:Q35)=0,R35&gt;0),1,0)</f>
        <v>0</v>
      </c>
      <c r="R167" s="143">
        <f>IF(AND(SUM($J35:R35)=0,S35&gt;0),1,0)</f>
        <v>0</v>
      </c>
      <c r="S167" s="143">
        <f>IF(AND(SUM($J35:S35)=0,T35&gt;0),1,0)</f>
        <v>1</v>
      </c>
      <c r="T167" s="143">
        <f>IF(AND(SUM($J35:T35)=0,U35&gt;0),1,0)</f>
        <v>0</v>
      </c>
      <c r="U167" s="143">
        <f>IF(AND(SUM($J35:U35)=0,V35&gt;0),1,0)</f>
        <v>0</v>
      </c>
      <c r="V167" s="143">
        <f>IF(AND(SUM($J35:V35)=0,W35&gt;0),1,0)</f>
        <v>0</v>
      </c>
      <c r="W167" s="143">
        <f>IF(AND(SUM($J35:W35)=0,X35&gt;0),1,0)</f>
        <v>0</v>
      </c>
      <c r="X167" s="143">
        <f>IF(AND(SUM($J35:X35)=0,Y35&gt;0),1,0)</f>
        <v>0</v>
      </c>
      <c r="Y167" s="143">
        <f>IF(AND(SUM($J35:Y35)=0,Z35&gt;0),1,0)</f>
        <v>0</v>
      </c>
      <c r="Z167" s="143">
        <f>IF(AND(SUM($J35:Z35)=0,AA35&gt;0),1,0)</f>
        <v>0</v>
      </c>
      <c r="AA167" s="143">
        <f>IF(AND(SUM($J35:AA35)=0,AB35&gt;0),1,0)</f>
        <v>0</v>
      </c>
      <c r="AB167" s="143">
        <f>IF(AND(SUM($J35:AB35)=0,AC35&gt;0),1,0)</f>
        <v>0</v>
      </c>
      <c r="AC167" s="143">
        <f>IF(AND(SUM($J35:AC35)=0,AD35&gt;0),1,0)</f>
        <v>0</v>
      </c>
      <c r="AD167" s="143">
        <f>IF(AND(SUM($J35:AD35)=0,AE35&gt;0),1,0)</f>
        <v>0</v>
      </c>
      <c r="AE167" s="143">
        <f>IF(AND(SUM($J35:AE35)=0,AF35&gt;0),1,0)</f>
        <v>0</v>
      </c>
      <c r="AF167" s="143">
        <f>IF(AND(SUM($J35:AF35)=0,AG35&gt;0),1,0)</f>
        <v>0</v>
      </c>
      <c r="AG167" s="143">
        <f>IF(AND(SUM($J35:AG35)=0,AH35&gt;0),1,0)</f>
        <v>0</v>
      </c>
      <c r="AH167" s="143">
        <f>IF(AND(SUM($J35:AH35)=0,AI35&gt;0),1,0)</f>
        <v>0</v>
      </c>
      <c r="AI167" s="143">
        <f>IF(AND(SUM($J35:AI35)=0,AJ35&gt;0),1,0)</f>
        <v>0</v>
      </c>
      <c r="AJ167" s="143">
        <f>IF(AND(SUM($J35:AJ35)=0,AK35&gt;0),1,0)</f>
        <v>0</v>
      </c>
      <c r="AK167" s="143">
        <f>IF(AND(SUM($J35:AK35)=0,AL35&gt;0),1,0)</f>
        <v>0</v>
      </c>
      <c r="AL167" s="143">
        <f>IF(AND(SUM($J35:AL35)=0,AM35&gt;0),1,0)</f>
        <v>0</v>
      </c>
      <c r="AM167" s="143">
        <f>IF(AND(SUM($J35:AM35)=0,AN35&gt;0),1,0)</f>
        <v>0</v>
      </c>
      <c r="AN167" s="143">
        <f>IF(AND(SUM($J35:AN35)=0,AO35&gt;0),1,0)</f>
        <v>0</v>
      </c>
      <c r="AO167" s="143">
        <f>IF(AND(SUM($J35:AO35)=0,AP35&gt;0),1,0)</f>
        <v>0</v>
      </c>
      <c r="AP167" s="143">
        <f>IF(AND(SUM($J35:AP35)=0,AQ35&gt;0),1,0)</f>
        <v>0</v>
      </c>
      <c r="AQ167" s="143">
        <f>IF(AND(SUM($J35:AQ35)=0,AR35&gt;0),1,0)</f>
        <v>0</v>
      </c>
      <c r="AR167" s="143">
        <f>IF(AND(SUM($J35:AR35)=0,AS35&gt;0),1,0)</f>
        <v>0</v>
      </c>
      <c r="AS167" s="143">
        <f>IF(AND(SUM($J35:AS35)=0,AT35&gt;0),1,0)</f>
        <v>0</v>
      </c>
      <c r="AT167" s="143">
        <f>IF(AND(SUM($J35:AT35)=0,AU35&gt;0),1,0)</f>
        <v>0</v>
      </c>
      <c r="AU167" s="143">
        <f>IF(AND(SUM($J35:AU35)=0,AV35&gt;0),1,0)</f>
        <v>0</v>
      </c>
      <c r="AV167" s="143">
        <f>IF(AND(SUM($J35:AV35)=0,AW35&gt;0),1,0)</f>
        <v>0</v>
      </c>
      <c r="AW167" s="143">
        <f>IF(AND(SUM($J35:AW35)=0,AX35&gt;0),1,0)</f>
        <v>0</v>
      </c>
      <c r="AX167" s="143">
        <f>IF(AND(SUM($J35:AX35)=0,AY35&gt;0),1,0)</f>
        <v>0</v>
      </c>
    </row>
    <row r="168" spans="1:50" ht="15" customHeight="1">
      <c r="A168" s="119"/>
      <c r="B168" s="16"/>
      <c r="C168" s="16"/>
      <c r="D168" s="16"/>
      <c r="E168" s="16" t="s">
        <v>257</v>
      </c>
      <c r="F168" s="16"/>
      <c r="G168" s="16" t="s">
        <v>247</v>
      </c>
      <c r="H168" s="16"/>
      <c r="I168" s="120"/>
      <c r="J168" s="16"/>
      <c r="K168" s="144">
        <f>IF(AND(SUM($J35:J35)=0,K35&gt;0),1,0)</f>
        <v>0</v>
      </c>
      <c r="L168" s="144">
        <f>IF(AND(SUM($J35:K35)=0,L35&gt;0),1,0)</f>
        <v>0</v>
      </c>
      <c r="M168" s="144">
        <f>IF(AND(SUM($J35:L35)=0,M35&gt;0),1,0)</f>
        <v>0</v>
      </c>
      <c r="N168" s="144">
        <f>IF(AND(SUM($J35:M35)=0,N35&gt;0),1,0)</f>
        <v>0</v>
      </c>
      <c r="O168" s="144">
        <f>IF(AND(SUM($J35:N35)=0,O35&gt;0),1,0)</f>
        <v>0</v>
      </c>
      <c r="P168" s="144">
        <f>IF(AND(SUM($J35:O35)=0,P35&gt;0),1,0)</f>
        <v>0</v>
      </c>
      <c r="Q168" s="144">
        <f>IF(AND(SUM($J35:P35)=0,Q35&gt;0),1,0)</f>
        <v>0</v>
      </c>
      <c r="R168" s="144">
        <f>IF(AND(SUM($J35:Q35)=0,R35&gt;0),1,0)</f>
        <v>0</v>
      </c>
      <c r="S168" s="144">
        <f>IF(AND(SUM($J35:R35)=0,S35&gt;0),1,0)</f>
        <v>0</v>
      </c>
      <c r="T168" s="144">
        <f>IF(AND(SUM($J35:S35)=0,T35&gt;0),1,0)</f>
        <v>1</v>
      </c>
      <c r="U168" s="144">
        <f>IF(AND(SUM($J35:T35)=0,U35&gt;0),1,0)</f>
        <v>0</v>
      </c>
      <c r="V168" s="144">
        <f>IF(AND(SUM($J35:U35)=0,V35&gt;0),1,0)</f>
        <v>0</v>
      </c>
      <c r="W168" s="144">
        <f>IF(AND(SUM($J35:V35)=0,W35&gt;0),1,0)</f>
        <v>0</v>
      </c>
      <c r="X168" s="144">
        <f>IF(AND(SUM($J35:W35)=0,X35&gt;0),1,0)</f>
        <v>0</v>
      </c>
      <c r="Y168" s="144">
        <f>IF(AND(SUM($J35:X35)=0,Y35&gt;0),1,0)</f>
        <v>0</v>
      </c>
      <c r="Z168" s="144">
        <f>IF(AND(SUM($J35:Y35)=0,Z35&gt;0),1,0)</f>
        <v>0</v>
      </c>
      <c r="AA168" s="144">
        <f>IF(AND(SUM($J35:Z35)=0,AA35&gt;0),1,0)</f>
        <v>0</v>
      </c>
      <c r="AB168" s="144">
        <f>IF(AND(SUM($J35:AA35)=0,AB35&gt;0),1,0)</f>
        <v>0</v>
      </c>
      <c r="AC168" s="144">
        <f>IF(AND(SUM($J35:AB35)=0,AC35&gt;0),1,0)</f>
        <v>0</v>
      </c>
      <c r="AD168" s="144">
        <f>IF(AND(SUM($J35:AC35)=0,AD35&gt;0),1,0)</f>
        <v>0</v>
      </c>
      <c r="AE168" s="144">
        <f>IF(AND(SUM($J35:AD35)=0,AE35&gt;0),1,0)</f>
        <v>0</v>
      </c>
      <c r="AF168" s="144">
        <f>IF(AND(SUM($J35:AE35)=0,AF35&gt;0),1,0)</f>
        <v>0</v>
      </c>
      <c r="AG168" s="144">
        <f>IF(AND(SUM($J35:AF35)=0,AG35&gt;0),1,0)</f>
        <v>0</v>
      </c>
      <c r="AH168" s="144">
        <f>IF(AND(SUM($J35:AG35)=0,AH35&gt;0),1,0)</f>
        <v>0</v>
      </c>
      <c r="AI168" s="144">
        <f>IF(AND(SUM($J35:AH35)=0,AI35&gt;0),1,0)</f>
        <v>0</v>
      </c>
      <c r="AJ168" s="144">
        <f>IF(AND(SUM($J35:AI35)=0,AJ35&gt;0),1,0)</f>
        <v>0</v>
      </c>
      <c r="AK168" s="144">
        <f>IF(AND(SUM($J35:AJ35)=0,AK35&gt;0),1,0)</f>
        <v>0</v>
      </c>
      <c r="AL168" s="144">
        <f>IF(AND(SUM($J35:AK35)=0,AL35&gt;0),1,0)</f>
        <v>0</v>
      </c>
      <c r="AM168" s="144">
        <f>IF(AND(SUM($J35:AL35)=0,AM35&gt;0),1,0)</f>
        <v>0</v>
      </c>
      <c r="AN168" s="144">
        <f>IF(AND(SUM($J35:AM35)=0,AN35&gt;0),1,0)</f>
        <v>0</v>
      </c>
      <c r="AO168" s="144">
        <f>IF(AND(SUM($J35:AN35)=0,AO35&gt;0),1,0)</f>
        <v>0</v>
      </c>
      <c r="AP168" s="144">
        <f>IF(AND(SUM($J35:AO35)=0,AP35&gt;0),1,0)</f>
        <v>0</v>
      </c>
      <c r="AQ168" s="144">
        <f>IF(AND(SUM($J35:AP35)=0,AQ35&gt;0),1,0)</f>
        <v>0</v>
      </c>
      <c r="AR168" s="144">
        <f>IF(AND(SUM($J35:AQ35)=0,AR35&gt;0),1,0)</f>
        <v>0</v>
      </c>
      <c r="AS168" s="144">
        <f>IF(AND(SUM($J35:AR35)=0,AS35&gt;0),1,0)</f>
        <v>0</v>
      </c>
      <c r="AT168" s="144">
        <f>IF(AND(SUM($J35:AS35)=0,AT35&gt;0),1,0)</f>
        <v>0</v>
      </c>
      <c r="AU168" s="144">
        <f>IF(AND(SUM($J35:AT35)=0,AU35&gt;0),1,0)</f>
        <v>0</v>
      </c>
      <c r="AV168" s="144">
        <f>IF(AND(SUM($J35:AU35)=0,AV35&gt;0),1,0)</f>
        <v>0</v>
      </c>
      <c r="AW168" s="144">
        <f>IF(AND(SUM($J35:AV35)=0,AW35&gt;0),1,0)</f>
        <v>0</v>
      </c>
      <c r="AX168" s="144">
        <f>IF(AND(SUM($J35:AW35)=0,AX35&gt;0),1,0)</f>
        <v>0</v>
      </c>
    </row>
    <row r="169" spans="1:50" ht="15" customHeight="1">
      <c r="A169" s="119"/>
      <c r="B169" s="16"/>
      <c r="C169" s="16"/>
      <c r="D169" s="16"/>
      <c r="E169" s="16" t="s">
        <v>258</v>
      </c>
      <c r="F169" s="16"/>
      <c r="G169" s="16" t="s">
        <v>247</v>
      </c>
      <c r="H169" s="16"/>
      <c r="I169" s="120"/>
      <c r="J169" s="16"/>
      <c r="K169" s="144">
        <f>(SUM($J$168:K168)&gt;=1)*(SUM($J$166:K166)&lt;1)</f>
        <v>0</v>
      </c>
      <c r="L169" s="144">
        <f>(SUM($J$168:L168)&gt;=1)*(SUM($J$166:L166)&lt;1)</f>
        <v>0</v>
      </c>
      <c r="M169" s="144">
        <f>(SUM($J$168:M168)&gt;=1)*(SUM($J$166:M166)&lt;1)</f>
        <v>0</v>
      </c>
      <c r="N169" s="144">
        <f>(SUM($J$168:N168)&gt;=1)*(SUM($J$166:N166)&lt;1)</f>
        <v>0</v>
      </c>
      <c r="O169" s="144">
        <f>(SUM($J$168:O168)&gt;=1)*(SUM($J$166:O166)&lt;1)</f>
        <v>0</v>
      </c>
      <c r="P169" s="144">
        <f>(SUM($J$168:P168)&gt;=1)*(SUM($J$166:P166)&lt;1)</f>
        <v>0</v>
      </c>
      <c r="Q169" s="144">
        <f>(SUM($J$168:Q168)&gt;=1)*(SUM($J$166:Q166)&lt;1)</f>
        <v>0</v>
      </c>
      <c r="R169" s="144">
        <f>(SUM($J$168:R168)&gt;=1)*(SUM($J$166:R166)&lt;1)</f>
        <v>0</v>
      </c>
      <c r="S169" s="144">
        <f>(SUM($J$168:S168)&gt;=1)*(SUM($J$166:S166)&lt;1)</f>
        <v>0</v>
      </c>
      <c r="T169" s="144">
        <f>(SUM($J$168:T168)&gt;=1)*(SUM($J$166:T166)&lt;1)</f>
        <v>1</v>
      </c>
      <c r="U169" s="144">
        <f>(SUM($J$168:U168)&gt;=1)*(SUM($J$166:U166)&lt;1)</f>
        <v>1</v>
      </c>
      <c r="V169" s="144">
        <f>(SUM($J$168:V168)&gt;=1)*(SUM($J$166:V166)&lt;1)</f>
        <v>1</v>
      </c>
      <c r="W169" s="144">
        <f>(SUM($J$168:W168)&gt;=1)*(SUM($J$166:W166)&lt;1)</f>
        <v>1</v>
      </c>
      <c r="X169" s="144">
        <f>(SUM($J$168:X168)&gt;=1)*(SUM($J$166:X166)&lt;1)</f>
        <v>1</v>
      </c>
      <c r="Y169" s="144">
        <f>(SUM($J$168:Y168)&gt;=1)*(SUM($J$166:Y166)&lt;1)</f>
        <v>1</v>
      </c>
      <c r="Z169" s="144">
        <f>(SUM($J$168:Z168)&gt;=1)*(SUM($J$166:Z166)&lt;1)</f>
        <v>0</v>
      </c>
      <c r="AA169" s="144">
        <f>(SUM($J$168:AA168)&gt;=1)*(SUM($J$166:AA166)&lt;1)</f>
        <v>0</v>
      </c>
      <c r="AB169" s="144">
        <f>(SUM($J$168:AB168)&gt;=1)*(SUM($J$166:AB166)&lt;1)</f>
        <v>0</v>
      </c>
      <c r="AC169" s="144">
        <f>(SUM($J$168:AC168)&gt;=1)*(SUM($J$166:AC166)&lt;1)</f>
        <v>0</v>
      </c>
      <c r="AD169" s="144">
        <f>(SUM($J$168:AD168)&gt;=1)*(SUM($J$166:AD166)&lt;1)</f>
        <v>0</v>
      </c>
      <c r="AE169" s="144">
        <f>(SUM($J$168:AE168)&gt;=1)*(SUM($J$166:AE166)&lt;1)</f>
        <v>0</v>
      </c>
      <c r="AF169" s="144">
        <f>(SUM($J$168:AF168)&gt;=1)*(SUM($J$166:AF166)&lt;1)</f>
        <v>0</v>
      </c>
      <c r="AG169" s="144">
        <f>(SUM($J$168:AG168)&gt;=1)*(SUM($J$166:AG166)&lt;1)</f>
        <v>0</v>
      </c>
      <c r="AH169" s="144">
        <f>(SUM($J$168:AH168)&gt;=1)*(SUM($J$166:AH166)&lt;1)</f>
        <v>0</v>
      </c>
      <c r="AI169" s="144">
        <f>(SUM($J$168:AI168)&gt;=1)*(SUM($J$166:AI166)&lt;1)</f>
        <v>0</v>
      </c>
      <c r="AJ169" s="144">
        <f>(SUM($J$168:AJ168)&gt;=1)*(SUM($J$166:AJ166)&lt;1)</f>
        <v>0</v>
      </c>
      <c r="AK169" s="144">
        <f>(SUM($J$168:AK168)&gt;=1)*(SUM($J$166:AK166)&lt;1)</f>
        <v>0</v>
      </c>
      <c r="AL169" s="144">
        <f>(SUM($J$168:AL168)&gt;=1)*(SUM($J$166:AL166)&lt;1)</f>
        <v>0</v>
      </c>
      <c r="AM169" s="144">
        <f>(SUM($J$168:AM168)&gt;=1)*(SUM($J$166:AM166)&lt;1)</f>
        <v>0</v>
      </c>
      <c r="AN169" s="144">
        <f>(SUM($J$168:AN168)&gt;=1)*(SUM($J$166:AN166)&lt;1)</f>
        <v>0</v>
      </c>
      <c r="AO169" s="144">
        <f>(SUM($J$168:AO168)&gt;=1)*(SUM($J$166:AO166)&lt;1)</f>
        <v>0</v>
      </c>
      <c r="AP169" s="144">
        <f>(SUM($J$168:AP168)&gt;=1)*(SUM($J$166:AP166)&lt;1)</f>
        <v>0</v>
      </c>
      <c r="AQ169" s="144">
        <f>(SUM($J$168:AQ168)&gt;=1)*(SUM($J$166:AQ166)&lt;1)</f>
        <v>0</v>
      </c>
      <c r="AR169" s="144">
        <f>(SUM($J$168:AR168)&gt;=1)*(SUM($J$166:AR166)&lt;1)</f>
        <v>0</v>
      </c>
      <c r="AS169" s="144">
        <f>(SUM($J$168:AS168)&gt;=1)*(SUM($J$166:AS166)&lt;1)</f>
        <v>0</v>
      </c>
      <c r="AT169" s="144">
        <f>(SUM($J$168:AT168)&gt;=1)*(SUM($J$166:AT166)&lt;1)</f>
        <v>0</v>
      </c>
      <c r="AU169" s="144">
        <f>(SUM($J$168:AU168)&gt;=1)*(SUM($J$166:AU166)&lt;1)</f>
        <v>0</v>
      </c>
      <c r="AV169" s="144">
        <f>(SUM($J$168:AV168)&gt;=1)*(SUM($J$166:AV166)&lt;1)</f>
        <v>0</v>
      </c>
      <c r="AW169" s="144">
        <f>(SUM($J$168:AW168)&gt;=1)*(SUM($J$166:AW166)&lt;1)</f>
        <v>0</v>
      </c>
      <c r="AX169" s="144">
        <f>(SUM($J$168:AX168)&gt;=1)*(SUM($J$166:AX166)&lt;1)</f>
        <v>0</v>
      </c>
    </row>
    <row r="170" spans="1:50" ht="15" customHeight="1">
      <c r="A170" s="119"/>
      <c r="B170" s="16"/>
      <c r="C170" s="16"/>
      <c r="D170" s="16"/>
      <c r="E170" s="16" t="s">
        <v>259</v>
      </c>
      <c r="F170" s="16"/>
      <c r="G170" s="16" t="s">
        <v>247</v>
      </c>
      <c r="H170" s="16"/>
      <c r="I170" s="120"/>
      <c r="J170" s="16"/>
      <c r="K170" s="144">
        <f t="shared" ref="K170:AX170" si="23">IF(OR($I$151&gt;K$146,$I$153&lt;K$145),0,IF($I$151&gt;=K$145,(K$146-$I$151+1)/K$159,IF($I$153&lt;=K$146,($I$153-K$145+1)/K$159,1)))</f>
        <v>0</v>
      </c>
      <c r="L170" s="144">
        <f t="shared" si="23"/>
        <v>0</v>
      </c>
      <c r="M170" s="144">
        <f t="shared" si="23"/>
        <v>0</v>
      </c>
      <c r="N170" s="144">
        <f t="shared" si="23"/>
        <v>0</v>
      </c>
      <c r="O170" s="144">
        <f t="shared" si="23"/>
        <v>0</v>
      </c>
      <c r="P170" s="144">
        <f t="shared" si="23"/>
        <v>0</v>
      </c>
      <c r="Q170" s="144">
        <f t="shared" si="23"/>
        <v>0</v>
      </c>
      <c r="R170" s="144">
        <f t="shared" si="23"/>
        <v>0</v>
      </c>
      <c r="S170" s="144">
        <f t="shared" si="23"/>
        <v>0</v>
      </c>
      <c r="T170" s="144">
        <f t="shared" si="23"/>
        <v>0</v>
      </c>
      <c r="U170" s="144">
        <f t="shared" si="23"/>
        <v>0</v>
      </c>
      <c r="V170" s="144">
        <f t="shared" si="23"/>
        <v>0</v>
      </c>
      <c r="W170" s="144">
        <f t="shared" si="23"/>
        <v>0</v>
      </c>
      <c r="X170" s="144">
        <f t="shared" si="23"/>
        <v>0</v>
      </c>
      <c r="Y170" s="144">
        <f t="shared" si="23"/>
        <v>0</v>
      </c>
      <c r="Z170" s="144">
        <f t="shared" si="23"/>
        <v>0.75136612021857918</v>
      </c>
      <c r="AA170" s="144">
        <f t="shared" si="23"/>
        <v>1</v>
      </c>
      <c r="AB170" s="144">
        <f t="shared" si="23"/>
        <v>1</v>
      </c>
      <c r="AC170" s="144">
        <f t="shared" si="23"/>
        <v>1</v>
      </c>
      <c r="AD170" s="144">
        <f t="shared" si="23"/>
        <v>1</v>
      </c>
      <c r="AE170" s="144">
        <f t="shared" si="23"/>
        <v>1</v>
      </c>
      <c r="AF170" s="144">
        <f t="shared" si="23"/>
        <v>1</v>
      </c>
      <c r="AG170" s="144">
        <f t="shared" si="23"/>
        <v>1</v>
      </c>
      <c r="AH170" s="144">
        <f t="shared" si="23"/>
        <v>1</v>
      </c>
      <c r="AI170" s="144">
        <f t="shared" si="23"/>
        <v>1</v>
      </c>
      <c r="AJ170" s="144">
        <f t="shared" si="23"/>
        <v>1</v>
      </c>
      <c r="AK170" s="144">
        <f t="shared" si="23"/>
        <v>1</v>
      </c>
      <c r="AL170" s="144">
        <f t="shared" si="23"/>
        <v>1</v>
      </c>
      <c r="AM170" s="144">
        <f t="shared" si="23"/>
        <v>1</v>
      </c>
      <c r="AN170" s="144">
        <f t="shared" si="23"/>
        <v>1</v>
      </c>
      <c r="AO170" s="144">
        <f t="shared" si="23"/>
        <v>1</v>
      </c>
      <c r="AP170" s="144">
        <f t="shared" si="23"/>
        <v>1</v>
      </c>
      <c r="AQ170" s="144">
        <f t="shared" si="23"/>
        <v>1</v>
      </c>
      <c r="AR170" s="144">
        <f t="shared" si="23"/>
        <v>1</v>
      </c>
      <c r="AS170" s="144">
        <f t="shared" si="23"/>
        <v>1</v>
      </c>
      <c r="AT170" s="144">
        <f t="shared" si="23"/>
        <v>1</v>
      </c>
      <c r="AU170" s="144">
        <f t="shared" si="23"/>
        <v>1</v>
      </c>
      <c r="AV170" s="144">
        <f t="shared" si="23"/>
        <v>1</v>
      </c>
      <c r="AW170" s="144">
        <f t="shared" si="23"/>
        <v>0.49589041095890413</v>
      </c>
      <c r="AX170" s="144">
        <f t="shared" si="23"/>
        <v>0</v>
      </c>
    </row>
    <row r="171" spans="1:50" ht="15" customHeight="1">
      <c r="A171" s="119"/>
      <c r="B171" s="16"/>
      <c r="C171" s="16"/>
      <c r="D171" s="16"/>
      <c r="E171" s="16" t="s">
        <v>260</v>
      </c>
      <c r="F171" s="16"/>
      <c r="G171" s="16" t="s">
        <v>252</v>
      </c>
      <c r="H171" s="16"/>
      <c r="I171" s="120"/>
      <c r="J171" s="16"/>
      <c r="K171" s="143">
        <f>SUM($K$170:K170)*(K170&lt;&gt;0)</f>
        <v>0</v>
      </c>
      <c r="L171" s="143">
        <f>SUM($K$170:L170)*(L170&lt;&gt;0)</f>
        <v>0</v>
      </c>
      <c r="M171" s="143">
        <f>SUM($K$170:M170)*(M170&lt;&gt;0)</f>
        <v>0</v>
      </c>
      <c r="N171" s="143">
        <f>SUM($K$170:N170)*(N170&lt;&gt;0)</f>
        <v>0</v>
      </c>
      <c r="O171" s="143">
        <f>SUM($K$170:O170)*(O170&lt;&gt;0)</f>
        <v>0</v>
      </c>
      <c r="P171" s="143">
        <f>SUM($K$170:P170)*(P170&lt;&gt;0)</f>
        <v>0</v>
      </c>
      <c r="Q171" s="143">
        <f>SUM($K$170:Q170)*(Q170&lt;&gt;0)</f>
        <v>0</v>
      </c>
      <c r="R171" s="143">
        <f>SUM($K$170:R170)*(R170&lt;&gt;0)</f>
        <v>0</v>
      </c>
      <c r="S171" s="143">
        <f>SUM($K$170:S170)*(S170&lt;&gt;0)</f>
        <v>0</v>
      </c>
      <c r="T171" s="143">
        <f>SUM($K$170:T170)*(T170&lt;&gt;0)</f>
        <v>0</v>
      </c>
      <c r="U171" s="143">
        <f>SUM($K$170:U170)*(U170&lt;&gt;0)</f>
        <v>0</v>
      </c>
      <c r="V171" s="143">
        <f>SUM($K$170:V170)*(V170&lt;&gt;0)</f>
        <v>0</v>
      </c>
      <c r="W171" s="143">
        <f>SUM($K$170:W170)*(W170&lt;&gt;0)</f>
        <v>0</v>
      </c>
      <c r="X171" s="143">
        <f>SUM($K$170:X170)*(X170&lt;&gt;0)</f>
        <v>0</v>
      </c>
      <c r="Y171" s="143">
        <f>SUM($K$170:Y170)*(Y170&lt;&gt;0)</f>
        <v>0</v>
      </c>
      <c r="Z171" s="143">
        <f>SUM($K$170:Z170)*(Z170&lt;&gt;0)</f>
        <v>0.75136612021857918</v>
      </c>
      <c r="AA171" s="143">
        <f>SUM($K$170:AA170)*(AA170&lt;&gt;0)</f>
        <v>1.7513661202185791</v>
      </c>
      <c r="AB171" s="143">
        <f>SUM($K$170:AB170)*(AB170&lt;&gt;0)</f>
        <v>2.7513661202185791</v>
      </c>
      <c r="AC171" s="143">
        <f>SUM($K$170:AC170)*(AC170&lt;&gt;0)</f>
        <v>3.7513661202185791</v>
      </c>
      <c r="AD171" s="143">
        <f>SUM($K$170:AD170)*(AD170&lt;&gt;0)</f>
        <v>4.7513661202185791</v>
      </c>
      <c r="AE171" s="143">
        <f>SUM($K$170:AE170)*(AE170&lt;&gt;0)</f>
        <v>5.7513661202185791</v>
      </c>
      <c r="AF171" s="143">
        <f>SUM($K$170:AF170)*(AF170&lt;&gt;0)</f>
        <v>6.7513661202185791</v>
      </c>
      <c r="AG171" s="143">
        <f>SUM($K$170:AG170)*(AG170&lt;&gt;0)</f>
        <v>7.7513661202185791</v>
      </c>
      <c r="AH171" s="143">
        <f>SUM($K$170:AH170)*(AH170&lt;&gt;0)</f>
        <v>8.7513661202185791</v>
      </c>
      <c r="AI171" s="143">
        <f>SUM($K$170:AI170)*(AI170&lt;&gt;0)</f>
        <v>9.7513661202185791</v>
      </c>
      <c r="AJ171" s="143">
        <f>SUM($K$170:AJ170)*(AJ170&lt;&gt;0)</f>
        <v>10.751366120218579</v>
      </c>
      <c r="AK171" s="143">
        <f>SUM($K$170:AK170)*(AK170&lt;&gt;0)</f>
        <v>11.751366120218579</v>
      </c>
      <c r="AL171" s="143">
        <f>SUM($K$170:AL170)*(AL170&lt;&gt;0)</f>
        <v>12.751366120218579</v>
      </c>
      <c r="AM171" s="143">
        <f>SUM($K$170:AM170)*(AM170&lt;&gt;0)</f>
        <v>13.751366120218579</v>
      </c>
      <c r="AN171" s="143">
        <f>SUM($K$170:AN170)*(AN170&lt;&gt;0)</f>
        <v>14.751366120218579</v>
      </c>
      <c r="AO171" s="143">
        <f>SUM($K$170:AO170)*(AO170&lt;&gt;0)</f>
        <v>15.751366120218579</v>
      </c>
      <c r="AP171" s="143">
        <f>SUM($K$170:AP170)*(AP170&lt;&gt;0)</f>
        <v>16.751366120218577</v>
      </c>
      <c r="AQ171" s="143">
        <f>SUM($K$170:AQ170)*(AQ170&lt;&gt;0)</f>
        <v>17.751366120218577</v>
      </c>
      <c r="AR171" s="143">
        <f>SUM($K$170:AR170)*(AR170&lt;&gt;0)</f>
        <v>18.751366120218577</v>
      </c>
      <c r="AS171" s="143">
        <f>SUM($K$170:AS170)*(AS170&lt;&gt;0)</f>
        <v>19.751366120218577</v>
      </c>
      <c r="AT171" s="143">
        <f>SUM($K$170:AT170)*(AT170&lt;&gt;0)</f>
        <v>20.751366120218577</v>
      </c>
      <c r="AU171" s="143">
        <f>SUM($K$170:AU170)*(AU170&lt;&gt;0)</f>
        <v>21.751366120218577</v>
      </c>
      <c r="AV171" s="143">
        <f>SUM($K$170:AV170)*(AV170&lt;&gt;0)</f>
        <v>22.751366120218577</v>
      </c>
      <c r="AW171" s="143">
        <f>SUM($K$170:AW170)*(AW170&lt;&gt;0)</f>
        <v>23.247256531177481</v>
      </c>
      <c r="AX171" s="143">
        <f>SUM($K$170:AX170)*(AX170&lt;&gt;0)</f>
        <v>0</v>
      </c>
    </row>
    <row r="172" spans="1:50" ht="15" customHeight="1">
      <c r="A172" s="119"/>
      <c r="B172" s="16"/>
      <c r="C172" s="16"/>
      <c r="D172" s="16"/>
      <c r="E172" s="16" t="s">
        <v>261</v>
      </c>
      <c r="F172" s="16"/>
      <c r="G172" s="16" t="s">
        <v>247</v>
      </c>
      <c r="H172" s="16"/>
      <c r="I172" s="120"/>
      <c r="J172" s="16"/>
      <c r="K172" s="144">
        <f t="shared" ref="K172:AX172" si="24">IF(OR($I$151&gt;K$146,$I$154&lt;K$145),0,IF($I$151&gt;=K$145,(K$146-$I$151+1)/K$159,IF($I$154&lt;=K$146,($I$154-K$145+1)/K$159,1)))-K170</f>
        <v>0</v>
      </c>
      <c r="L172" s="144">
        <f t="shared" si="24"/>
        <v>0</v>
      </c>
      <c r="M172" s="144">
        <f t="shared" si="24"/>
        <v>0</v>
      </c>
      <c r="N172" s="144">
        <f t="shared" si="24"/>
        <v>0</v>
      </c>
      <c r="O172" s="144">
        <f t="shared" si="24"/>
        <v>0</v>
      </c>
      <c r="P172" s="144">
        <f t="shared" si="24"/>
        <v>0</v>
      </c>
      <c r="Q172" s="144">
        <f t="shared" si="24"/>
        <v>0</v>
      </c>
      <c r="R172" s="144">
        <f t="shared" si="24"/>
        <v>0</v>
      </c>
      <c r="S172" s="144">
        <f t="shared" si="24"/>
        <v>0</v>
      </c>
      <c r="T172" s="144">
        <f t="shared" si="24"/>
        <v>0</v>
      </c>
      <c r="U172" s="144">
        <f t="shared" si="24"/>
        <v>0</v>
      </c>
      <c r="V172" s="144">
        <f t="shared" si="24"/>
        <v>0</v>
      </c>
      <c r="W172" s="144">
        <f t="shared" si="24"/>
        <v>0</v>
      </c>
      <c r="X172" s="144">
        <f t="shared" si="24"/>
        <v>0</v>
      </c>
      <c r="Y172" s="144">
        <f t="shared" si="24"/>
        <v>0</v>
      </c>
      <c r="Z172" s="144">
        <f t="shared" si="24"/>
        <v>0</v>
      </c>
      <c r="AA172" s="144">
        <f t="shared" si="24"/>
        <v>0</v>
      </c>
      <c r="AB172" s="144">
        <f t="shared" si="24"/>
        <v>0</v>
      </c>
      <c r="AC172" s="144">
        <f t="shared" si="24"/>
        <v>0</v>
      </c>
      <c r="AD172" s="144">
        <f t="shared" si="24"/>
        <v>0</v>
      </c>
      <c r="AE172" s="144">
        <f t="shared" si="24"/>
        <v>0</v>
      </c>
      <c r="AF172" s="144">
        <f t="shared" si="24"/>
        <v>0</v>
      </c>
      <c r="AG172" s="144">
        <f t="shared" si="24"/>
        <v>0</v>
      </c>
      <c r="AH172" s="144">
        <f t="shared" si="24"/>
        <v>0</v>
      </c>
      <c r="AI172" s="144">
        <f t="shared" si="24"/>
        <v>0</v>
      </c>
      <c r="AJ172" s="144">
        <f t="shared" si="24"/>
        <v>0</v>
      </c>
      <c r="AK172" s="144">
        <f t="shared" si="24"/>
        <v>0</v>
      </c>
      <c r="AL172" s="144">
        <f t="shared" si="24"/>
        <v>0</v>
      </c>
      <c r="AM172" s="144">
        <f t="shared" si="24"/>
        <v>0</v>
      </c>
      <c r="AN172" s="144">
        <f t="shared" si="24"/>
        <v>0</v>
      </c>
      <c r="AO172" s="144">
        <f t="shared" si="24"/>
        <v>0</v>
      </c>
      <c r="AP172" s="144">
        <f t="shared" si="24"/>
        <v>0</v>
      </c>
      <c r="AQ172" s="144">
        <f t="shared" si="24"/>
        <v>0</v>
      </c>
      <c r="AR172" s="144">
        <f t="shared" si="24"/>
        <v>0</v>
      </c>
      <c r="AS172" s="144">
        <f t="shared" si="24"/>
        <v>0</v>
      </c>
      <c r="AT172" s="144">
        <f t="shared" si="24"/>
        <v>0</v>
      </c>
      <c r="AU172" s="144">
        <f t="shared" si="24"/>
        <v>0</v>
      </c>
      <c r="AV172" s="144">
        <f t="shared" si="24"/>
        <v>0</v>
      </c>
      <c r="AW172" s="144">
        <f t="shared" si="24"/>
        <v>0.50410958904109582</v>
      </c>
      <c r="AX172" s="144">
        <f t="shared" si="24"/>
        <v>1</v>
      </c>
    </row>
    <row r="173" spans="1:50" ht="15" customHeight="1">
      <c r="A173" s="16"/>
      <c r="B173" s="16"/>
      <c r="C173" s="16"/>
      <c r="D173" s="16"/>
      <c r="E173" s="16"/>
      <c r="F173" s="16"/>
      <c r="G173" s="16"/>
      <c r="H173" s="16"/>
      <c r="I173" s="120"/>
      <c r="J173" s="16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</row>
    <row r="174" spans="1:50" ht="15" customHeight="1">
      <c r="A174" s="26"/>
      <c r="B174" s="26"/>
      <c r="C174" s="67" t="s">
        <v>262</v>
      </c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  <c r="AA174" s="67"/>
      <c r="AB174" s="67"/>
      <c r="AC174" s="67"/>
      <c r="AD174" s="67"/>
      <c r="AE174" s="67"/>
      <c r="AF174" s="67"/>
      <c r="AG174" s="67"/>
      <c r="AH174" s="67"/>
      <c r="AI174" s="67"/>
      <c r="AJ174" s="67"/>
      <c r="AK174" s="67"/>
      <c r="AL174" s="67"/>
      <c r="AM174" s="67"/>
      <c r="AN174" s="67"/>
      <c r="AO174" s="67"/>
      <c r="AP174" s="67"/>
      <c r="AQ174" s="67"/>
      <c r="AR174" s="67"/>
      <c r="AS174" s="67"/>
      <c r="AT174" s="67"/>
      <c r="AU174" s="67"/>
      <c r="AV174" s="67"/>
      <c r="AW174" s="67"/>
      <c r="AX174" s="67"/>
    </row>
    <row r="175" spans="1:50" ht="15" customHeight="1">
      <c r="A175" s="16"/>
      <c r="B175" s="16"/>
      <c r="C175" s="16"/>
      <c r="D175" s="16"/>
      <c r="E175" s="16"/>
      <c r="F175" s="16"/>
      <c r="G175" s="26"/>
      <c r="H175" s="16"/>
      <c r="I175" s="102"/>
      <c r="J175" s="16"/>
      <c r="K175" s="16"/>
      <c r="L175" s="16"/>
      <c r="M175" s="16"/>
      <c r="N175" s="16"/>
      <c r="O175" s="16"/>
      <c r="P175" s="107"/>
      <c r="Q175" s="107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</row>
    <row r="176" spans="1:50" ht="15" customHeight="1">
      <c r="A176" s="68"/>
      <c r="B176" s="68"/>
      <c r="C176" s="68"/>
      <c r="D176" s="68"/>
      <c r="E176" s="69" t="s">
        <v>119</v>
      </c>
      <c r="F176" s="70"/>
      <c r="G176" s="70"/>
      <c r="H176" s="70"/>
      <c r="I176" s="70"/>
      <c r="J176" s="68"/>
      <c r="K176" s="71">
        <f>K17</f>
        <v>41275</v>
      </c>
      <c r="L176" s="72">
        <f t="shared" ref="L176:AX176" si="25">+K177+1</f>
        <v>41640</v>
      </c>
      <c r="M176" s="72">
        <f t="shared" si="25"/>
        <v>42005</v>
      </c>
      <c r="N176" s="72">
        <f t="shared" si="25"/>
        <v>42370</v>
      </c>
      <c r="O176" s="72">
        <f t="shared" si="25"/>
        <v>42736</v>
      </c>
      <c r="P176" s="72">
        <f t="shared" si="25"/>
        <v>43101</v>
      </c>
      <c r="Q176" s="72">
        <f t="shared" si="25"/>
        <v>43466</v>
      </c>
      <c r="R176" s="72">
        <f t="shared" si="25"/>
        <v>43831</v>
      </c>
      <c r="S176" s="72">
        <f t="shared" si="25"/>
        <v>44197</v>
      </c>
      <c r="T176" s="72">
        <f t="shared" si="25"/>
        <v>44562</v>
      </c>
      <c r="U176" s="72">
        <f t="shared" si="25"/>
        <v>44927</v>
      </c>
      <c r="V176" s="72">
        <f t="shared" si="25"/>
        <v>45292</v>
      </c>
      <c r="W176" s="72">
        <f t="shared" si="25"/>
        <v>45658</v>
      </c>
      <c r="X176" s="72">
        <f t="shared" si="25"/>
        <v>46023</v>
      </c>
      <c r="Y176" s="72">
        <f t="shared" si="25"/>
        <v>46388</v>
      </c>
      <c r="Z176" s="72">
        <f t="shared" si="25"/>
        <v>46753</v>
      </c>
      <c r="AA176" s="72">
        <f t="shared" si="25"/>
        <v>47119</v>
      </c>
      <c r="AB176" s="72">
        <f t="shared" si="25"/>
        <v>47484</v>
      </c>
      <c r="AC176" s="72">
        <f t="shared" si="25"/>
        <v>47849</v>
      </c>
      <c r="AD176" s="72">
        <f t="shared" si="25"/>
        <v>48214</v>
      </c>
      <c r="AE176" s="72">
        <f t="shared" si="25"/>
        <v>48580</v>
      </c>
      <c r="AF176" s="72">
        <f t="shared" si="25"/>
        <v>48945</v>
      </c>
      <c r="AG176" s="72">
        <f t="shared" si="25"/>
        <v>49310</v>
      </c>
      <c r="AH176" s="72">
        <f t="shared" si="25"/>
        <v>49675</v>
      </c>
      <c r="AI176" s="72">
        <f t="shared" si="25"/>
        <v>50041</v>
      </c>
      <c r="AJ176" s="72">
        <f t="shared" si="25"/>
        <v>50406</v>
      </c>
      <c r="AK176" s="72">
        <f t="shared" si="25"/>
        <v>50771</v>
      </c>
      <c r="AL176" s="72">
        <f t="shared" si="25"/>
        <v>51136</v>
      </c>
      <c r="AM176" s="72">
        <f t="shared" si="25"/>
        <v>51502</v>
      </c>
      <c r="AN176" s="72">
        <f t="shared" si="25"/>
        <v>51867</v>
      </c>
      <c r="AO176" s="72">
        <f t="shared" si="25"/>
        <v>52232</v>
      </c>
      <c r="AP176" s="72">
        <f t="shared" si="25"/>
        <v>52597</v>
      </c>
      <c r="AQ176" s="72">
        <f t="shared" si="25"/>
        <v>52963</v>
      </c>
      <c r="AR176" s="72">
        <f t="shared" si="25"/>
        <v>53328</v>
      </c>
      <c r="AS176" s="72">
        <f t="shared" si="25"/>
        <v>53693</v>
      </c>
      <c r="AT176" s="72">
        <f t="shared" si="25"/>
        <v>54058</v>
      </c>
      <c r="AU176" s="72">
        <f t="shared" si="25"/>
        <v>54424</v>
      </c>
      <c r="AV176" s="72">
        <f t="shared" si="25"/>
        <v>54789</v>
      </c>
      <c r="AW176" s="72">
        <f t="shared" si="25"/>
        <v>55154</v>
      </c>
      <c r="AX176" s="72">
        <f t="shared" si="25"/>
        <v>55519</v>
      </c>
    </row>
    <row r="177" spans="1:50" ht="15" customHeight="1">
      <c r="A177" s="73"/>
      <c r="B177" s="73"/>
      <c r="C177" s="73"/>
      <c r="D177" s="73"/>
      <c r="E177" s="69" t="s">
        <v>120</v>
      </c>
      <c r="F177" s="73"/>
      <c r="G177" s="73"/>
      <c r="H177" s="73"/>
      <c r="I177" s="74"/>
      <c r="J177" s="73"/>
      <c r="K177" s="71">
        <f>K18</f>
        <v>41639</v>
      </c>
      <c r="L177" s="72">
        <f t="shared" ref="L177:AX177" si="26">DATE(YEAR(K177) + 1, MONTH(K177), DAY(K177))</f>
        <v>42004</v>
      </c>
      <c r="M177" s="72">
        <f t="shared" si="26"/>
        <v>42369</v>
      </c>
      <c r="N177" s="72">
        <f t="shared" si="26"/>
        <v>42735</v>
      </c>
      <c r="O177" s="72">
        <f t="shared" si="26"/>
        <v>43100</v>
      </c>
      <c r="P177" s="72">
        <f t="shared" si="26"/>
        <v>43465</v>
      </c>
      <c r="Q177" s="72">
        <f t="shared" si="26"/>
        <v>43830</v>
      </c>
      <c r="R177" s="72">
        <f t="shared" si="26"/>
        <v>44196</v>
      </c>
      <c r="S177" s="72">
        <f t="shared" si="26"/>
        <v>44561</v>
      </c>
      <c r="T177" s="72">
        <f t="shared" si="26"/>
        <v>44926</v>
      </c>
      <c r="U177" s="72">
        <f t="shared" si="26"/>
        <v>45291</v>
      </c>
      <c r="V177" s="72">
        <f t="shared" si="26"/>
        <v>45657</v>
      </c>
      <c r="W177" s="72">
        <f t="shared" si="26"/>
        <v>46022</v>
      </c>
      <c r="X177" s="72">
        <f t="shared" si="26"/>
        <v>46387</v>
      </c>
      <c r="Y177" s="72">
        <f t="shared" si="26"/>
        <v>46752</v>
      </c>
      <c r="Z177" s="72">
        <f t="shared" si="26"/>
        <v>47118</v>
      </c>
      <c r="AA177" s="72">
        <f t="shared" si="26"/>
        <v>47483</v>
      </c>
      <c r="AB177" s="72">
        <f t="shared" si="26"/>
        <v>47848</v>
      </c>
      <c r="AC177" s="72">
        <f t="shared" si="26"/>
        <v>48213</v>
      </c>
      <c r="AD177" s="72">
        <f t="shared" si="26"/>
        <v>48579</v>
      </c>
      <c r="AE177" s="72">
        <f t="shared" si="26"/>
        <v>48944</v>
      </c>
      <c r="AF177" s="72">
        <f t="shared" si="26"/>
        <v>49309</v>
      </c>
      <c r="AG177" s="72">
        <f t="shared" si="26"/>
        <v>49674</v>
      </c>
      <c r="AH177" s="72">
        <f t="shared" si="26"/>
        <v>50040</v>
      </c>
      <c r="AI177" s="72">
        <f t="shared" si="26"/>
        <v>50405</v>
      </c>
      <c r="AJ177" s="72">
        <f t="shared" si="26"/>
        <v>50770</v>
      </c>
      <c r="AK177" s="72">
        <f t="shared" si="26"/>
        <v>51135</v>
      </c>
      <c r="AL177" s="72">
        <f t="shared" si="26"/>
        <v>51501</v>
      </c>
      <c r="AM177" s="72">
        <f t="shared" si="26"/>
        <v>51866</v>
      </c>
      <c r="AN177" s="72">
        <f t="shared" si="26"/>
        <v>52231</v>
      </c>
      <c r="AO177" s="72">
        <f t="shared" si="26"/>
        <v>52596</v>
      </c>
      <c r="AP177" s="72">
        <f t="shared" si="26"/>
        <v>52962</v>
      </c>
      <c r="AQ177" s="72">
        <f t="shared" si="26"/>
        <v>53327</v>
      </c>
      <c r="AR177" s="72">
        <f t="shared" si="26"/>
        <v>53692</v>
      </c>
      <c r="AS177" s="72">
        <f t="shared" si="26"/>
        <v>54057</v>
      </c>
      <c r="AT177" s="72">
        <f t="shared" si="26"/>
        <v>54423</v>
      </c>
      <c r="AU177" s="72">
        <f t="shared" si="26"/>
        <v>54788</v>
      </c>
      <c r="AV177" s="72">
        <f t="shared" si="26"/>
        <v>55153</v>
      </c>
      <c r="AW177" s="72">
        <f t="shared" si="26"/>
        <v>55518</v>
      </c>
      <c r="AX177" s="72">
        <f t="shared" si="26"/>
        <v>55884</v>
      </c>
    </row>
    <row r="178" spans="1:50" ht="15" customHeight="1"/>
    <row r="179" spans="1:50" ht="15" customHeight="1">
      <c r="B179" s="122"/>
      <c r="E179" s="13" t="s">
        <v>263</v>
      </c>
      <c r="G179" s="26" t="s">
        <v>111</v>
      </c>
      <c r="I179" s="145">
        <v>3.4200000000000001E-2</v>
      </c>
      <c r="J179" s="146"/>
      <c r="M179" s="146"/>
      <c r="N179" s="146"/>
      <c r="O179" s="146"/>
      <c r="P179" s="146"/>
      <c r="Q179" s="146"/>
      <c r="R179" s="146"/>
      <c r="S179" s="146"/>
      <c r="T179" s="146"/>
      <c r="U179" s="146"/>
      <c r="V179" s="146"/>
      <c r="W179" s="146"/>
      <c r="X179" s="146"/>
      <c r="Y179" s="146"/>
      <c r="Z179" s="146"/>
      <c r="AA179" s="146"/>
      <c r="AB179" s="146"/>
      <c r="AC179" s="146"/>
      <c r="AD179" s="146"/>
      <c r="AE179" s="146"/>
      <c r="AF179" s="146"/>
      <c r="AG179" s="146"/>
      <c r="AH179" s="146"/>
      <c r="AI179" s="146"/>
      <c r="AJ179" s="146"/>
      <c r="AK179" s="146"/>
      <c r="AL179" s="146"/>
      <c r="AM179" s="146"/>
      <c r="AN179" s="146"/>
      <c r="AO179" s="146"/>
      <c r="AP179" s="146"/>
      <c r="AQ179" s="146"/>
      <c r="AR179" s="146"/>
      <c r="AS179" s="146"/>
      <c r="AT179" s="146"/>
      <c r="AU179" s="146"/>
      <c r="AV179" s="146"/>
      <c r="AW179" s="146"/>
      <c r="AX179" s="146"/>
    </row>
    <row r="180" spans="1:50" ht="26">
      <c r="A180"/>
      <c r="B180" s="122"/>
      <c r="E180" s="16" t="str">
        <f>E24</f>
        <v>Base year UK RPI inflation index value (CHAW)</v>
      </c>
      <c r="F180" s="16"/>
      <c r="G180" s="94" t="str">
        <f>G24</f>
        <v>Jan 1987 = 100</v>
      </c>
      <c r="H180" s="94" t="str">
        <f>H24</f>
        <v>UK RPI index 2020/21</v>
      </c>
      <c r="I180" s="83">
        <f>I24</f>
        <v>294.16669999999999</v>
      </c>
      <c r="K180" s="146"/>
      <c r="L180" s="146"/>
      <c r="M180" s="146"/>
      <c r="N180" s="146"/>
      <c r="O180" s="146"/>
      <c r="S180" s="146"/>
      <c r="T180" s="146"/>
      <c r="V180" s="146"/>
      <c r="W180" s="146"/>
      <c r="X180" s="146"/>
      <c r="Y180" s="146"/>
      <c r="Z180" s="146"/>
      <c r="AA180" s="146"/>
      <c r="AB180" s="146"/>
      <c r="AC180" s="146"/>
      <c r="AD180" s="146"/>
      <c r="AE180" s="146"/>
      <c r="AF180" s="146"/>
      <c r="AG180" s="146"/>
      <c r="AH180" s="146"/>
      <c r="AI180" s="146"/>
      <c r="AJ180" s="146"/>
      <c r="AK180" s="146"/>
      <c r="AL180" s="146"/>
      <c r="AM180" s="146"/>
      <c r="AN180" s="146"/>
      <c r="AO180" s="146"/>
      <c r="AP180" s="146"/>
      <c r="AQ180" s="146"/>
      <c r="AR180" s="146"/>
      <c r="AS180" s="146"/>
      <c r="AT180" s="146"/>
      <c r="AU180" s="146"/>
      <c r="AV180" s="146"/>
      <c r="AW180" s="146"/>
      <c r="AX180" s="146"/>
    </row>
    <row r="181" spans="1:50" ht="13">
      <c r="A181"/>
      <c r="B181" s="122"/>
      <c r="E181" s="16"/>
      <c r="F181" s="16"/>
      <c r="G181" s="94"/>
      <c r="H181" s="94"/>
      <c r="I181" s="83"/>
      <c r="K181" s="146"/>
      <c r="L181" s="146"/>
      <c r="M181" s="146"/>
      <c r="N181" s="146"/>
      <c r="O181" s="146"/>
      <c r="S181" s="146"/>
      <c r="T181" s="146"/>
      <c r="V181" s="146"/>
      <c r="W181" s="146"/>
      <c r="X181" s="146"/>
      <c r="Y181" s="146"/>
      <c r="Z181" s="146"/>
      <c r="AA181" s="146"/>
      <c r="AB181" s="146"/>
      <c r="AC181" s="146"/>
      <c r="AD181" s="146"/>
      <c r="AE181" s="146"/>
      <c r="AF181" s="146"/>
      <c r="AG181" s="146"/>
      <c r="AH181" s="146"/>
      <c r="AI181" s="146"/>
      <c r="AJ181" s="146"/>
      <c r="AK181" s="146"/>
      <c r="AL181" s="146"/>
      <c r="AM181" s="146"/>
      <c r="AN181" s="146"/>
      <c r="AO181" s="146"/>
      <c r="AP181" s="146"/>
      <c r="AQ181" s="146"/>
      <c r="AR181" s="146"/>
      <c r="AS181" s="146"/>
      <c r="AT181" s="146"/>
      <c r="AU181" s="146"/>
      <c r="AV181" s="146"/>
      <c r="AW181" s="146"/>
      <c r="AX181" s="146"/>
    </row>
    <row r="182" spans="1:50" ht="15" customHeight="1">
      <c r="A182"/>
      <c r="B182" s="122"/>
      <c r="E182" s="13" t="str">
        <f>E28</f>
        <v>12 month average UK RPI inflation index value (CHAW)</v>
      </c>
      <c r="G182" s="13" t="str">
        <f>G28</f>
        <v>Jan 1987 = 100</v>
      </c>
      <c r="H182" s="13" t="str">
        <f>H28</f>
        <v>UK RPI index t</v>
      </c>
      <c r="K182" s="93">
        <f t="shared" ref="K182:AX182" si="27">K28</f>
        <v>250.10833333333335</v>
      </c>
      <c r="L182" s="93">
        <f t="shared" si="27"/>
        <v>256.0333333333333</v>
      </c>
      <c r="M182" s="93">
        <f t="shared" si="27"/>
        <v>258.54166666666669</v>
      </c>
      <c r="N182" s="93">
        <f t="shared" si="27"/>
        <v>263.05</v>
      </c>
      <c r="O182" s="93">
        <f t="shared" si="27"/>
        <v>272.47500000000002</v>
      </c>
      <c r="P182" s="93">
        <f t="shared" si="27"/>
        <v>281.58333333333331</v>
      </c>
      <c r="Q182" s="93">
        <f t="shared" si="27"/>
        <v>288.8</v>
      </c>
      <c r="R182" s="93">
        <f t="shared" si="27"/>
        <v>293.14166666666671</v>
      </c>
      <c r="S182" s="93">
        <f t="shared" si="27"/>
        <v>305</v>
      </c>
      <c r="T182" s="93">
        <f t="shared" si="27"/>
        <v>340.33300000000003</v>
      </c>
      <c r="U182" s="93">
        <f t="shared" si="27"/>
        <v>351.97238860000004</v>
      </c>
      <c r="V182" s="93">
        <f t="shared" si="27"/>
        <v>364.00984429012004</v>
      </c>
      <c r="W182" s="93">
        <f t="shared" si="27"/>
        <v>376.45898096484217</v>
      </c>
      <c r="X182" s="93">
        <f t="shared" si="27"/>
        <v>389.33387811383977</v>
      </c>
      <c r="Y182" s="93">
        <f t="shared" si="27"/>
        <v>402.64909674533311</v>
      </c>
      <c r="Z182" s="93">
        <f t="shared" si="27"/>
        <v>416.41969585402353</v>
      </c>
      <c r="AA182" s="93">
        <f t="shared" si="27"/>
        <v>430.66124945223112</v>
      </c>
      <c r="AB182" s="93">
        <f t="shared" si="27"/>
        <v>445.38986418349742</v>
      </c>
      <c r="AC182" s="93">
        <f t="shared" si="27"/>
        <v>460.62219753857306</v>
      </c>
      <c r="AD182" s="93">
        <f t="shared" si="27"/>
        <v>476.37547669439226</v>
      </c>
      <c r="AE182" s="93">
        <f t="shared" si="27"/>
        <v>492.6675179973405</v>
      </c>
      <c r="AF182" s="93">
        <f t="shared" si="27"/>
        <v>509.51674711284954</v>
      </c>
      <c r="AG182" s="93">
        <f t="shared" si="27"/>
        <v>526.94221986410901</v>
      </c>
      <c r="AH182" s="93">
        <f t="shared" si="27"/>
        <v>544.96364378346152</v>
      </c>
      <c r="AI182" s="93">
        <f t="shared" si="27"/>
        <v>563.60140040085594</v>
      </c>
      <c r="AJ182" s="93">
        <f t="shared" si="27"/>
        <v>582.87656829456523</v>
      </c>
      <c r="AK182" s="93">
        <f t="shared" si="27"/>
        <v>602.81094693023931</v>
      </c>
      <c r="AL182" s="93">
        <f t="shared" si="27"/>
        <v>623.42708131525353</v>
      </c>
      <c r="AM182" s="93">
        <f t="shared" si="27"/>
        <v>644.74828749623521</v>
      </c>
      <c r="AN182" s="93">
        <f t="shared" si="27"/>
        <v>666.79867892860648</v>
      </c>
      <c r="AO182" s="93">
        <f t="shared" si="27"/>
        <v>689.60319374796484</v>
      </c>
      <c r="AP182" s="93">
        <f t="shared" si="27"/>
        <v>713.18762297414526</v>
      </c>
      <c r="AQ182" s="93">
        <f t="shared" si="27"/>
        <v>737.578639679861</v>
      </c>
      <c r="AR182" s="93">
        <f t="shared" si="27"/>
        <v>762.80382915691223</v>
      </c>
      <c r="AS182" s="93">
        <f t="shared" si="27"/>
        <v>788.89172011407868</v>
      </c>
      <c r="AT182" s="93">
        <f t="shared" si="27"/>
        <v>815.87181694198023</v>
      </c>
      <c r="AU182" s="93">
        <f t="shared" si="27"/>
        <v>843.7746330813959</v>
      </c>
      <c r="AV182" s="93">
        <f t="shared" si="27"/>
        <v>872.63172553277968</v>
      </c>
      <c r="AW182" s="93">
        <f t="shared" si="27"/>
        <v>902.4757305460007</v>
      </c>
      <c r="AX182" s="93">
        <f t="shared" si="27"/>
        <v>933.34040053067395</v>
      </c>
    </row>
    <row r="183" spans="1:50" ht="15" customHeight="1">
      <c r="A183"/>
      <c r="B183" s="122"/>
      <c r="E183" s="79" t="s">
        <v>264</v>
      </c>
      <c r="G183" s="13" t="s">
        <v>265</v>
      </c>
      <c r="K183" s="147">
        <f t="shared" ref="K183:AX183" si="28">K182/$I$180</f>
        <v>0.85022653255223435</v>
      </c>
      <c r="L183" s="147">
        <f t="shared" si="28"/>
        <v>0.87036817332938543</v>
      </c>
      <c r="M183" s="147">
        <f t="shared" si="28"/>
        <v>0.87889508454446641</v>
      </c>
      <c r="N183" s="147">
        <f t="shared" si="28"/>
        <v>0.89422086184466165</v>
      </c>
      <c r="O183" s="147">
        <f t="shared" si="28"/>
        <v>0.92626051827076294</v>
      </c>
      <c r="P183" s="147">
        <f t="shared" si="28"/>
        <v>0.95722368756672094</v>
      </c>
      <c r="Q183" s="147">
        <f t="shared" si="28"/>
        <v>0.98175626269050853</v>
      </c>
      <c r="R183" s="147">
        <f t="shared" si="28"/>
        <v>0.99651546781694433</v>
      </c>
      <c r="S183" s="147">
        <f t="shared" si="28"/>
        <v>1.0368270779799345</v>
      </c>
      <c r="T183" s="147">
        <f t="shared" si="28"/>
        <v>1.1569392456726069</v>
      </c>
      <c r="U183" s="147">
        <f t="shared" si="28"/>
        <v>1.1965065678746101</v>
      </c>
      <c r="V183" s="147">
        <f t="shared" si="28"/>
        <v>1.2374270924959216</v>
      </c>
      <c r="W183" s="147">
        <f t="shared" si="28"/>
        <v>1.2797470990592823</v>
      </c>
      <c r="X183" s="147">
        <f t="shared" si="28"/>
        <v>1.3235144498471099</v>
      </c>
      <c r="Y183" s="147">
        <f t="shared" si="28"/>
        <v>1.368778644031881</v>
      </c>
      <c r="Z183" s="147">
        <f t="shared" si="28"/>
        <v>1.4155908736577714</v>
      </c>
      <c r="AA183" s="147">
        <f t="shared" si="28"/>
        <v>1.4640040815368671</v>
      </c>
      <c r="AB183" s="147">
        <f t="shared" si="28"/>
        <v>1.5140730211254281</v>
      </c>
      <c r="AC183" s="147">
        <f t="shared" si="28"/>
        <v>1.5658543184479177</v>
      </c>
      <c r="AD183" s="147">
        <f t="shared" si="28"/>
        <v>1.6194065361388366</v>
      </c>
      <c r="AE183" s="147">
        <f t="shared" si="28"/>
        <v>1.6747902396747847</v>
      </c>
      <c r="AF183" s="147">
        <f t="shared" si="28"/>
        <v>1.7320680658716625</v>
      </c>
      <c r="AG183" s="147">
        <f t="shared" si="28"/>
        <v>1.7913047937244733</v>
      </c>
      <c r="AH183" s="147">
        <f t="shared" si="28"/>
        <v>1.8525674176698503</v>
      </c>
      <c r="AI183" s="147">
        <f t="shared" si="28"/>
        <v>1.9159252233541593</v>
      </c>
      <c r="AJ183" s="147">
        <f t="shared" si="28"/>
        <v>1.9814498659928717</v>
      </c>
      <c r="AK183" s="147">
        <f t="shared" si="28"/>
        <v>2.0492154514098275</v>
      </c>
      <c r="AL183" s="147">
        <f t="shared" si="28"/>
        <v>2.1192986198480437</v>
      </c>
      <c r="AM183" s="147">
        <f t="shared" si="28"/>
        <v>2.1917786326468471</v>
      </c>
      <c r="AN183" s="147">
        <f t="shared" si="28"/>
        <v>2.2667374618833693</v>
      </c>
      <c r="AO183" s="147">
        <f t="shared" si="28"/>
        <v>2.3442598830797805</v>
      </c>
      <c r="AP183" s="147">
        <f t="shared" si="28"/>
        <v>2.4244335710811091</v>
      </c>
      <c r="AQ183" s="147">
        <f t="shared" si="28"/>
        <v>2.5073491992120829</v>
      </c>
      <c r="AR183" s="147">
        <f t="shared" si="28"/>
        <v>2.5931005418251361</v>
      </c>
      <c r="AS183" s="147">
        <f t="shared" si="28"/>
        <v>2.681784580355556</v>
      </c>
      <c r="AT183" s="147">
        <f t="shared" si="28"/>
        <v>2.7735016130037162</v>
      </c>
      <c r="AU183" s="147">
        <f t="shared" si="28"/>
        <v>2.8683553681684431</v>
      </c>
      <c r="AV183" s="147">
        <f t="shared" si="28"/>
        <v>2.966453121759804</v>
      </c>
      <c r="AW183" s="147">
        <f t="shared" si="28"/>
        <v>3.0679058185239891</v>
      </c>
      <c r="AX183" s="147">
        <f t="shared" si="28"/>
        <v>3.1728281975175094</v>
      </c>
    </row>
    <row r="184" spans="1:50" ht="15" customHeight="1">
      <c r="A184" s="16"/>
      <c r="B184" s="16"/>
      <c r="C184" s="16"/>
      <c r="D184" s="16"/>
      <c r="E184" s="16"/>
      <c r="F184" s="16"/>
      <c r="G184" s="26"/>
      <c r="H184" s="16"/>
      <c r="I184" s="102"/>
      <c r="J184" s="16"/>
      <c r="K184" s="16"/>
      <c r="L184" s="16"/>
      <c r="M184" s="16"/>
      <c r="N184" s="16"/>
      <c r="O184" s="16"/>
      <c r="P184" s="107"/>
      <c r="Q184" s="107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</row>
    <row r="185" spans="1:50" ht="15" customHeight="1">
      <c r="A185" s="26"/>
      <c r="B185" s="26"/>
      <c r="C185" s="67" t="s">
        <v>266</v>
      </c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7"/>
      <c r="AA185" s="67"/>
      <c r="AB185" s="67"/>
      <c r="AC185" s="67"/>
      <c r="AD185" s="67"/>
      <c r="AE185" s="67"/>
      <c r="AF185" s="67"/>
      <c r="AG185" s="67"/>
      <c r="AH185" s="67"/>
      <c r="AI185" s="67"/>
      <c r="AJ185" s="67"/>
      <c r="AK185" s="67"/>
      <c r="AL185" s="67"/>
      <c r="AM185" s="67"/>
      <c r="AN185" s="67"/>
      <c r="AO185" s="67"/>
      <c r="AP185" s="67"/>
      <c r="AQ185" s="67"/>
      <c r="AR185" s="67"/>
      <c r="AS185" s="67"/>
      <c r="AT185" s="67"/>
      <c r="AU185" s="67"/>
      <c r="AV185" s="67"/>
      <c r="AW185" s="67"/>
      <c r="AX185" s="67"/>
    </row>
    <row r="186" spans="1:50" ht="15" customHeight="1">
      <c r="A186" s="26"/>
      <c r="B186" s="26"/>
      <c r="C186" s="26"/>
      <c r="D186" s="26"/>
      <c r="E186" s="26"/>
      <c r="F186" s="26"/>
      <c r="G186" s="26"/>
      <c r="H186" s="26"/>
      <c r="I186" s="26"/>
      <c r="J186" s="107"/>
      <c r="K186" s="26"/>
      <c r="L186" s="26"/>
      <c r="M186" s="26"/>
      <c r="N186" s="26"/>
      <c r="O186" s="26"/>
      <c r="P186" s="107"/>
      <c r="Q186" s="107"/>
      <c r="R186" s="107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  <c r="AP186" s="26"/>
      <c r="AQ186" s="26"/>
      <c r="AR186" s="26"/>
      <c r="AS186" s="26"/>
      <c r="AT186" s="26"/>
      <c r="AU186" s="26"/>
      <c r="AV186" s="26"/>
      <c r="AW186" s="26"/>
      <c r="AX186" s="26"/>
    </row>
    <row r="187" spans="1:50" ht="15" customHeight="1">
      <c r="A187" s="53"/>
      <c r="B187" s="53"/>
      <c r="C187" s="53"/>
      <c r="D187" s="53"/>
      <c r="E187" s="57" t="s">
        <v>132</v>
      </c>
      <c r="F187" s="55"/>
      <c r="G187" s="55"/>
      <c r="H187" s="55"/>
      <c r="I187" s="55"/>
      <c r="J187" s="57"/>
      <c r="K187" s="97" t="s">
        <v>133</v>
      </c>
      <c r="L187" s="97" t="s">
        <v>134</v>
      </c>
      <c r="M187" s="97" t="s">
        <v>135</v>
      </c>
      <c r="N187" s="97" t="s">
        <v>136</v>
      </c>
      <c r="O187" s="97" t="s">
        <v>137</v>
      </c>
      <c r="P187" s="97" t="s">
        <v>138</v>
      </c>
      <c r="Q187" s="97" t="s">
        <v>139</v>
      </c>
      <c r="R187" s="97" t="s">
        <v>140</v>
      </c>
      <c r="S187" s="97" t="s">
        <v>141</v>
      </c>
      <c r="T187" s="97" t="s">
        <v>142</v>
      </c>
      <c r="U187" s="97" t="s">
        <v>143</v>
      </c>
      <c r="V187" s="97" t="s">
        <v>144</v>
      </c>
      <c r="W187" s="97" t="s">
        <v>145</v>
      </c>
      <c r="X187" s="97" t="s">
        <v>146</v>
      </c>
      <c r="Y187" s="97" t="s">
        <v>147</v>
      </c>
      <c r="Z187" s="97" t="s">
        <v>148</v>
      </c>
      <c r="AA187" s="97" t="s">
        <v>149</v>
      </c>
      <c r="AB187" s="97" t="s">
        <v>150</v>
      </c>
      <c r="AC187" s="97" t="s">
        <v>151</v>
      </c>
      <c r="AD187" s="97" t="s">
        <v>152</v>
      </c>
      <c r="AE187" s="97" t="s">
        <v>153</v>
      </c>
      <c r="AF187" s="97" t="s">
        <v>154</v>
      </c>
      <c r="AG187" s="97" t="s">
        <v>155</v>
      </c>
      <c r="AH187" s="97" t="s">
        <v>156</v>
      </c>
      <c r="AI187" s="97" t="s">
        <v>157</v>
      </c>
      <c r="AJ187" s="98"/>
      <c r="AK187" s="98"/>
      <c r="AL187" s="98"/>
      <c r="AM187" s="98"/>
      <c r="AN187" s="98"/>
      <c r="AO187" s="98"/>
      <c r="AP187" s="98"/>
      <c r="AQ187" s="98"/>
      <c r="AR187" s="98"/>
      <c r="AS187" s="98"/>
      <c r="AT187" s="98"/>
      <c r="AU187" s="98"/>
      <c r="AV187" s="98"/>
      <c r="AW187" s="98"/>
      <c r="AX187" s="98"/>
    </row>
    <row r="188" spans="1:50" ht="15" customHeight="1">
      <c r="A188" s="26"/>
      <c r="B188" s="26"/>
      <c r="C188" s="26"/>
      <c r="D188" s="26"/>
      <c r="E188" s="26"/>
      <c r="F188" s="26"/>
      <c r="G188" s="26"/>
      <c r="H188" s="26"/>
      <c r="I188" s="26"/>
      <c r="J188" s="107"/>
      <c r="K188" s="26"/>
      <c r="L188" s="26"/>
      <c r="M188" s="26"/>
      <c r="N188" s="26"/>
      <c r="O188" s="26"/>
      <c r="P188" s="107"/>
      <c r="Q188" s="107"/>
      <c r="R188" s="107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  <c r="AM188" s="26"/>
      <c r="AN188" s="26"/>
      <c r="AO188" s="26"/>
      <c r="AP188" s="26"/>
      <c r="AQ188" s="26"/>
      <c r="AR188" s="26"/>
      <c r="AS188" s="26"/>
      <c r="AT188" s="26"/>
      <c r="AU188" s="26"/>
      <c r="AV188" s="26"/>
      <c r="AW188" s="26"/>
      <c r="AX188" s="26"/>
    </row>
    <row r="189" spans="1:50" ht="15" customHeight="1">
      <c r="A189" s="26"/>
      <c r="B189" s="26"/>
      <c r="C189" s="26"/>
      <c r="D189" s="26"/>
      <c r="E189" s="13" t="s">
        <v>267</v>
      </c>
      <c r="G189" s="26" t="s">
        <v>111</v>
      </c>
      <c r="H189" s="26"/>
      <c r="I189" s="148"/>
      <c r="J189" s="107"/>
      <c r="K189" s="109">
        <v>0.25</v>
      </c>
      <c r="L189" s="109">
        <v>0.25</v>
      </c>
      <c r="M189" s="109">
        <v>0.25</v>
      </c>
      <c r="N189" s="109">
        <v>0.25</v>
      </c>
      <c r="O189" s="109">
        <v>0.25</v>
      </c>
      <c r="P189" s="109">
        <v>0.25</v>
      </c>
      <c r="Q189" s="109">
        <v>0.25</v>
      </c>
      <c r="R189" s="109">
        <v>0.25</v>
      </c>
      <c r="S189" s="109">
        <v>0.25</v>
      </c>
      <c r="T189" s="109">
        <v>0.25</v>
      </c>
      <c r="U189" s="109">
        <v>0.25</v>
      </c>
      <c r="V189" s="109">
        <v>0.25</v>
      </c>
      <c r="W189" s="109">
        <v>0.25</v>
      </c>
      <c r="X189" s="109">
        <v>0.25</v>
      </c>
      <c r="Y189" s="109">
        <v>0.25</v>
      </c>
      <c r="Z189" s="109">
        <v>0.25</v>
      </c>
      <c r="AA189" s="109">
        <v>0.25</v>
      </c>
      <c r="AB189" s="109">
        <v>0.25</v>
      </c>
      <c r="AC189" s="109">
        <v>0.25</v>
      </c>
      <c r="AD189" s="109">
        <v>0.25</v>
      </c>
      <c r="AE189" s="109">
        <v>0.25</v>
      </c>
      <c r="AF189" s="109">
        <v>0.25</v>
      </c>
      <c r="AG189" s="109">
        <v>0.25</v>
      </c>
      <c r="AH189" s="109">
        <v>0.25</v>
      </c>
      <c r="AI189" s="109">
        <v>0.25</v>
      </c>
      <c r="AJ189" s="102"/>
      <c r="AK189" s="102"/>
      <c r="AL189" s="102"/>
      <c r="AM189" s="102"/>
      <c r="AN189" s="102"/>
      <c r="AO189" s="102"/>
      <c r="AP189" s="102"/>
      <c r="AQ189" s="102"/>
      <c r="AR189" s="102"/>
      <c r="AS189" s="102"/>
      <c r="AT189" s="102"/>
      <c r="AU189" s="102"/>
      <c r="AV189" s="102"/>
      <c r="AW189" s="102"/>
      <c r="AX189" s="102"/>
    </row>
    <row r="190" spans="1:50" ht="15" customHeight="1">
      <c r="A190" s="26"/>
      <c r="B190" s="26"/>
      <c r="C190" s="26"/>
      <c r="D190" s="26"/>
      <c r="E190" s="13" t="s">
        <v>268</v>
      </c>
      <c r="G190" s="13" t="s">
        <v>111</v>
      </c>
      <c r="H190" s="26"/>
      <c r="I190" s="148"/>
      <c r="J190" s="107"/>
      <c r="K190" s="109">
        <v>0.06</v>
      </c>
      <c r="L190" s="109">
        <v>0.06</v>
      </c>
      <c r="M190" s="109">
        <v>0.06</v>
      </c>
      <c r="N190" s="109">
        <v>0.06</v>
      </c>
      <c r="O190" s="109">
        <v>0.06</v>
      </c>
      <c r="P190" s="109">
        <v>0.06</v>
      </c>
      <c r="Q190" s="109">
        <v>0.06</v>
      </c>
      <c r="R190" s="109">
        <v>0.06</v>
      </c>
      <c r="S190" s="109">
        <v>0.06</v>
      </c>
      <c r="T190" s="109">
        <v>0.06</v>
      </c>
      <c r="U190" s="109">
        <v>0.06</v>
      </c>
      <c r="V190" s="109">
        <v>0.06</v>
      </c>
      <c r="W190" s="109">
        <v>0.06</v>
      </c>
      <c r="X190" s="109">
        <v>0.06</v>
      </c>
      <c r="Y190" s="109">
        <v>0.06</v>
      </c>
      <c r="Z190" s="109">
        <v>0.06</v>
      </c>
      <c r="AA190" s="109">
        <v>0.06</v>
      </c>
      <c r="AB190" s="109">
        <v>0.06</v>
      </c>
      <c r="AC190" s="109">
        <v>0.06</v>
      </c>
      <c r="AD190" s="109">
        <v>0.06</v>
      </c>
      <c r="AE190" s="109">
        <v>0.06</v>
      </c>
      <c r="AF190" s="109">
        <v>0.06</v>
      </c>
      <c r="AG190" s="109">
        <v>0.06</v>
      </c>
      <c r="AH190" s="109">
        <v>0.06</v>
      </c>
      <c r="AI190" s="109">
        <v>0.06</v>
      </c>
      <c r="AJ190" s="102"/>
      <c r="AK190" s="102"/>
      <c r="AL190" s="102"/>
      <c r="AM190" s="102"/>
      <c r="AN190" s="102"/>
      <c r="AO190" s="102"/>
      <c r="AP190" s="102"/>
      <c r="AQ190" s="102"/>
      <c r="AR190" s="102"/>
      <c r="AS190" s="102"/>
      <c r="AT190" s="102"/>
      <c r="AU190" s="102"/>
      <c r="AV190" s="102"/>
      <c r="AW190" s="102"/>
      <c r="AX190" s="102"/>
    </row>
    <row r="191" spans="1:50" ht="15" customHeight="1">
      <c r="A191" s="26"/>
      <c r="B191" s="26"/>
      <c r="C191" s="26"/>
      <c r="D191" s="26"/>
      <c r="E191" s="26"/>
      <c r="F191" s="26"/>
      <c r="G191" s="26"/>
      <c r="H191" s="26"/>
      <c r="I191" s="26"/>
      <c r="J191" s="107"/>
      <c r="K191" s="26"/>
      <c r="L191" s="26"/>
      <c r="M191" s="26"/>
      <c r="N191" s="26"/>
      <c r="O191" s="26"/>
      <c r="P191" s="107"/>
      <c r="Q191" s="107"/>
      <c r="R191" s="107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26"/>
      <c r="AO191" s="26"/>
      <c r="AP191" s="26"/>
      <c r="AQ191" s="26"/>
      <c r="AR191" s="26"/>
      <c r="AS191" s="26"/>
      <c r="AT191" s="26"/>
      <c r="AU191" s="26"/>
      <c r="AV191" s="26"/>
      <c r="AW191" s="26"/>
      <c r="AX191" s="26"/>
    </row>
    <row r="192" spans="1:50" ht="15" customHeight="1">
      <c r="B192" s="122"/>
      <c r="E192" s="13" t="str">
        <f>E179</f>
        <v>Long-term expected UK RPI inflation</v>
      </c>
      <c r="G192" s="26" t="s">
        <v>111</v>
      </c>
      <c r="I192" s="110">
        <f>I179</f>
        <v>3.4200000000000001E-2</v>
      </c>
      <c r="J192" s="146"/>
      <c r="L192" s="146"/>
      <c r="M192" s="146"/>
      <c r="N192" s="146"/>
      <c r="O192" s="146"/>
      <c r="P192" s="146"/>
      <c r="Q192" s="146"/>
      <c r="R192" s="146"/>
      <c r="S192" s="146"/>
      <c r="T192" s="146"/>
      <c r="U192" s="146"/>
      <c r="V192" s="146"/>
      <c r="W192" s="146"/>
      <c r="X192" s="146"/>
      <c r="Y192" s="146"/>
      <c r="Z192" s="146"/>
      <c r="AA192" s="146"/>
      <c r="AB192" s="146"/>
      <c r="AC192" s="146"/>
      <c r="AD192" s="146"/>
      <c r="AE192" s="146"/>
      <c r="AF192" s="146"/>
      <c r="AG192" s="146"/>
      <c r="AH192" s="146"/>
      <c r="AI192" s="146"/>
      <c r="AJ192" s="146"/>
      <c r="AK192" s="146"/>
      <c r="AL192" s="146"/>
      <c r="AM192" s="146"/>
      <c r="AN192" s="146"/>
      <c r="AO192" s="146"/>
      <c r="AP192" s="146"/>
      <c r="AQ192" s="146"/>
      <c r="AR192" s="146"/>
      <c r="AS192" s="146"/>
      <c r="AT192" s="146"/>
      <c r="AU192" s="146"/>
      <c r="AV192" s="146"/>
      <c r="AW192" s="146"/>
      <c r="AX192" s="146"/>
    </row>
    <row r="193" spans="1:50" ht="15" customHeight="1">
      <c r="A193"/>
      <c r="B193" s="122"/>
      <c r="E193" s="13" t="s">
        <v>269</v>
      </c>
      <c r="G193" s="26" t="s">
        <v>234</v>
      </c>
      <c r="I193" s="149">
        <v>43922</v>
      </c>
      <c r="J193" s="146"/>
      <c r="L193" s="146"/>
      <c r="M193" s="146"/>
      <c r="N193" s="146"/>
      <c r="O193" s="146"/>
      <c r="P193" s="146"/>
      <c r="Q193" s="146"/>
      <c r="R193" s="146"/>
      <c r="S193" s="146"/>
      <c r="T193" s="146"/>
      <c r="U193" s="146"/>
      <c r="V193" s="146"/>
      <c r="W193" s="146"/>
      <c r="X193" s="146"/>
      <c r="Y193" s="146"/>
      <c r="Z193" s="146"/>
      <c r="AA193" s="146"/>
      <c r="AB193" s="146"/>
      <c r="AC193" s="146"/>
      <c r="AD193" s="146"/>
      <c r="AE193" s="146"/>
      <c r="AF193" s="146"/>
      <c r="AG193" s="146"/>
      <c r="AH193" s="146"/>
      <c r="AI193" s="146"/>
      <c r="AJ193" s="146"/>
      <c r="AK193" s="146"/>
      <c r="AL193" s="146"/>
      <c r="AM193" s="146"/>
      <c r="AN193" s="146"/>
      <c r="AO193" s="146"/>
      <c r="AP193" s="146"/>
      <c r="AQ193" s="146"/>
      <c r="AR193" s="146"/>
      <c r="AS193" s="146"/>
      <c r="AT193" s="146"/>
      <c r="AU193" s="146"/>
      <c r="AV193" s="146"/>
      <c r="AW193" s="146"/>
      <c r="AX193" s="146"/>
    </row>
    <row r="194" spans="1:50" ht="15" customHeight="1">
      <c r="A194"/>
      <c r="B194" s="122"/>
      <c r="E194" s="13" t="s">
        <v>270</v>
      </c>
      <c r="G194" s="26" t="s">
        <v>234</v>
      </c>
      <c r="I194" s="120">
        <f>EOMONTH(I193,11)</f>
        <v>44286</v>
      </c>
      <c r="J194" s="146"/>
      <c r="L194" s="146"/>
      <c r="M194" s="146"/>
      <c r="N194" s="146"/>
      <c r="O194" s="146"/>
      <c r="P194" s="146"/>
      <c r="Q194" s="146"/>
      <c r="R194" s="146"/>
      <c r="S194" s="146"/>
      <c r="T194" s="146"/>
      <c r="U194" s="146"/>
      <c r="V194" s="146"/>
      <c r="W194" s="146"/>
      <c r="X194" s="146"/>
      <c r="Y194" s="146"/>
      <c r="Z194" s="146"/>
      <c r="AA194" s="146"/>
      <c r="AB194" s="146"/>
      <c r="AC194" s="146"/>
      <c r="AD194" s="146"/>
      <c r="AE194" s="146"/>
      <c r="AF194" s="146"/>
      <c r="AG194" s="146"/>
      <c r="AH194" s="146"/>
      <c r="AI194" s="146"/>
      <c r="AJ194" s="146"/>
      <c r="AK194" s="146"/>
      <c r="AL194" s="146"/>
      <c r="AM194" s="146"/>
      <c r="AN194" s="146"/>
      <c r="AO194" s="146"/>
      <c r="AP194" s="146"/>
      <c r="AQ194" s="146"/>
      <c r="AR194" s="146"/>
      <c r="AS194" s="146"/>
      <c r="AT194" s="146"/>
      <c r="AU194" s="146"/>
      <c r="AV194" s="146"/>
      <c r="AW194" s="146"/>
      <c r="AX194" s="146"/>
    </row>
    <row r="195" spans="1:50" ht="15" customHeight="1">
      <c r="A195"/>
      <c r="E195" s="13" t="s">
        <v>271</v>
      </c>
      <c r="G195" s="13" t="s">
        <v>265</v>
      </c>
      <c r="I195" s="150">
        <f>(1+$I$192)^((I149-AVERAGE(I193,I194))/365.25)</f>
        <v>1.2869420500428246</v>
      </c>
    </row>
    <row r="196" spans="1:50" ht="15" customHeight="1">
      <c r="A196"/>
      <c r="G196" s="26"/>
      <c r="J196" s="107"/>
      <c r="P196" s="107"/>
      <c r="Q196" s="107"/>
      <c r="R196" s="107"/>
      <c r="S196" s="26"/>
    </row>
    <row r="197" spans="1:50" ht="15" customHeight="1">
      <c r="A197"/>
      <c r="B197" s="26"/>
      <c r="C197" s="67" t="s">
        <v>272</v>
      </c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/>
      <c r="AA197" s="67"/>
      <c r="AB197" s="67"/>
      <c r="AC197" s="67"/>
      <c r="AD197" s="67"/>
      <c r="AE197" s="67"/>
      <c r="AF197" s="67"/>
      <c r="AG197" s="67"/>
      <c r="AH197" s="67"/>
      <c r="AI197" s="67"/>
      <c r="AJ197" s="67"/>
      <c r="AK197" s="67"/>
      <c r="AL197" s="67"/>
      <c r="AM197" s="67"/>
      <c r="AN197" s="67"/>
      <c r="AO197" s="67"/>
      <c r="AP197" s="67"/>
      <c r="AQ197" s="67"/>
      <c r="AR197" s="67"/>
      <c r="AS197" s="67"/>
      <c r="AT197" s="67"/>
      <c r="AU197" s="67"/>
      <c r="AV197" s="67"/>
      <c r="AW197" s="67"/>
      <c r="AX197" s="67"/>
    </row>
    <row r="198" spans="1:50" ht="15" customHeight="1">
      <c r="A198"/>
      <c r="B198" s="26"/>
      <c r="C198" s="26"/>
      <c r="D198" s="26"/>
      <c r="E198" s="26"/>
      <c r="F198" s="26"/>
      <c r="G198" s="26"/>
      <c r="H198" s="26"/>
      <c r="I198" s="26"/>
      <c r="J198" s="107"/>
      <c r="K198" s="26"/>
      <c r="L198" s="26"/>
      <c r="M198" s="26"/>
      <c r="N198" s="26"/>
      <c r="O198" s="26"/>
      <c r="P198" s="107"/>
      <c r="Q198" s="107"/>
      <c r="R198" s="107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26"/>
      <c r="AO198" s="26"/>
      <c r="AP198" s="26"/>
      <c r="AQ198" s="26"/>
      <c r="AR198" s="26"/>
      <c r="AS198" s="26"/>
      <c r="AT198" s="26"/>
      <c r="AU198" s="26"/>
      <c r="AV198" s="26"/>
      <c r="AW198" s="26"/>
      <c r="AX198" s="26"/>
    </row>
    <row r="199" spans="1:50" ht="15" customHeight="1">
      <c r="A199"/>
      <c r="E199" s="13" t="s">
        <v>273</v>
      </c>
      <c r="G199" s="26" t="s">
        <v>113</v>
      </c>
      <c r="I199" s="151" t="s">
        <v>274</v>
      </c>
      <c r="J199" s="107"/>
      <c r="P199" s="107"/>
      <c r="Q199" s="107"/>
      <c r="R199" s="107"/>
      <c r="S199" s="26"/>
    </row>
    <row r="200" spans="1:50" ht="15" customHeight="1">
      <c r="G200" s="26"/>
      <c r="J200" s="107"/>
      <c r="P200" s="107"/>
      <c r="Q200" s="107"/>
      <c r="R200" s="107"/>
      <c r="S200" s="26"/>
    </row>
    <row r="201" spans="1:50" ht="15" customHeight="1">
      <c r="A201" s="16"/>
      <c r="B201" s="14" t="s">
        <v>47</v>
      </c>
      <c r="C201" s="59"/>
      <c r="D201" s="59"/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  <c r="Y201" s="59"/>
      <c r="Z201" s="59"/>
      <c r="AA201" s="59"/>
      <c r="AB201" s="59"/>
      <c r="AC201" s="59"/>
      <c r="AD201" s="59"/>
      <c r="AE201" s="59"/>
      <c r="AF201" s="59"/>
      <c r="AG201" s="59"/>
      <c r="AH201" s="59"/>
      <c r="AI201" s="59"/>
      <c r="AJ201" s="59"/>
      <c r="AK201" s="59"/>
      <c r="AL201" s="59"/>
      <c r="AM201" s="59"/>
      <c r="AN201" s="59"/>
      <c r="AO201" s="59"/>
      <c r="AP201" s="59"/>
      <c r="AQ201" s="59"/>
      <c r="AR201" s="59"/>
      <c r="AS201" s="59"/>
      <c r="AT201" s="59"/>
      <c r="AU201" s="59"/>
      <c r="AV201" s="59"/>
      <c r="AW201" s="59"/>
      <c r="AX201" s="59"/>
    </row>
    <row r="202" spans="1:50" ht="15" customHeight="1"/>
    <row r="208" spans="1:50" ht="15" hidden="1" customHeight="1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</row>
    <row r="209" ht="15" hidden="1" customHeight="1"/>
    <row r="210" ht="15" hidden="1" customHeight="1"/>
    <row r="211" ht="15" hidden="1" customHeight="1"/>
    <row r="212" ht="15" hidden="1" customHeight="1"/>
    <row r="213" ht="15" hidden="1" customHeight="1"/>
    <row r="214" ht="15" hidden="1" customHeight="1"/>
    <row r="215" ht="15" hidden="1" customHeight="1"/>
    <row r="216" ht="15" hidden="1" customHeight="1"/>
    <row r="217" ht="15" hidden="1" customHeight="1"/>
    <row r="218" ht="15" hidden="1" customHeight="1"/>
    <row r="219" ht="15" hidden="1" customHeight="1"/>
    <row r="220" ht="15" hidden="1" customHeight="1"/>
    <row r="221" ht="15" hidden="1" customHeight="1"/>
    <row r="222" ht="15" hidden="1" customHeight="1"/>
    <row r="223" ht="15" hidden="1" customHeight="1"/>
    <row r="224" ht="15" hidden="1" customHeight="1"/>
    <row r="225" ht="15" hidden="1" customHeight="1"/>
    <row r="226" ht="15" hidden="1" customHeight="1"/>
    <row r="227" ht="15" hidden="1" customHeight="1"/>
    <row r="228" ht="15" hidden="1" customHeight="1"/>
    <row r="229" ht="15" hidden="1" customHeight="1"/>
    <row r="230" ht="15" hidden="1" customHeight="1"/>
    <row r="231" ht="15" hidden="1" customHeight="1"/>
    <row r="232" ht="15" hidden="1" customHeight="1"/>
    <row r="233" ht="15" hidden="1" customHeight="1"/>
    <row r="234" ht="15" hidden="1" customHeight="1"/>
    <row r="235" ht="15" hidden="1" customHeight="1"/>
    <row r="236" ht="15" hidden="1" customHeight="1"/>
    <row r="237" ht="15" hidden="1" customHeight="1"/>
    <row r="238" ht="15" hidden="1" customHeight="1"/>
    <row r="239" ht="15" hidden="1" customHeight="1"/>
    <row r="240" ht="15" hidden="1" customHeight="1"/>
    <row r="241" ht="15" hidden="1" customHeight="1"/>
    <row r="242" ht="15" hidden="1" customHeight="1"/>
    <row r="243" ht="15" hidden="1" customHeight="1"/>
    <row r="244" ht="15" hidden="1" customHeight="1"/>
    <row r="245" ht="15" hidden="1" customHeight="1"/>
    <row r="246" ht="15" hidden="1" customHeight="1"/>
    <row r="247" ht="15" hidden="1" customHeight="1"/>
    <row r="248" ht="15" hidden="1" customHeight="1"/>
    <row r="249" ht="15" hidden="1" customHeight="1"/>
    <row r="250" ht="15" hidden="1" customHeight="1"/>
    <row r="251" ht="15" hidden="1" customHeight="1"/>
    <row r="252" ht="15" hidden="1" customHeight="1"/>
    <row r="253" ht="15" hidden="1" customHeight="1"/>
    <row r="254" ht="15" hidden="1" customHeight="1"/>
    <row r="255" ht="15" hidden="1" customHeight="1"/>
    <row r="256" ht="15" hidden="1" customHeight="1"/>
    <row r="257" ht="15" hidden="1" customHeight="1"/>
    <row r="258" ht="15" hidden="1" customHeight="1"/>
    <row r="259" ht="15" hidden="1" customHeight="1"/>
    <row r="260" ht="15" hidden="1" customHeight="1"/>
    <row r="261" ht="15" hidden="1" customHeight="1"/>
    <row r="262" ht="15" hidden="1" customHeight="1"/>
    <row r="263" ht="15" hidden="1" customHeight="1"/>
    <row r="264" ht="15" hidden="1" customHeight="1"/>
    <row r="265" ht="15" hidden="1" customHeight="1"/>
    <row r="266" ht="15" hidden="1" customHeight="1"/>
    <row r="267" ht="15" hidden="1" customHeight="1"/>
    <row r="268" ht="15" hidden="1" customHeight="1"/>
    <row r="269" ht="15" hidden="1" customHeight="1"/>
    <row r="270" ht="15" hidden="1" customHeight="1"/>
    <row r="271" ht="15" hidden="1" customHeight="1"/>
    <row r="272" ht="15" hidden="1" customHeight="1"/>
    <row r="273" ht="15" hidden="1" customHeight="1"/>
    <row r="274" ht="15" hidden="1" customHeight="1"/>
    <row r="275" ht="15" hidden="1" customHeight="1"/>
    <row r="276" ht="15" hidden="1" customHeight="1"/>
    <row r="277" ht="15" hidden="1" customHeight="1"/>
    <row r="278" ht="15" hidden="1" customHeight="1"/>
    <row r="279" ht="15" hidden="1" customHeight="1"/>
    <row r="280" ht="15" hidden="1" customHeight="1"/>
    <row r="281" ht="15" hidden="1" customHeight="1"/>
    <row r="282" ht="15" hidden="1" customHeight="1"/>
    <row r="283" ht="15" hidden="1" customHeight="1"/>
    <row r="284" ht="15" hidden="1" customHeight="1"/>
    <row r="285" ht="15" hidden="1" customHeight="1"/>
    <row r="286" ht="15" hidden="1" customHeight="1"/>
    <row r="287" ht="15" hidden="1" customHeight="1"/>
    <row r="288" ht="15" hidden="1" customHeight="1"/>
    <row r="289" ht="15" hidden="1" customHeight="1"/>
    <row r="290" ht="15" hidden="1" customHeight="1"/>
    <row r="291" ht="15" hidden="1" customHeight="1"/>
  </sheetData>
  <dataValidations count="4">
    <dataValidation type="custom" allowBlank="1" showErrorMessage="1" errorTitle="Invalid value" error="Please enter value between 0% and 100%" sqref="I6">
      <formula1>AND(I6&gt;=0%,I6&lt;=100%)</formula1>
    </dataValidation>
    <dataValidation type="list" allowBlank="1" showInputMessage="1" showErrorMessage="1" sqref="I9">
      <formula1>"£,€,kr."</formula1>
    </dataValidation>
    <dataValidation type="list" allowBlank="1" showInputMessage="1" showErrorMessage="1" sqref="I199">
      <formula1>"Yes,No"</formula1>
    </dataValidation>
    <dataValidation type="list" allowBlank="1" showInputMessage="1" showErrorMessage="1" sqref="I81 I127:I128">
      <formula1>"1,2"</formula1>
    </dataValidation>
  </dataValidations>
  <pageMargins left="0.23622047244094502" right="0.23622047244094502" top="0.74803149606299213" bottom="0.74803149606299213" header="0.31496062992126012" footer="0.31496062992126012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AZ208"/>
  <sheetViews>
    <sheetView workbookViewId="0"/>
  </sheetViews>
  <sheetFormatPr defaultColWidth="0" defaultRowHeight="0" customHeight="1" zeroHeight="1"/>
  <cols>
    <col min="1" max="4" width="2.59765625" style="13" customWidth="1"/>
    <col min="5" max="5" width="54.09765625" style="13" bestFit="1" customWidth="1"/>
    <col min="6" max="6" width="1.59765625" style="13" customWidth="1"/>
    <col min="7" max="7" width="15.59765625" style="13" customWidth="1"/>
    <col min="8" max="8" width="22.3984375" style="13" bestFit="1" customWidth="1"/>
    <col min="9" max="9" width="16.09765625" style="13" bestFit="1" customWidth="1"/>
    <col min="10" max="10" width="1.59765625" style="13" customWidth="1"/>
    <col min="11" max="11" width="51.3984375" style="156" bestFit="1" customWidth="1"/>
    <col min="12" max="12" width="40.09765625" style="156" customWidth="1"/>
    <col min="13" max="13" width="3.09765625" style="13" customWidth="1"/>
    <col min="14" max="31" width="10.59765625" style="13" hidden="1" customWidth="1"/>
    <col min="32" max="32" width="11.59765625" style="13" hidden="1" customWidth="1"/>
    <col min="33" max="48" width="10.59765625" style="13" hidden="1" customWidth="1"/>
    <col min="49" max="50" width="10.69921875" style="13" hidden="1" customWidth="1"/>
    <col min="51" max="52" width="10.09765625" style="13" hidden="1" customWidth="1"/>
    <col min="53" max="53" width="9.09765625" style="13" hidden="1" customWidth="1"/>
    <col min="54" max="16384" width="9.09765625" style="13" hidden="1"/>
  </cols>
  <sheetData>
    <row r="1" spans="1:12" ht="14.5">
      <c r="A1" s="52" t="s">
        <v>24</v>
      </c>
      <c r="B1" s="53"/>
      <c r="C1" s="53"/>
      <c r="D1" s="53"/>
      <c r="E1" s="53"/>
      <c r="F1" s="53"/>
      <c r="G1" s="53"/>
      <c r="H1" s="53" t="s">
        <v>101</v>
      </c>
      <c r="I1" s="152" t="s">
        <v>275</v>
      </c>
      <c r="J1" s="54"/>
      <c r="K1" s="153"/>
      <c r="L1" s="153"/>
    </row>
    <row r="2" spans="1:12" ht="15" customHeight="1">
      <c r="A2" s="53"/>
      <c r="B2" s="53"/>
      <c r="C2" s="53"/>
      <c r="D2" s="53"/>
      <c r="E2" s="55" t="s">
        <v>102</v>
      </c>
      <c r="F2" s="55"/>
      <c r="G2" s="55" t="s">
        <v>103</v>
      </c>
      <c r="H2" s="55" t="s">
        <v>104</v>
      </c>
      <c r="I2" s="154" t="s">
        <v>276</v>
      </c>
      <c r="J2" s="57"/>
      <c r="K2" s="155" t="s">
        <v>277</v>
      </c>
      <c r="L2" s="155" t="s">
        <v>278</v>
      </c>
    </row>
    <row r="3" spans="1:12" ht="15" customHeight="1"/>
    <row r="4" spans="1:12" ht="15" customHeight="1">
      <c r="B4" s="14" t="s">
        <v>107</v>
      </c>
      <c r="C4" s="58"/>
      <c r="D4" s="58"/>
      <c r="E4" s="58"/>
      <c r="F4" s="59"/>
      <c r="G4" s="59"/>
      <c r="H4" s="59"/>
      <c r="I4" s="157"/>
      <c r="J4" s="59"/>
      <c r="K4" s="158"/>
      <c r="L4" s="158"/>
    </row>
    <row r="5" spans="1:12" ht="15" customHeight="1">
      <c r="I5" s="159"/>
    </row>
    <row r="6" spans="1:12" ht="15" customHeight="1">
      <c r="E6" s="13" t="str">
        <f>Inputs!E6</f>
        <v>GB indexed portion of interconnector</v>
      </c>
      <c r="G6" s="13" t="str">
        <f>Inputs!G6</f>
        <v>choice %</v>
      </c>
      <c r="I6" s="160">
        <f>ROW(Inputs!E6)</f>
        <v>6</v>
      </c>
      <c r="K6" s="161" t="s">
        <v>279</v>
      </c>
      <c r="L6" s="162"/>
    </row>
    <row r="7" spans="1:12" ht="15" customHeight="1">
      <c r="E7" s="13" t="str">
        <f>Inputs!E9</f>
        <v>Currency of cost inputs</v>
      </c>
      <c r="G7" s="13" t="str">
        <f>Inputs!G9</f>
        <v>choice</v>
      </c>
      <c r="I7" s="160">
        <f>ROW(Inputs!E9)</f>
        <v>9</v>
      </c>
      <c r="K7" s="161" t="s">
        <v>280</v>
      </c>
      <c r="L7" s="161"/>
    </row>
    <row r="8" spans="1:12" ht="15" customHeight="1">
      <c r="B8" s="16"/>
      <c r="C8" s="16"/>
      <c r="D8" s="16"/>
      <c r="E8" s="13" t="str">
        <f>Inputs!E11</f>
        <v>Base year price term</v>
      </c>
      <c r="F8" s="16"/>
      <c r="G8" s="13" t="str">
        <f>Inputs!G11</f>
        <v>choice</v>
      </c>
      <c r="H8" s="16"/>
      <c r="I8" s="160">
        <f>ROW(Inputs!E11)</f>
        <v>11</v>
      </c>
      <c r="J8" s="16"/>
      <c r="K8" s="161" t="s">
        <v>279</v>
      </c>
      <c r="L8" s="162"/>
    </row>
    <row r="9" spans="1:12" ht="15" customHeight="1">
      <c r="A9" s="16"/>
      <c r="B9" s="16"/>
      <c r="C9" s="16"/>
      <c r="D9" s="16"/>
      <c r="E9" s="16"/>
      <c r="F9" s="16"/>
      <c r="G9" s="16"/>
      <c r="H9" s="16"/>
      <c r="I9" s="163"/>
      <c r="J9" s="16"/>
      <c r="K9" s="164"/>
      <c r="L9" s="164"/>
    </row>
    <row r="10" spans="1:12" ht="15" customHeight="1">
      <c r="A10" s="16"/>
      <c r="B10" s="14" t="s">
        <v>117</v>
      </c>
      <c r="C10" s="58"/>
      <c r="D10" s="58"/>
      <c r="E10" s="58"/>
      <c r="F10" s="59"/>
      <c r="G10" s="59"/>
      <c r="H10" s="59"/>
      <c r="I10" s="157"/>
      <c r="J10" s="59"/>
      <c r="K10" s="158"/>
      <c r="L10" s="158"/>
    </row>
    <row r="11" spans="1:12" ht="15" customHeight="1">
      <c r="A11" s="16"/>
      <c r="B11" s="16"/>
      <c r="C11" s="16"/>
      <c r="D11" s="16"/>
      <c r="E11" s="16"/>
      <c r="F11" s="16"/>
      <c r="G11" s="16"/>
      <c r="H11" s="16"/>
      <c r="I11" s="165"/>
      <c r="J11" s="16"/>
      <c r="K11" s="164"/>
      <c r="L11" s="164"/>
    </row>
    <row r="12" spans="1:12" ht="15" customHeight="1">
      <c r="A12" s="16"/>
      <c r="B12" s="16"/>
      <c r="C12" s="67" t="s">
        <v>118</v>
      </c>
      <c r="D12" s="67"/>
      <c r="E12" s="67"/>
      <c r="F12" s="67"/>
      <c r="G12" s="67"/>
      <c r="H12" s="67"/>
      <c r="I12" s="166"/>
      <c r="J12" s="67"/>
      <c r="K12" s="167"/>
      <c r="L12" s="167"/>
    </row>
    <row r="13" spans="1:12" ht="15" customHeight="1">
      <c r="I13" s="159"/>
    </row>
    <row r="14" spans="1:12" ht="15" customHeight="1">
      <c r="E14" s="13" t="str">
        <f>Inputs!E20</f>
        <v>Development costs</v>
      </c>
      <c r="G14" s="13" t="str">
        <f>Inputs!G20</f>
        <v>£m nominal prices</v>
      </c>
      <c r="I14" s="159">
        <f>ROW(Inputs!E20)</f>
        <v>20</v>
      </c>
      <c r="K14" s="161" t="s">
        <v>280</v>
      </c>
      <c r="L14" s="161"/>
    </row>
    <row r="15" spans="1:12" ht="15" customHeight="1">
      <c r="E15" s="13" t="str">
        <f>Inputs!E21</f>
        <v>Capex</v>
      </c>
      <c r="G15" s="13" t="str">
        <f>Inputs!G21</f>
        <v>£m nominal prices</v>
      </c>
      <c r="I15" s="159">
        <f>ROW(Inputs!E21)</f>
        <v>21</v>
      </c>
      <c r="K15" s="161" t="s">
        <v>280</v>
      </c>
      <c r="L15" s="161"/>
    </row>
    <row r="16" spans="1:12" ht="15" customHeight="1">
      <c r="E16" s="13" t="str">
        <f>Inputs!E22</f>
        <v>Spares</v>
      </c>
      <c r="G16" s="13" t="str">
        <f>Inputs!G22</f>
        <v>£m nominal prices</v>
      </c>
      <c r="I16" s="159">
        <f>ROW(Inputs!E22)</f>
        <v>22</v>
      </c>
      <c r="K16" s="161" t="s">
        <v>280</v>
      </c>
      <c r="L16" s="161"/>
    </row>
    <row r="17" spans="2:12" ht="15" customHeight="1">
      <c r="I17" s="159"/>
      <c r="K17" s="164"/>
      <c r="L17" s="164"/>
    </row>
    <row r="18" spans="2:12" ht="13">
      <c r="E18" s="13" t="str">
        <f>Inputs!E24</f>
        <v>Base year UK RPI inflation index value (CHAW)</v>
      </c>
      <c r="G18" s="13" t="str">
        <f>Inputs!G24</f>
        <v>Jan 1987 = 100</v>
      </c>
      <c r="H18" s="13" t="str">
        <f>Inputs!H24</f>
        <v>UK RPI index 2020/21</v>
      </c>
      <c r="I18" s="165">
        <f>ROW(Inputs!E24)</f>
        <v>24</v>
      </c>
      <c r="K18" s="161" t="s">
        <v>281</v>
      </c>
      <c r="L18" s="168" t="s">
        <v>282</v>
      </c>
    </row>
    <row r="19" spans="2:12" ht="13">
      <c r="E19" s="13">
        <f>Inputs!E25</f>
        <v>0</v>
      </c>
      <c r="G19" s="13">
        <f>Inputs!G25</f>
        <v>0</v>
      </c>
      <c r="I19" s="165">
        <f>ROW(Inputs!E25)</f>
        <v>25</v>
      </c>
      <c r="K19" s="169"/>
      <c r="L19" s="170"/>
    </row>
    <row r="20" spans="2:12" ht="13">
      <c r="E20" s="13">
        <f>Inputs!E26</f>
        <v>0</v>
      </c>
      <c r="G20" s="13">
        <f>Inputs!G26</f>
        <v>0</v>
      </c>
      <c r="I20" s="165">
        <f>ROW(Inputs!E26)</f>
        <v>26</v>
      </c>
      <c r="K20" s="161" t="s">
        <v>283</v>
      </c>
      <c r="L20" s="171" t="s">
        <v>284</v>
      </c>
    </row>
    <row r="21" spans="2:12" ht="15" customHeight="1">
      <c r="I21" s="165"/>
      <c r="K21" s="164"/>
      <c r="L21" s="172"/>
    </row>
    <row r="22" spans="2:12" ht="13">
      <c r="E22" s="13" t="str">
        <f>Inputs!E28</f>
        <v>12 month average UK RPI inflation index value (CHAW)</v>
      </c>
      <c r="G22" s="13" t="str">
        <f>Inputs!G28</f>
        <v>Jan 1987 = 100</v>
      </c>
      <c r="H22" s="13" t="str">
        <f>Inputs!H28</f>
        <v>UK RPI index t</v>
      </c>
      <c r="I22" s="165">
        <f>ROW(Inputs!E28)</f>
        <v>28</v>
      </c>
      <c r="K22" s="161" t="s">
        <v>281</v>
      </c>
      <c r="L22" s="168" t="s">
        <v>282</v>
      </c>
    </row>
    <row r="23" spans="2:12" ht="13">
      <c r="E23" s="13">
        <f>Inputs!E29</f>
        <v>0</v>
      </c>
      <c r="G23" s="13">
        <f>Inputs!G29</f>
        <v>0</v>
      </c>
      <c r="I23" s="165">
        <f>ROW(Inputs!E29)</f>
        <v>29</v>
      </c>
      <c r="K23" s="169"/>
      <c r="L23" s="170"/>
    </row>
    <row r="24" spans="2:12" ht="13">
      <c r="E24" s="13">
        <f>Inputs!E30</f>
        <v>0</v>
      </c>
      <c r="G24" s="13">
        <f>Inputs!G30</f>
        <v>0</v>
      </c>
      <c r="I24" s="165">
        <f>ROW(Inputs!E30)</f>
        <v>30</v>
      </c>
      <c r="K24" s="161" t="s">
        <v>283</v>
      </c>
      <c r="L24" s="168" t="s">
        <v>285</v>
      </c>
    </row>
    <row r="25" spans="2:12" ht="15" customHeight="1">
      <c r="G25" s="90"/>
      <c r="H25" s="90"/>
      <c r="I25" s="159"/>
      <c r="K25" s="164"/>
      <c r="L25" s="164"/>
    </row>
    <row r="26" spans="2:12" ht="15" customHeight="1">
      <c r="C26" s="67" t="s">
        <v>131</v>
      </c>
      <c r="D26" s="67"/>
      <c r="E26" s="67"/>
      <c r="F26" s="67"/>
      <c r="G26" s="67"/>
      <c r="H26" s="67"/>
      <c r="I26" s="166"/>
      <c r="J26" s="67"/>
      <c r="K26" s="167"/>
      <c r="L26" s="167"/>
    </row>
    <row r="27" spans="2:12" ht="15" customHeight="1">
      <c r="I27" s="159"/>
    </row>
    <row r="28" spans="2:12" ht="15" customHeight="1">
      <c r="B28" s="16"/>
      <c r="C28" s="16"/>
      <c r="D28" s="16"/>
      <c r="E28" s="16" t="str">
        <f>Inputs!E42</f>
        <v>Replacement Capex</v>
      </c>
      <c r="F28" s="16"/>
      <c r="G28" s="16" t="str">
        <f>Inputs!G42</f>
        <v>£m 2020/21 prices</v>
      </c>
      <c r="H28" s="16"/>
      <c r="I28" s="165">
        <f>ROW(Inputs!E42)</f>
        <v>42</v>
      </c>
      <c r="J28" s="16"/>
      <c r="K28" s="161" t="s">
        <v>280</v>
      </c>
      <c r="L28" s="161"/>
    </row>
    <row r="29" spans="2:12" ht="15" customHeight="1">
      <c r="B29" s="16"/>
      <c r="C29" s="16"/>
      <c r="D29" s="16"/>
      <c r="E29" s="16" t="str">
        <f>Inputs!E43</f>
        <v>Decommissioning baseline</v>
      </c>
      <c r="F29" s="16"/>
      <c r="G29" s="16" t="str">
        <f>Inputs!G43</f>
        <v>£m 2020/21 prices</v>
      </c>
      <c r="H29" s="16"/>
      <c r="I29" s="165">
        <f>ROW(Inputs!E43)</f>
        <v>43</v>
      </c>
      <c r="J29" s="16"/>
      <c r="K29" s="161" t="s">
        <v>280</v>
      </c>
      <c r="L29" s="161"/>
    </row>
    <row r="30" spans="2:12" ht="15" customHeight="1">
      <c r="B30" s="16"/>
      <c r="C30" s="16"/>
      <c r="D30" s="16"/>
      <c r="E30" s="16" t="str">
        <f>Inputs!E44</f>
        <v>Controllable Opex</v>
      </c>
      <c r="F30" s="16"/>
      <c r="G30" s="16" t="str">
        <f>Inputs!G44</f>
        <v>£m 2020/21 prices</v>
      </c>
      <c r="H30" s="16"/>
      <c r="I30" s="165">
        <f>ROW(Inputs!E44)</f>
        <v>44</v>
      </c>
      <c r="J30" s="16"/>
      <c r="K30" s="161" t="s">
        <v>280</v>
      </c>
      <c r="L30" s="161"/>
    </row>
    <row r="31" spans="2:12" ht="15" customHeight="1">
      <c r="B31" s="16"/>
      <c r="C31" s="16"/>
      <c r="D31" s="16"/>
      <c r="E31" s="16" t="str">
        <f>Inputs!E45</f>
        <v>Non-controllable Opex baseline</v>
      </c>
      <c r="F31" s="16"/>
      <c r="G31" s="16" t="str">
        <f>Inputs!G45</f>
        <v>£m 2020/21 prices</v>
      </c>
      <c r="H31" s="16"/>
      <c r="I31" s="165">
        <f>ROW(Inputs!E45)</f>
        <v>45</v>
      </c>
      <c r="J31" s="16"/>
      <c r="K31" s="161" t="s">
        <v>280</v>
      </c>
      <c r="L31" s="161"/>
    </row>
    <row r="32" spans="2:12" ht="15" customHeight="1">
      <c r="I32" s="159"/>
    </row>
    <row r="33" spans="1:12" ht="15" customHeight="1">
      <c r="E33" s="13" t="str">
        <f>Inputs!E51</f>
        <v>2020/21 average UK RPI inflation index value (CHAW)</v>
      </c>
      <c r="G33" s="13" t="str">
        <f>Inputs!G51</f>
        <v>Jan 1987 = 100</v>
      </c>
      <c r="I33" s="165">
        <f>ROW(Inputs!E51)</f>
        <v>51</v>
      </c>
      <c r="J33" s="16"/>
      <c r="K33" s="161" t="s">
        <v>281</v>
      </c>
      <c r="L33" s="168" t="s">
        <v>282</v>
      </c>
    </row>
    <row r="34" spans="1:12" ht="15" customHeight="1">
      <c r="E34" s="13" t="str">
        <f>Inputs!E52</f>
        <v>2020/21 average EU RPI inflation index value</v>
      </c>
      <c r="G34" s="13" t="str">
        <f>Inputs!G52</f>
        <v/>
      </c>
      <c r="I34" s="165">
        <f>ROW(Inputs!E52)</f>
        <v>52</v>
      </c>
      <c r="J34" s="16"/>
      <c r="K34" s="169"/>
      <c r="L34" s="170"/>
    </row>
    <row r="35" spans="1:12" ht="15" customHeight="1">
      <c r="E35" s="13" t="str">
        <f>Inputs!E53</f>
        <v>2020/21 average exchange rate (XUMAERS)</v>
      </c>
      <c r="G35" s="13" t="str">
        <f>Inputs!G53</f>
        <v/>
      </c>
      <c r="I35" s="165">
        <f>ROW(Inputs!E53)</f>
        <v>53</v>
      </c>
      <c r="J35" s="16"/>
      <c r="K35" s="161" t="s">
        <v>283</v>
      </c>
      <c r="L35" s="168" t="s">
        <v>285</v>
      </c>
    </row>
    <row r="36" spans="1:12" ht="15" customHeight="1">
      <c r="I36" s="165"/>
      <c r="J36" s="16"/>
      <c r="K36"/>
      <c r="L36"/>
    </row>
    <row r="37" spans="1:12" ht="15" customHeight="1">
      <c r="E37" s="13" t="str">
        <f>Inputs!E55</f>
        <v/>
      </c>
      <c r="G37" s="13" t="str">
        <f>Inputs!G55</f>
        <v/>
      </c>
      <c r="H37" s="13" t="str">
        <f>Inputs!H55</f>
        <v/>
      </c>
      <c r="I37" s="165">
        <f>ROW(Inputs!E55)</f>
        <v>55</v>
      </c>
      <c r="J37" s="16"/>
      <c r="K37" s="161" t="s">
        <v>283</v>
      </c>
      <c r="L37" s="168" t="s">
        <v>285</v>
      </c>
    </row>
    <row r="38" spans="1:12" ht="15" customHeight="1">
      <c r="I38" s="159"/>
    </row>
    <row r="39" spans="1:12" ht="15" customHeight="1">
      <c r="A39" s="26"/>
      <c r="B39" s="14" t="s">
        <v>167</v>
      </c>
      <c r="C39" s="15"/>
      <c r="D39" s="15"/>
      <c r="E39" s="15"/>
      <c r="F39" s="106"/>
      <c r="G39" s="106"/>
      <c r="H39" s="106"/>
      <c r="I39" s="173"/>
      <c r="J39" s="106"/>
      <c r="K39" s="174"/>
      <c r="L39" s="174"/>
    </row>
    <row r="40" spans="1:12" ht="15" customHeight="1">
      <c r="A40" s="26"/>
      <c r="B40" s="26"/>
      <c r="C40" s="26"/>
      <c r="D40" s="26"/>
      <c r="E40" s="26"/>
      <c r="F40" s="26"/>
      <c r="G40" s="26"/>
      <c r="H40" s="26"/>
      <c r="I40" s="175"/>
      <c r="J40" s="107"/>
      <c r="K40" s="164"/>
      <c r="L40" s="164"/>
    </row>
    <row r="41" spans="1:12" ht="15" customHeight="1">
      <c r="A41" s="26"/>
      <c r="B41" s="26"/>
      <c r="C41" s="67" t="s">
        <v>28</v>
      </c>
      <c r="D41" s="67"/>
      <c r="E41" s="67"/>
      <c r="F41" s="67"/>
      <c r="G41" s="67"/>
      <c r="H41" s="67"/>
      <c r="I41" s="166"/>
      <c r="J41" s="67"/>
      <c r="K41" s="167"/>
      <c r="L41" s="167"/>
    </row>
    <row r="42" spans="1:12" ht="15" customHeight="1">
      <c r="A42" s="26"/>
      <c r="B42" s="26"/>
      <c r="C42" s="26"/>
      <c r="D42" s="26"/>
      <c r="E42" s="26"/>
      <c r="F42" s="26"/>
      <c r="G42" s="26"/>
      <c r="H42" s="26"/>
      <c r="I42" s="175"/>
      <c r="J42" s="107"/>
    </row>
    <row r="43" spans="1:12" ht="13">
      <c r="B43" s="16"/>
      <c r="C43" s="16"/>
      <c r="D43" s="16"/>
      <c r="E43" s="16" t="str">
        <f>Inputs!E68</f>
        <v>Cap return rate</v>
      </c>
      <c r="F43" s="16"/>
      <c r="G43" s="16" t="str">
        <f>Inputs!G68</f>
        <v>real annual %</v>
      </c>
      <c r="H43" s="16"/>
      <c r="I43" s="165">
        <f>ROW(Inputs!E68)</f>
        <v>68</v>
      </c>
      <c r="J43" s="16"/>
      <c r="K43" s="161" t="s">
        <v>286</v>
      </c>
      <c r="L43" s="162"/>
    </row>
    <row r="44" spans="1:12" ht="15" customHeight="1">
      <c r="A44" s="16"/>
      <c r="B44" s="16"/>
      <c r="C44" s="16"/>
      <c r="D44" s="16"/>
      <c r="E44" s="16" t="str">
        <f>Inputs!E69</f>
        <v>Floor return rate</v>
      </c>
      <c r="F44" s="16"/>
      <c r="G44" s="16" t="str">
        <f>Inputs!G69</f>
        <v>real annual %</v>
      </c>
      <c r="H44" s="16"/>
      <c r="I44" s="165">
        <f>ROW(Inputs!E69)</f>
        <v>69</v>
      </c>
      <c r="J44" s="16"/>
      <c r="K44" s="161" t="s">
        <v>286</v>
      </c>
      <c r="L44" s="162"/>
    </row>
    <row r="45" spans="1:12" ht="15" customHeight="1">
      <c r="A45" s="16"/>
      <c r="B45" s="16"/>
      <c r="C45" s="16"/>
      <c r="D45" s="16"/>
      <c r="E45" s="16" t="str">
        <f>Inputs!E70</f>
        <v>Interest during construction (IDC) rate</v>
      </c>
      <c r="F45" s="16"/>
      <c r="G45" s="16" t="str">
        <f>Inputs!G70</f>
        <v>real annual %</v>
      </c>
      <c r="H45" s="16"/>
      <c r="I45" s="165">
        <f>ROW(Inputs!E70)</f>
        <v>70</v>
      </c>
      <c r="J45" s="16"/>
      <c r="K45" s="161" t="s">
        <v>286</v>
      </c>
      <c r="L45" s="162"/>
    </row>
    <row r="46" spans="1:12" ht="15" customHeight="1">
      <c r="A46" s="16"/>
      <c r="B46" s="16"/>
      <c r="C46" s="16"/>
      <c r="D46" s="16"/>
      <c r="E46" s="16"/>
      <c r="F46" s="16"/>
      <c r="G46" s="16"/>
      <c r="H46" s="16"/>
      <c r="I46" s="165"/>
      <c r="J46" s="16"/>
      <c r="K46" s="164"/>
      <c r="L46" s="164"/>
    </row>
    <row r="47" spans="1:12" ht="13">
      <c r="B47" s="16"/>
      <c r="C47" s="16"/>
      <c r="D47" s="16"/>
      <c r="E47" s="16" t="str">
        <f>Inputs!E73</f>
        <v>Pre-operational notional gearing</v>
      </c>
      <c r="F47" s="16"/>
      <c r="G47" s="16" t="str">
        <f>Inputs!G73</f>
        <v>%</v>
      </c>
      <c r="H47" s="16"/>
      <c r="I47" s="165">
        <f>ROW(Inputs!E73)</f>
        <v>73</v>
      </c>
      <c r="J47" s="16"/>
      <c r="K47" s="161" t="s">
        <v>287</v>
      </c>
      <c r="L47" s="162"/>
    </row>
    <row r="48" spans="1:12" ht="13">
      <c r="B48" s="16"/>
      <c r="C48" s="16"/>
      <c r="D48" s="16"/>
      <c r="E48" s="16" t="str">
        <f>Inputs!E74</f>
        <v>Operational notional gearing</v>
      </c>
      <c r="F48" s="16"/>
      <c r="G48" s="16" t="str">
        <f>Inputs!G74</f>
        <v>%</v>
      </c>
      <c r="H48" s="16"/>
      <c r="I48" s="165">
        <f>ROW(Inputs!E74)</f>
        <v>74</v>
      </c>
      <c r="J48" s="16"/>
      <c r="K48" s="161" t="s">
        <v>287</v>
      </c>
      <c r="L48" s="162"/>
    </row>
    <row r="49" spans="1:12" ht="15" customHeight="1">
      <c r="A49" s="16"/>
      <c r="B49" s="16"/>
      <c r="C49" s="16"/>
      <c r="D49" s="16"/>
      <c r="E49" s="16"/>
      <c r="F49" s="16"/>
      <c r="G49" s="16"/>
      <c r="H49" s="16"/>
      <c r="I49" s="165"/>
      <c r="J49" s="16"/>
      <c r="K49" s="164"/>
      <c r="L49" s="164"/>
    </row>
    <row r="50" spans="1:12" ht="15" customHeight="1">
      <c r="A50" s="16"/>
      <c r="B50" s="16"/>
      <c r="C50" s="16"/>
      <c r="D50" s="16"/>
      <c r="E50" s="16" t="str">
        <f>Inputs!E76</f>
        <v>Equity transaction costs</v>
      </c>
      <c r="F50" s="16"/>
      <c r="G50" s="16" t="str">
        <f>Inputs!G76</f>
        <v>%</v>
      </c>
      <c r="H50" s="16"/>
      <c r="I50" s="165">
        <f>ROW(Inputs!E76)</f>
        <v>76</v>
      </c>
      <c r="J50" s="16"/>
      <c r="K50" s="161" t="s">
        <v>287</v>
      </c>
      <c r="L50" s="162"/>
    </row>
    <row r="51" spans="1:12" ht="15" customHeight="1">
      <c r="A51" s="16"/>
      <c r="B51" s="16"/>
      <c r="C51" s="16"/>
      <c r="D51" s="16"/>
      <c r="E51" s="16" t="str">
        <f>Inputs!E77</f>
        <v>Debt transaction costs</v>
      </c>
      <c r="F51" s="16"/>
      <c r="G51" s="16" t="str">
        <f>Inputs!G77</f>
        <v>%</v>
      </c>
      <c r="H51" s="16"/>
      <c r="I51" s="165">
        <f>ROW(Inputs!E77)</f>
        <v>77</v>
      </c>
      <c r="J51" s="16"/>
      <c r="K51" s="161" t="s">
        <v>287</v>
      </c>
      <c r="L51" s="162"/>
    </row>
    <row r="52" spans="1:12" ht="15" customHeight="1">
      <c r="K52" s="13"/>
      <c r="L52" s="13"/>
    </row>
    <row r="53" spans="1:12" ht="15" customHeight="1">
      <c r="A53" s="114"/>
      <c r="C53" s="67" t="s">
        <v>288</v>
      </c>
      <c r="D53" s="67"/>
      <c r="E53" s="67"/>
      <c r="F53" s="67"/>
      <c r="G53" s="67"/>
      <c r="H53" s="67"/>
      <c r="I53" s="166"/>
      <c r="J53" s="67"/>
      <c r="K53" s="167"/>
      <c r="L53" s="167"/>
    </row>
    <row r="54" spans="1:12" ht="15" customHeight="1">
      <c r="A54" s="114"/>
      <c r="K54" s="13"/>
      <c r="L54" s="13"/>
    </row>
    <row r="55" spans="1:12" ht="26">
      <c r="A55" s="114"/>
      <c r="E55" s="13" t="str">
        <f>Inputs!E81</f>
        <v>Project finance key input: senior debt amount or gearing</v>
      </c>
      <c r="G55" s="90" t="str">
        <f>Inputs!G81</f>
        <v>1: Amount (£m)
2: Gearing (%)</v>
      </c>
      <c r="I55" s="165">
        <f>ROW(Inputs!E81)</f>
        <v>81</v>
      </c>
      <c r="K55" s="161" t="s">
        <v>289</v>
      </c>
      <c r="L55" s="162"/>
    </row>
    <row r="56" spans="1:12" ht="15" customHeight="1">
      <c r="A56" s="114"/>
      <c r="E56" s="13" t="str">
        <f>Inputs!E82</f>
        <v>Project finance senior debt amount (input if 1; empty if 2)</v>
      </c>
      <c r="G56" s="13" t="str">
        <f>Inputs!G82</f>
        <v>£m nominal prices</v>
      </c>
      <c r="I56" s="165">
        <f>ROW(Inputs!E82)</f>
        <v>82</v>
      </c>
      <c r="K56" s="161" t="s">
        <v>289</v>
      </c>
      <c r="L56" s="162"/>
    </row>
    <row r="57" spans="1:12" ht="15" customHeight="1">
      <c r="A57" s="114"/>
      <c r="E57" s="13" t="str">
        <f>Inputs!E83</f>
        <v>Project finance actual gearing (input if 2; empty if 1)</v>
      </c>
      <c r="G57" s="13" t="str">
        <f>Inputs!G83</f>
        <v>%</v>
      </c>
      <c r="I57" s="165">
        <f>ROW(Inputs!E83)</f>
        <v>83</v>
      </c>
      <c r="K57" s="161" t="s">
        <v>289</v>
      </c>
      <c r="L57" s="79"/>
    </row>
    <row r="58" spans="1:12" ht="15" customHeight="1">
      <c r="A58" s="114"/>
      <c r="I58" s="165"/>
      <c r="K58" s="13"/>
      <c r="L58" s="13"/>
    </row>
    <row r="59" spans="1:12" ht="15" customHeight="1">
      <c r="A59" s="114"/>
      <c r="E59" s="13" t="str">
        <f>Inputs!E85</f>
        <v>Senior Debt tenor</v>
      </c>
      <c r="G59" s="13" t="str">
        <f>Inputs!G85</f>
        <v>full years</v>
      </c>
      <c r="I59" s="165">
        <f>ROW(Inputs!E85)</f>
        <v>85</v>
      </c>
      <c r="K59" s="161" t="s">
        <v>289</v>
      </c>
      <c r="L59" s="162"/>
    </row>
    <row r="60" spans="1:12" ht="15" customHeight="1">
      <c r="A60" s="114"/>
      <c r="E60" s="13" t="str">
        <f>Inputs!E86</f>
        <v>Senior Debt tail requirement</v>
      </c>
      <c r="G60" s="13" t="str">
        <f>Inputs!G86</f>
        <v>full years</v>
      </c>
      <c r="I60" s="165">
        <f>ROW(Inputs!E86)</f>
        <v>86</v>
      </c>
      <c r="K60" s="161" t="s">
        <v>289</v>
      </c>
      <c r="L60" s="162"/>
    </row>
    <row r="61" spans="1:12" ht="15" customHeight="1">
      <c r="A61" s="114"/>
      <c r="E61" s="13" t="str">
        <f>Inputs!E87</f>
        <v>DSCR sizing</v>
      </c>
      <c r="G61" s="13" t="str">
        <f>Inputs!G87</f>
        <v>DSCRx</v>
      </c>
      <c r="I61" s="165">
        <f>ROW(Inputs!E87)</f>
        <v>87</v>
      </c>
      <c r="K61" s="161" t="s">
        <v>289</v>
      </c>
      <c r="L61" s="162"/>
    </row>
    <row r="62" spans="1:12" ht="15" customHeight="1">
      <c r="A62" s="114"/>
      <c r="I62" s="165"/>
      <c r="K62" s="13"/>
      <c r="L62" s="13"/>
    </row>
    <row r="63" spans="1:12" ht="15" customHeight="1">
      <c r="A63" s="114"/>
      <c r="E63" s="13" t="str">
        <f>Inputs!E89</f>
        <v>Fixed rate - Construction</v>
      </c>
      <c r="G63" s="13" t="str">
        <f>Inputs!G89</f>
        <v>nominal %</v>
      </c>
      <c r="I63" s="165">
        <f>ROW(Inputs!E89)</f>
        <v>89</v>
      </c>
      <c r="K63" s="161" t="s">
        <v>289</v>
      </c>
      <c r="L63" s="162"/>
    </row>
    <row r="64" spans="1:12" ht="15" customHeight="1">
      <c r="A64" s="114"/>
      <c r="E64" s="13" t="str">
        <f>Inputs!E90</f>
        <v>Fixed rate - Operation</v>
      </c>
      <c r="G64" s="13" t="str">
        <f>Inputs!G90</f>
        <v>nominal %</v>
      </c>
      <c r="I64" s="165">
        <f>ROW(Inputs!E90)</f>
        <v>90</v>
      </c>
      <c r="K64" s="161" t="s">
        <v>289</v>
      </c>
      <c r="L64" s="162"/>
    </row>
    <row r="65" spans="1:12" ht="15" customHeight="1">
      <c r="A65" s="114"/>
      <c r="I65" s="165"/>
      <c r="K65" s="13"/>
      <c r="L65" s="13"/>
    </row>
    <row r="66" spans="1:12" ht="15" customHeight="1">
      <c r="A66" s="114"/>
      <c r="E66" s="13" t="str">
        <f>Inputs!E92</f>
        <v>Senior Debt construction margin</v>
      </c>
      <c r="G66" s="13" t="str">
        <f>Inputs!G92</f>
        <v>nominal %</v>
      </c>
      <c r="I66" s="165">
        <f>ROW(Inputs!E92)</f>
        <v>92</v>
      </c>
      <c r="K66" s="161" t="s">
        <v>289</v>
      </c>
      <c r="L66" s="162"/>
    </row>
    <row r="67" spans="1:12" ht="15" customHeight="1">
      <c r="A67" s="114"/>
      <c r="E67" s="13" t="str">
        <f>Inputs!E93</f>
        <v>of which: swap margin</v>
      </c>
      <c r="G67" s="13" t="str">
        <f>Inputs!G93</f>
        <v>nominal %</v>
      </c>
      <c r="I67" s="165">
        <f>ROW(Inputs!E93)</f>
        <v>93</v>
      </c>
      <c r="K67" s="161" t="s">
        <v>289</v>
      </c>
      <c r="L67" s="162"/>
    </row>
    <row r="68" spans="1:12" ht="15" customHeight="1">
      <c r="A68" s="114"/>
      <c r="E68" s="13" t="str">
        <f>Inputs!E94</f>
        <v>Senior Debt upfront fee</v>
      </c>
      <c r="G68" s="13" t="str">
        <f>Inputs!G94</f>
        <v>nominal %</v>
      </c>
      <c r="I68" s="165">
        <f>ROW(Inputs!E94)</f>
        <v>94</v>
      </c>
      <c r="K68" s="161" t="s">
        <v>289</v>
      </c>
      <c r="L68" s="162"/>
    </row>
    <row r="69" spans="1:12" ht="15" customHeight="1">
      <c r="A69" s="114"/>
      <c r="E69" s="13" t="str">
        <f>Inputs!E95</f>
        <v>Senior Debt commitment fee</v>
      </c>
      <c r="G69" s="13" t="str">
        <f>Inputs!G95</f>
        <v>% of applicable margin</v>
      </c>
      <c r="I69" s="165">
        <f>ROW(Inputs!E95)</f>
        <v>95</v>
      </c>
      <c r="K69" s="161" t="s">
        <v>289</v>
      </c>
      <c r="L69" s="162"/>
    </row>
    <row r="70" spans="1:12" ht="15" customHeight="1">
      <c r="A70" s="114"/>
      <c r="I70" s="165"/>
      <c r="K70" s="13"/>
      <c r="L70" s="13"/>
    </row>
    <row r="71" spans="1:12" ht="15" customHeight="1">
      <c r="A71" s="114"/>
      <c r="E71" s="13" t="str">
        <f>Inputs!E97</f>
        <v>Senior Debt drawdown year</v>
      </c>
      <c r="G71" s="13" t="str">
        <f>Inputs!G97</f>
        <v>Year</v>
      </c>
      <c r="I71" s="165">
        <f>ROW(Inputs!E97)</f>
        <v>97</v>
      </c>
      <c r="K71" s="161" t="s">
        <v>289</v>
      </c>
      <c r="L71" s="162"/>
    </row>
    <row r="72" spans="1:12" ht="15" customHeight="1">
      <c r="A72" s="114"/>
      <c r="E72" s="13" t="str">
        <f>Inputs!E98</f>
        <v>Senior Debt drawdown profile</v>
      </c>
      <c r="G72" s="13" t="str">
        <f>Inputs!G98</f>
        <v>%</v>
      </c>
      <c r="I72" s="165">
        <f>ROW(Inputs!E98)</f>
        <v>98</v>
      </c>
      <c r="K72" s="161" t="s">
        <v>289</v>
      </c>
      <c r="L72" s="162"/>
    </row>
    <row r="73" spans="1:12" ht="15" customHeight="1">
      <c r="A73" s="114"/>
      <c r="I73" s="165"/>
      <c r="K73" s="13"/>
      <c r="L73" s="13"/>
    </row>
    <row r="74" spans="1:12" ht="15" customHeight="1">
      <c r="A74" s="114"/>
      <c r="E74" s="13" t="str">
        <f>Inputs!E100</f>
        <v>Debt Service Reserve Facility/Account amount</v>
      </c>
      <c r="G74" s="13" t="str">
        <f>Inputs!G100</f>
        <v>£m nominal prices</v>
      </c>
      <c r="I74" s="165">
        <f>ROW(Inputs!E100)</f>
        <v>100</v>
      </c>
      <c r="K74" s="161" t="s">
        <v>289</v>
      </c>
      <c r="L74" s="162"/>
    </row>
    <row r="75" spans="1:12" ht="15" customHeight="1">
      <c r="A75" s="114"/>
      <c r="E75" s="13" t="str">
        <f>Inputs!E101</f>
        <v>Debt Service Reserve Facility upfront fee</v>
      </c>
      <c r="G75" s="13" t="str">
        <f>Inputs!G101</f>
        <v>nominal %</v>
      </c>
      <c r="I75" s="165">
        <f>ROW(Inputs!E101)</f>
        <v>101</v>
      </c>
      <c r="K75" s="161" t="s">
        <v>289</v>
      </c>
      <c r="L75" s="162"/>
    </row>
    <row r="76" spans="1:12" ht="15" customHeight="1">
      <c r="A76" s="114"/>
      <c r="E76" s="13" t="str">
        <f>Inputs!E102</f>
        <v>Debt Service Reserve Facility construction margin</v>
      </c>
      <c r="G76" s="13" t="str">
        <f>Inputs!G102</f>
        <v>nominal %</v>
      </c>
      <c r="I76" s="165">
        <f>ROW(Inputs!E102)</f>
        <v>102</v>
      </c>
      <c r="K76" s="161" t="s">
        <v>289</v>
      </c>
      <c r="L76" s="162"/>
    </row>
    <row r="77" spans="1:12" ht="15" customHeight="1">
      <c r="A77" s="114"/>
      <c r="E77" s="13" t="str">
        <f>Inputs!E103</f>
        <v>Debt Service Reserve Facility commitment fee</v>
      </c>
      <c r="G77" s="13" t="str">
        <f>Inputs!G103</f>
        <v>% of applicable margin</v>
      </c>
      <c r="I77" s="165">
        <f>ROW(Inputs!E103)</f>
        <v>103</v>
      </c>
      <c r="K77" s="161" t="s">
        <v>289</v>
      </c>
      <c r="L77" s="162"/>
    </row>
    <row r="78" spans="1:12" ht="15" customHeight="1">
      <c r="A78" s="114"/>
      <c r="I78" s="165"/>
      <c r="K78" s="13"/>
      <c r="L78" s="13"/>
    </row>
    <row r="79" spans="1:12" ht="15" customHeight="1">
      <c r="A79" s="114"/>
      <c r="E79" s="13" t="str">
        <f>Inputs!E105</f>
        <v>Cap and Floor Liquidity Facility amount</v>
      </c>
      <c r="G79" s="13" t="str">
        <f>Inputs!G105</f>
        <v>£m nominal prices</v>
      </c>
      <c r="I79" s="165">
        <f>ROW(Inputs!E105)</f>
        <v>105</v>
      </c>
      <c r="K79" s="161" t="s">
        <v>289</v>
      </c>
      <c r="L79" s="162"/>
    </row>
    <row r="80" spans="1:12" ht="15" customHeight="1">
      <c r="A80" s="114"/>
      <c r="E80" s="13" t="str">
        <f>Inputs!E107</f>
        <v>Cap and Floor Liquidity Facility upfront fee</v>
      </c>
      <c r="G80" s="13" t="str">
        <f>Inputs!G107</f>
        <v>nominal %</v>
      </c>
      <c r="I80" s="165">
        <f>ROW(Inputs!E107)</f>
        <v>107</v>
      </c>
      <c r="K80" s="161" t="s">
        <v>289</v>
      </c>
      <c r="L80" s="162"/>
    </row>
    <row r="81" spans="1:12" ht="15" customHeight="1">
      <c r="A81" s="114"/>
      <c r="E81" s="13" t="str">
        <f>Inputs!E108</f>
        <v>Cap and Floor Liquidity Facility construction margin</v>
      </c>
      <c r="G81" s="13" t="str">
        <f>Inputs!G108</f>
        <v>nominal %</v>
      </c>
      <c r="I81" s="165">
        <f>ROW(Inputs!E108)</f>
        <v>108</v>
      </c>
      <c r="K81" s="161" t="s">
        <v>289</v>
      </c>
      <c r="L81" s="162"/>
    </row>
    <row r="82" spans="1:12" ht="15" customHeight="1">
      <c r="A82" s="114"/>
      <c r="E82" s="13" t="str">
        <f>Inputs!E109</f>
        <v>Cap and Floor Liquidity Facility commitment fee</v>
      </c>
      <c r="G82" s="13" t="str">
        <f>Inputs!G109</f>
        <v>% of applicable margin</v>
      </c>
      <c r="I82" s="165">
        <f>ROW(Inputs!E109)</f>
        <v>109</v>
      </c>
      <c r="K82" s="161" t="s">
        <v>289</v>
      </c>
      <c r="L82" s="162"/>
    </row>
    <row r="83" spans="1:12" ht="15" customHeight="1">
      <c r="A83" s="114"/>
      <c r="I83" s="165"/>
      <c r="K83" s="13"/>
      <c r="L83" s="13"/>
    </row>
    <row r="84" spans="1:12" ht="15" customHeight="1">
      <c r="A84" s="114"/>
      <c r="E84" s="13" t="str">
        <f>Inputs!E111</f>
        <v>Standby Debt Facility amount</v>
      </c>
      <c r="G84" s="13" t="str">
        <f>Inputs!G111</f>
        <v>£m nominal prices</v>
      </c>
      <c r="I84" s="165">
        <f>ROW(Inputs!E111)</f>
        <v>111</v>
      </c>
      <c r="K84" s="161" t="s">
        <v>289</v>
      </c>
      <c r="L84" s="162"/>
    </row>
    <row r="85" spans="1:12" ht="15" customHeight="1">
      <c r="A85" s="114"/>
      <c r="E85" s="13" t="str">
        <f>Inputs!E112</f>
        <v>Standby Debt Facility upfront fee</v>
      </c>
      <c r="G85" s="13" t="str">
        <f>Inputs!G112</f>
        <v>nominal %</v>
      </c>
      <c r="I85" s="165">
        <f>ROW(Inputs!E112)</f>
        <v>112</v>
      </c>
      <c r="K85" s="161" t="s">
        <v>289</v>
      </c>
      <c r="L85" s="162"/>
    </row>
    <row r="86" spans="1:12" ht="15" customHeight="1">
      <c r="A86" s="114"/>
      <c r="E86" s="13" t="str">
        <f>Inputs!E113</f>
        <v>Standby Debt Facility construction margin</v>
      </c>
      <c r="G86" s="13" t="str">
        <f>Inputs!G113</f>
        <v>nominal %</v>
      </c>
      <c r="I86" s="165">
        <f>ROW(Inputs!E113)</f>
        <v>113</v>
      </c>
      <c r="K86" s="161" t="s">
        <v>289</v>
      </c>
      <c r="L86" s="162"/>
    </row>
    <row r="87" spans="1:12" ht="15" customHeight="1">
      <c r="A87" s="114"/>
      <c r="E87" s="13" t="str">
        <f>Inputs!E114</f>
        <v>Standby Debt Facility commitment fee</v>
      </c>
      <c r="G87" s="13" t="str">
        <f>Inputs!G114</f>
        <v>% of applicable margin</v>
      </c>
      <c r="I87" s="165">
        <f>ROW(Inputs!E114)</f>
        <v>114</v>
      </c>
      <c r="K87" s="161" t="s">
        <v>289</v>
      </c>
      <c r="L87" s="162"/>
    </row>
    <row r="88" spans="1:12" ht="15" customHeight="1">
      <c r="A88" s="114"/>
      <c r="I88" s="165"/>
      <c r="K88" s="13"/>
      <c r="L88" s="13"/>
    </row>
    <row r="89" spans="1:12" ht="15" customHeight="1">
      <c r="A89" s="114"/>
      <c r="E89" s="13" t="str">
        <f>Inputs!E116</f>
        <v>VAT Facility amount</v>
      </c>
      <c r="G89" s="13" t="str">
        <f>Inputs!G116</f>
        <v>£m nominal prices</v>
      </c>
      <c r="I89" s="165">
        <f>ROW(Inputs!E116)</f>
        <v>116</v>
      </c>
      <c r="K89" s="161" t="s">
        <v>289</v>
      </c>
      <c r="L89" s="162"/>
    </row>
    <row r="90" spans="1:12" ht="15" customHeight="1">
      <c r="A90" s="114"/>
      <c r="E90" s="13" t="str">
        <f>Inputs!E117</f>
        <v>VAT Facility average outstanding loan</v>
      </c>
      <c r="G90" s="13" t="str">
        <f>Inputs!G117</f>
        <v>£m nominal prices</v>
      </c>
      <c r="I90" s="165">
        <f>ROW(Inputs!E117)</f>
        <v>117</v>
      </c>
      <c r="K90" s="161" t="s">
        <v>289</v>
      </c>
      <c r="L90" s="162"/>
    </row>
    <row r="91" spans="1:12" ht="15" customHeight="1">
      <c r="A91" s="114"/>
      <c r="E91" s="13" t="str">
        <f>Inputs!E118</f>
        <v>VAT Facility upfront fee</v>
      </c>
      <c r="G91" s="13" t="str">
        <f>Inputs!G118</f>
        <v>nominal %</v>
      </c>
      <c r="I91" s="165">
        <f>ROW(Inputs!E118)</f>
        <v>118</v>
      </c>
      <c r="K91" s="161" t="s">
        <v>289</v>
      </c>
      <c r="L91" s="162"/>
    </row>
    <row r="92" spans="1:12" ht="15" customHeight="1">
      <c r="A92" s="114"/>
      <c r="E92" s="13" t="str">
        <f>Inputs!E119</f>
        <v>VAT Facility construction margin</v>
      </c>
      <c r="G92" s="13" t="str">
        <f>Inputs!G119</f>
        <v>nominal %</v>
      </c>
      <c r="I92" s="165">
        <f>ROW(Inputs!E119)</f>
        <v>119</v>
      </c>
      <c r="K92" s="161" t="s">
        <v>289</v>
      </c>
      <c r="L92" s="162"/>
    </row>
    <row r="93" spans="1:12" ht="15" customHeight="1">
      <c r="A93" s="114"/>
      <c r="E93" s="13" t="str">
        <f>Inputs!E120</f>
        <v>VAT Facility commitment fee</v>
      </c>
      <c r="G93" s="13" t="str">
        <f>Inputs!G120</f>
        <v>% of applicable margin</v>
      </c>
      <c r="I93" s="165">
        <f>ROW(Inputs!E120)</f>
        <v>120</v>
      </c>
      <c r="K93" s="161" t="s">
        <v>289</v>
      </c>
      <c r="L93" s="162"/>
    </row>
    <row r="94" spans="1:12" ht="15" customHeight="1">
      <c r="A94" s="114"/>
      <c r="I94" s="165"/>
      <c r="K94" s="13"/>
      <c r="L94" s="13"/>
    </row>
    <row r="95" spans="1:12" ht="15" customHeight="1">
      <c r="A95" s="114"/>
      <c r="E95" s="13" t="str">
        <f>Inputs!E122</f>
        <v>Other Facilities amount</v>
      </c>
      <c r="G95" s="13" t="str">
        <f>Inputs!G122</f>
        <v>£m nominal prices</v>
      </c>
      <c r="I95" s="165">
        <f>ROW(Inputs!E122)</f>
        <v>122</v>
      </c>
      <c r="K95" s="161" t="s">
        <v>289</v>
      </c>
      <c r="L95" s="162"/>
    </row>
    <row r="96" spans="1:12" ht="15" customHeight="1">
      <c r="A96" s="114"/>
      <c r="E96" s="13" t="str">
        <f>Inputs!E123</f>
        <v>Other Facilities upfront fee</v>
      </c>
      <c r="G96" s="13" t="str">
        <f>Inputs!G123</f>
        <v>nominal %</v>
      </c>
      <c r="I96" s="165">
        <f>ROW(Inputs!E123)</f>
        <v>123</v>
      </c>
      <c r="K96" s="161" t="s">
        <v>289</v>
      </c>
      <c r="L96" s="162"/>
    </row>
    <row r="97" spans="1:12" ht="15" customHeight="1">
      <c r="A97" s="114"/>
      <c r="E97" s="13" t="str">
        <f>Inputs!E124</f>
        <v>Other Facilities construction margin</v>
      </c>
      <c r="G97" s="13" t="str">
        <f>Inputs!G124</f>
        <v>nominal %</v>
      </c>
      <c r="I97" s="165">
        <f>ROW(Inputs!E124)</f>
        <v>124</v>
      </c>
      <c r="K97" s="161" t="s">
        <v>289</v>
      </c>
      <c r="L97" s="162"/>
    </row>
    <row r="98" spans="1:12" ht="15" customHeight="1">
      <c r="A98" s="114"/>
      <c r="E98" s="13" t="str">
        <f>Inputs!E125</f>
        <v>Other Facilities commitment fee</v>
      </c>
      <c r="G98" s="13" t="str">
        <f>Inputs!G125</f>
        <v>% of applicable margin</v>
      </c>
      <c r="I98" s="165">
        <f>ROW(Inputs!E125)</f>
        <v>125</v>
      </c>
      <c r="K98" s="161" t="s">
        <v>289</v>
      </c>
      <c r="L98" s="162"/>
    </row>
    <row r="99" spans="1:12" ht="15" customHeight="1">
      <c r="A99" s="114"/>
      <c r="I99" s="165"/>
      <c r="K99" s="13"/>
      <c r="L99" s="13"/>
    </row>
    <row r="100" spans="1:12" ht="26">
      <c r="A100" s="114"/>
      <c r="E100" s="13" t="str">
        <f>Inputs!E127</f>
        <v>Debt Service Reserve: Facility or Account</v>
      </c>
      <c r="G100" s="90" t="str">
        <f>Inputs!G127</f>
        <v>1: DSRF
2: DSRA</v>
      </c>
      <c r="I100" s="165">
        <f>ROW(Inputs!E127)</f>
        <v>127</v>
      </c>
      <c r="K100" s="161" t="s">
        <v>289</v>
      </c>
      <c r="L100" s="162"/>
    </row>
    <row r="101" spans="1:12" ht="26">
      <c r="A101" s="114"/>
      <c r="E101" s="13" t="str">
        <f>Inputs!E128</f>
        <v>Switch for transaction costs in taxes</v>
      </c>
      <c r="G101" s="90" t="str">
        <f>Inputs!G128</f>
        <v>1: notional costs
2: actual costs</v>
      </c>
      <c r="I101" s="165">
        <f>ROW(Inputs!E128)</f>
        <v>128</v>
      </c>
      <c r="K101" s="161" t="s">
        <v>289</v>
      </c>
      <c r="L101" s="162"/>
    </row>
    <row r="102" spans="1:12" ht="15" customHeight="1">
      <c r="A102" s="114"/>
      <c r="I102" s="165"/>
      <c r="K102" s="13"/>
      <c r="L102" s="13"/>
    </row>
    <row r="103" spans="1:12" ht="15" customHeight="1">
      <c r="A103" s="114"/>
      <c r="E103" s="13" t="str">
        <f>Inputs!E133</f>
        <v>Senior Debt repayment year</v>
      </c>
      <c r="G103" s="13" t="str">
        <f>Inputs!G133</f>
        <v>Year</v>
      </c>
      <c r="I103" s="165">
        <f>ROW(Inputs!E133)</f>
        <v>133</v>
      </c>
      <c r="K103" s="161" t="s">
        <v>289</v>
      </c>
      <c r="L103" s="162"/>
    </row>
    <row r="104" spans="1:12" ht="15" customHeight="1">
      <c r="A104" s="114"/>
      <c r="E104" s="13" t="str">
        <f>Inputs!E134</f>
        <v>Senior Debt repayment profile</v>
      </c>
      <c r="G104" s="13" t="str">
        <f>Inputs!G134</f>
        <v>%</v>
      </c>
      <c r="I104" s="165">
        <f>ROW(Inputs!E134)</f>
        <v>134</v>
      </c>
      <c r="K104" s="161" t="s">
        <v>289</v>
      </c>
      <c r="L104" s="162"/>
    </row>
    <row r="105" spans="1:12" ht="15" customHeight="1">
      <c r="A105" s="114"/>
      <c r="I105" s="165"/>
      <c r="K105" s="13"/>
      <c r="L105" s="13"/>
    </row>
    <row r="106" spans="1:12" ht="15" customHeight="1">
      <c r="A106" s="114"/>
      <c r="E106" s="13" t="str">
        <f>Inputs!E136</f>
        <v>Senior Debt operation margin (including swap margin)</v>
      </c>
      <c r="G106" s="13" t="str">
        <f>Inputs!G136</f>
        <v>nominal %</v>
      </c>
      <c r="I106" s="165">
        <f>ROW(Inputs!E136)</f>
        <v>136</v>
      </c>
      <c r="K106" s="161" t="s">
        <v>289</v>
      </c>
      <c r="L106" s="162"/>
    </row>
    <row r="107" spans="1:12" ht="15" customHeight="1">
      <c r="A107" s="114"/>
      <c r="E107" s="13" t="str">
        <f>Inputs!E137</f>
        <v>Debt Service Reserve Facility operation margin</v>
      </c>
      <c r="G107" s="13" t="str">
        <f>Inputs!G137</f>
        <v>nominal %</v>
      </c>
      <c r="I107" s="165">
        <f>ROW(Inputs!E137)</f>
        <v>137</v>
      </c>
      <c r="K107" s="161" t="s">
        <v>289</v>
      </c>
      <c r="L107" s="162"/>
    </row>
    <row r="108" spans="1:12" ht="15" customHeight="1">
      <c r="A108" s="114"/>
      <c r="E108" s="13" t="str">
        <f>Inputs!E138</f>
        <v>Cap and Floor Liquidity Facility operation margin</v>
      </c>
      <c r="G108" s="13" t="str">
        <f>Inputs!G138</f>
        <v>nominal %</v>
      </c>
      <c r="I108" s="165">
        <f>ROW(Inputs!E138)</f>
        <v>138</v>
      </c>
      <c r="K108" s="161" t="s">
        <v>289</v>
      </c>
      <c r="L108" s="162"/>
    </row>
    <row r="109" spans="1:12" ht="15" customHeight="1">
      <c r="A109" s="114"/>
      <c r="E109" s="13" t="str">
        <f>Inputs!E139</f>
        <v>Standby Debt Facility operation margin</v>
      </c>
      <c r="G109" s="13" t="str">
        <f>Inputs!G139</f>
        <v>nominal %</v>
      </c>
      <c r="I109" s="165">
        <f>ROW(Inputs!E139)</f>
        <v>139</v>
      </c>
      <c r="K109" s="161" t="s">
        <v>289</v>
      </c>
      <c r="L109" s="162"/>
    </row>
    <row r="110" spans="1:12" ht="15" customHeight="1">
      <c r="A110" s="114"/>
      <c r="E110" s="13" t="str">
        <f>Inputs!E140</f>
        <v>VAT Facility operation margin</v>
      </c>
      <c r="G110" s="13" t="str">
        <f>Inputs!G140</f>
        <v>nominal %</v>
      </c>
      <c r="I110" s="165">
        <f>ROW(Inputs!E140)</f>
        <v>140</v>
      </c>
      <c r="K110" s="161" t="s">
        <v>289</v>
      </c>
      <c r="L110" s="162"/>
    </row>
    <row r="111" spans="1:12" ht="15" customHeight="1">
      <c r="A111" s="114"/>
      <c r="E111" s="13" t="str">
        <f>Inputs!E141</f>
        <v>Other facilities operation margin</v>
      </c>
      <c r="G111" s="13" t="str">
        <f>Inputs!G141</f>
        <v>nominal %</v>
      </c>
      <c r="I111" s="165">
        <f>ROW(Inputs!E141)</f>
        <v>141</v>
      </c>
      <c r="K111" s="161" t="s">
        <v>289</v>
      </c>
      <c r="L111" s="162"/>
    </row>
    <row r="112" spans="1:12" ht="15" customHeight="1">
      <c r="A112" s="114"/>
      <c r="K112" s="13"/>
      <c r="L112" s="13"/>
    </row>
    <row r="113" spans="1:12" ht="13">
      <c r="A113" s="26"/>
      <c r="B113" s="26"/>
      <c r="C113" s="67" t="s">
        <v>232</v>
      </c>
      <c r="D113" s="67"/>
      <c r="E113" s="67"/>
      <c r="F113" s="67"/>
      <c r="G113" s="67"/>
      <c r="H113" s="67"/>
      <c r="I113" s="166"/>
      <c r="J113" s="67"/>
      <c r="K113" s="167"/>
      <c r="L113" s="167"/>
    </row>
    <row r="114" spans="1:12" ht="15" customHeight="1">
      <c r="I114" s="159"/>
    </row>
    <row r="115" spans="1:12" ht="15" customHeight="1">
      <c r="A115" s="16"/>
      <c r="B115" s="16"/>
      <c r="C115" s="16"/>
      <c r="D115" s="16"/>
      <c r="E115" s="16" t="str">
        <f>Inputs!E149</f>
        <v>Regime start date</v>
      </c>
      <c r="F115" s="16"/>
      <c r="G115" s="16" t="str">
        <f>Inputs!G149</f>
        <v>date</v>
      </c>
      <c r="H115" s="16"/>
      <c r="I115" s="165">
        <f>ROW(Inputs!I149)</f>
        <v>149</v>
      </c>
      <c r="J115" s="16"/>
      <c r="K115" s="161" t="s">
        <v>280</v>
      </c>
      <c r="L115" s="162"/>
    </row>
    <row r="116" spans="1:12" ht="15" customHeight="1">
      <c r="A116" s="16"/>
      <c r="B116" s="16"/>
      <c r="C116" s="16"/>
      <c r="D116" s="16"/>
      <c r="E116" s="16" t="str">
        <f>Inputs!E150</f>
        <v>End date for IDC</v>
      </c>
      <c r="F116" s="16"/>
      <c r="G116" s="16" t="str">
        <f>Inputs!G150</f>
        <v>date</v>
      </c>
      <c r="H116" s="16"/>
      <c r="I116" s="165">
        <f>ROW(Inputs!I150)</f>
        <v>150</v>
      </c>
      <c r="J116" s="16"/>
      <c r="K116" s="161" t="s">
        <v>280</v>
      </c>
      <c r="L116" s="162"/>
    </row>
    <row r="117" spans="1:12" ht="15" customHeight="1">
      <c r="A117" s="16"/>
      <c r="B117" s="16"/>
      <c r="C117" s="16"/>
      <c r="D117" s="16"/>
      <c r="E117" s="16" t="str">
        <f>Inputs!E151</f>
        <v>Start of operations</v>
      </c>
      <c r="F117" s="16"/>
      <c r="G117" s="16" t="str">
        <f>Inputs!G151</f>
        <v>date</v>
      </c>
      <c r="H117" s="16"/>
      <c r="I117" s="165">
        <f>ROW(Inputs!I151)</f>
        <v>151</v>
      </c>
      <c r="J117" s="16"/>
      <c r="K117" s="161" t="s">
        <v>280</v>
      </c>
      <c r="L117" s="162"/>
    </row>
    <row r="118" spans="1:12" ht="15" customHeight="1">
      <c r="A118" s="16"/>
      <c r="B118" s="16"/>
      <c r="C118" s="16"/>
      <c r="D118" s="16"/>
      <c r="E118" s="16" t="str">
        <f>Inputs!E155</f>
        <v>Number of operational years</v>
      </c>
      <c r="F118" s="16"/>
      <c r="G118" s="16" t="str">
        <f>Inputs!G155</f>
        <v>full years</v>
      </c>
      <c r="H118" s="16"/>
      <c r="I118" s="165">
        <f>ROW(Inputs!I155)</f>
        <v>155</v>
      </c>
      <c r="J118" s="16"/>
      <c r="K118" s="161" t="s">
        <v>279</v>
      </c>
      <c r="L118" s="162"/>
    </row>
    <row r="119" spans="1:12" ht="15" customHeight="1">
      <c r="A119" s="16"/>
      <c r="B119" s="16"/>
      <c r="C119" s="16"/>
      <c r="D119" s="16"/>
      <c r="E119" s="16"/>
      <c r="F119" s="16"/>
      <c r="G119" s="16"/>
      <c r="H119" s="16"/>
      <c r="I119" s="165"/>
      <c r="J119" s="16"/>
      <c r="K119" s="164"/>
      <c r="L119" s="164"/>
    </row>
    <row r="120" spans="1:12" ht="15" customHeight="1">
      <c r="A120" s="26"/>
      <c r="B120" s="26"/>
      <c r="C120" s="67" t="s">
        <v>262</v>
      </c>
      <c r="D120" s="67"/>
      <c r="E120" s="67"/>
      <c r="F120" s="67"/>
      <c r="G120" s="67"/>
      <c r="H120" s="67"/>
      <c r="I120" s="166"/>
      <c r="J120" s="67"/>
      <c r="K120" s="167"/>
      <c r="L120" s="167"/>
    </row>
    <row r="121" spans="1:12" ht="15" customHeight="1">
      <c r="I121" s="159"/>
    </row>
    <row r="122" spans="1:12" ht="15" customHeight="1">
      <c r="B122" s="122"/>
      <c r="E122" s="13" t="str">
        <f>Inputs!E179</f>
        <v>Long-term expected UK RPI inflation</v>
      </c>
      <c r="G122" s="13" t="str">
        <f>Inputs!G179</f>
        <v>%</v>
      </c>
      <c r="I122" s="165">
        <f>ROW(Inputs!E179)</f>
        <v>179</v>
      </c>
      <c r="J122" s="146"/>
      <c r="K122" s="161" t="s">
        <v>290</v>
      </c>
      <c r="L122" s="162"/>
    </row>
    <row r="123" spans="1:12" ht="15" customHeight="1">
      <c r="B123" s="122"/>
      <c r="E123" s="13" t="str">
        <f>Inputs!E182</f>
        <v>12 month average UK RPI inflation index value (CHAW)</v>
      </c>
      <c r="G123" s="13" t="str">
        <f>Inputs!G182</f>
        <v>Jan 1987 = 100</v>
      </c>
      <c r="H123" s="13" t="str">
        <f>Inputs!H182</f>
        <v>UK RPI index t</v>
      </c>
      <c r="I123" s="165">
        <f>ROW(Inputs!E182)</f>
        <v>182</v>
      </c>
      <c r="K123" s="161" t="s">
        <v>281</v>
      </c>
      <c r="L123" s="168" t="s">
        <v>282</v>
      </c>
    </row>
    <row r="124" spans="1:12" ht="15" customHeight="1">
      <c r="A124" s="16"/>
      <c r="B124" s="16"/>
      <c r="C124" s="16"/>
      <c r="D124" s="16"/>
      <c r="E124" s="16"/>
      <c r="F124" s="16"/>
      <c r="G124" s="26"/>
      <c r="H124" s="16"/>
      <c r="I124" s="165"/>
      <c r="J124" s="16"/>
      <c r="K124" s="164"/>
      <c r="L124" s="164"/>
    </row>
    <row r="125" spans="1:12" ht="15" customHeight="1">
      <c r="A125" s="26"/>
      <c r="B125" s="26"/>
      <c r="C125" s="67" t="s">
        <v>266</v>
      </c>
      <c r="D125" s="67"/>
      <c r="E125" s="67"/>
      <c r="F125" s="67"/>
      <c r="G125" s="67"/>
      <c r="H125" s="67"/>
      <c r="I125" s="166"/>
      <c r="J125" s="67"/>
      <c r="K125" s="167"/>
      <c r="L125" s="167"/>
    </row>
    <row r="126" spans="1:12" ht="15" customHeight="1">
      <c r="A126" s="26"/>
      <c r="B126" s="26"/>
      <c r="C126" s="26"/>
      <c r="D126" s="26"/>
      <c r="E126" s="26"/>
      <c r="F126" s="26"/>
      <c r="G126" s="26"/>
      <c r="H126" s="26"/>
      <c r="I126" s="165"/>
      <c r="J126" s="107"/>
      <c r="K126" s="164"/>
      <c r="L126" s="164"/>
    </row>
    <row r="127" spans="1:12" ht="15" customHeight="1">
      <c r="A127" s="26"/>
      <c r="B127" s="26"/>
      <c r="C127" s="26"/>
      <c r="D127" s="26"/>
      <c r="E127" s="13" t="str">
        <f>Inputs!E189</f>
        <v>Corporation tax rate</v>
      </c>
      <c r="G127" s="13" t="str">
        <f>Inputs!G189</f>
        <v>%</v>
      </c>
      <c r="I127" s="165">
        <f>ROW(Inputs!E189)</f>
        <v>189</v>
      </c>
      <c r="J127" s="107"/>
      <c r="K127" s="161" t="s">
        <v>291</v>
      </c>
      <c r="L127" s="162"/>
    </row>
    <row r="128" spans="1:12" ht="15" customHeight="1">
      <c r="A128" s="26"/>
      <c r="B128" s="26"/>
      <c r="C128" s="26"/>
      <c r="D128" s="26"/>
      <c r="E128" s="13" t="str">
        <f>Inputs!E190</f>
        <v>Capital allowance rate (declining balance)</v>
      </c>
      <c r="G128" s="13" t="str">
        <f>Inputs!G190</f>
        <v>%</v>
      </c>
      <c r="I128" s="165">
        <f>ROW(Inputs!E190)</f>
        <v>190</v>
      </c>
      <c r="J128" s="107"/>
      <c r="K128" s="161" t="s">
        <v>291</v>
      </c>
      <c r="L128" s="162"/>
    </row>
    <row r="129" spans="1:12" ht="15" customHeight="1">
      <c r="B129" s="122"/>
      <c r="E129" s="13" t="str">
        <f>Inputs!E193</f>
        <v>Start of price base year</v>
      </c>
      <c r="G129" s="13" t="str">
        <f>Inputs!G193</f>
        <v>date</v>
      </c>
      <c r="I129" s="165">
        <f>ROW(Inputs!E193)</f>
        <v>193</v>
      </c>
      <c r="J129" s="146"/>
      <c r="K129" s="161" t="s">
        <v>279</v>
      </c>
      <c r="L129" s="162"/>
    </row>
    <row r="130" spans="1:12" ht="15" customHeight="1">
      <c r="G130" s="26"/>
      <c r="I130" s="159"/>
      <c r="J130" s="107"/>
    </row>
    <row r="131" spans="1:12" ht="15" customHeight="1">
      <c r="B131" s="26"/>
      <c r="C131" s="67" t="s">
        <v>272</v>
      </c>
      <c r="D131" s="67"/>
      <c r="E131" s="67"/>
      <c r="F131" s="67"/>
      <c r="G131" s="67"/>
      <c r="H131" s="67"/>
      <c r="I131" s="166"/>
      <c r="J131" s="67"/>
      <c r="K131" s="167"/>
      <c r="L131" s="167"/>
    </row>
    <row r="132" spans="1:12" ht="15" customHeight="1">
      <c r="B132" s="26"/>
      <c r="C132" s="26"/>
      <c r="D132" s="26"/>
      <c r="E132" s="26"/>
      <c r="F132" s="26"/>
      <c r="G132" s="26"/>
      <c r="H132" s="26"/>
      <c r="I132" s="165"/>
      <c r="J132" s="107"/>
      <c r="K132" s="164"/>
      <c r="L132" s="164"/>
    </row>
    <row r="133" spans="1:12" ht="15" customHeight="1">
      <c r="E133" s="13" t="str">
        <f>Inputs!E199</f>
        <v>Tax element of Cap and Floor annuity previously calculated and fixed</v>
      </c>
      <c r="G133" s="13" t="str">
        <f>Inputs!G199</f>
        <v>choice</v>
      </c>
      <c r="I133" s="165">
        <f>ROW(Inputs!E199)</f>
        <v>199</v>
      </c>
      <c r="J133" s="107"/>
      <c r="K133" s="161" t="s">
        <v>292</v>
      </c>
      <c r="L133" s="162"/>
    </row>
    <row r="134" spans="1:12" ht="15" customHeight="1">
      <c r="G134" s="26"/>
      <c r="I134" s="159"/>
      <c r="J134" s="107"/>
    </row>
    <row r="135" spans="1:12" ht="15" customHeight="1">
      <c r="A135" s="16"/>
      <c r="B135" s="14" t="s">
        <v>47</v>
      </c>
      <c r="C135" s="58"/>
      <c r="D135" s="58"/>
      <c r="E135" s="58"/>
      <c r="F135" s="59"/>
      <c r="G135" s="59"/>
      <c r="H135" s="59"/>
      <c r="I135" s="157"/>
      <c r="J135" s="59"/>
      <c r="K135" s="158"/>
      <c r="L135" s="158"/>
    </row>
    <row r="136" spans="1:12" ht="15" customHeight="1">
      <c r="I136" s="159"/>
    </row>
    <row r="137" spans="1:12" ht="15" hidden="1" customHeight="1">
      <c r="I137" s="159"/>
    </row>
    <row r="138" spans="1:12" ht="15" hidden="1" customHeight="1">
      <c r="I138" s="159"/>
    </row>
    <row r="139" spans="1:12" ht="15" hidden="1" customHeight="1">
      <c r="I139" s="159"/>
    </row>
    <row r="140" spans="1:12" ht="15" hidden="1" customHeight="1">
      <c r="I140" s="159"/>
    </row>
    <row r="141" spans="1:12" ht="15" hidden="1" customHeight="1">
      <c r="I141" s="159"/>
    </row>
    <row r="142" spans="1:12" ht="15" hidden="1" customHeight="1">
      <c r="I142" s="159"/>
    </row>
    <row r="143" spans="1:12" ht="15" hidden="1" customHeight="1">
      <c r="I143" s="159"/>
    </row>
    <row r="144" spans="1:12" ht="15" hidden="1" customHeight="1">
      <c r="I144" s="159"/>
    </row>
    <row r="145" spans="9:9" ht="15" hidden="1" customHeight="1">
      <c r="I145" s="159"/>
    </row>
    <row r="146" spans="9:9" ht="15" hidden="1" customHeight="1">
      <c r="I146" s="159"/>
    </row>
    <row r="147" spans="9:9" ht="15" hidden="1" customHeight="1">
      <c r="I147" s="159"/>
    </row>
    <row r="148" spans="9:9" ht="15" hidden="1" customHeight="1">
      <c r="I148" s="159"/>
    </row>
    <row r="149" spans="9:9" ht="15" hidden="1" customHeight="1">
      <c r="I149" s="159"/>
    </row>
    <row r="150" spans="9:9" ht="15" hidden="1" customHeight="1">
      <c r="I150" s="159"/>
    </row>
    <row r="151" spans="9:9" ht="15" hidden="1" customHeight="1">
      <c r="I151" s="159"/>
    </row>
    <row r="152" spans="9:9" ht="15" hidden="1" customHeight="1">
      <c r="I152" s="159"/>
    </row>
    <row r="153" spans="9:9" ht="15" hidden="1" customHeight="1">
      <c r="I153" s="159"/>
    </row>
    <row r="154" spans="9:9" ht="15" hidden="1" customHeight="1">
      <c r="I154" s="159"/>
    </row>
    <row r="155" spans="9:9" ht="15" hidden="1" customHeight="1">
      <c r="I155" s="159"/>
    </row>
    <row r="156" spans="9:9" ht="15" hidden="1" customHeight="1">
      <c r="I156" s="159"/>
    </row>
    <row r="157" spans="9:9" ht="15" hidden="1" customHeight="1">
      <c r="I157" s="159"/>
    </row>
    <row r="158" spans="9:9" ht="15" hidden="1" customHeight="1">
      <c r="I158" s="159"/>
    </row>
    <row r="159" spans="9:9" ht="15" hidden="1" customHeight="1">
      <c r="I159" s="159"/>
    </row>
    <row r="160" spans="9:9" ht="15" hidden="1" customHeight="1">
      <c r="I160" s="159"/>
    </row>
    <row r="161" spans="9:9" ht="15" hidden="1" customHeight="1">
      <c r="I161" s="159"/>
    </row>
    <row r="162" spans="9:9" ht="15" hidden="1" customHeight="1">
      <c r="I162" s="159"/>
    </row>
    <row r="163" spans="9:9" ht="15" hidden="1" customHeight="1">
      <c r="I163" s="159"/>
    </row>
    <row r="164" spans="9:9" ht="15" hidden="1" customHeight="1">
      <c r="I164" s="159"/>
    </row>
    <row r="165" spans="9:9" ht="15" hidden="1" customHeight="1">
      <c r="I165" s="159"/>
    </row>
    <row r="166" spans="9:9" ht="15" hidden="1" customHeight="1">
      <c r="I166" s="159"/>
    </row>
    <row r="167" spans="9:9" ht="15" hidden="1" customHeight="1">
      <c r="I167" s="159"/>
    </row>
    <row r="168" spans="9:9" ht="15" hidden="1" customHeight="1">
      <c r="I168" s="159"/>
    </row>
    <row r="169" spans="9:9" ht="15" hidden="1" customHeight="1">
      <c r="I169" s="159"/>
    </row>
    <row r="170" spans="9:9" ht="15" hidden="1" customHeight="1">
      <c r="I170" s="159"/>
    </row>
    <row r="171" spans="9:9" ht="15" hidden="1" customHeight="1">
      <c r="I171" s="159"/>
    </row>
    <row r="172" spans="9:9" ht="15" hidden="1" customHeight="1">
      <c r="I172" s="159"/>
    </row>
    <row r="173" spans="9:9" ht="15" hidden="1" customHeight="1">
      <c r="I173" s="159"/>
    </row>
    <row r="174" spans="9:9" ht="15" hidden="1" customHeight="1">
      <c r="I174" s="159"/>
    </row>
    <row r="175" spans="9:9" ht="15" hidden="1" customHeight="1">
      <c r="I175" s="159"/>
    </row>
    <row r="176" spans="9:9" ht="15" hidden="1" customHeight="1">
      <c r="I176" s="159"/>
    </row>
    <row r="177" spans="9:9" ht="15" hidden="1" customHeight="1">
      <c r="I177" s="159"/>
    </row>
    <row r="178" spans="9:9" ht="15" hidden="1" customHeight="1">
      <c r="I178" s="159"/>
    </row>
    <row r="179" spans="9:9" ht="15" hidden="1" customHeight="1">
      <c r="I179" s="159"/>
    </row>
    <row r="180" spans="9:9" ht="15" hidden="1" customHeight="1">
      <c r="I180" s="159"/>
    </row>
    <row r="181" spans="9:9" ht="15" hidden="1" customHeight="1">
      <c r="I181" s="159"/>
    </row>
    <row r="182" spans="9:9" ht="15" hidden="1" customHeight="1">
      <c r="I182" s="159"/>
    </row>
    <row r="183" spans="9:9" ht="15" hidden="1" customHeight="1">
      <c r="I183" s="159"/>
    </row>
    <row r="184" spans="9:9" ht="15" hidden="1" customHeight="1">
      <c r="I184" s="159"/>
    </row>
    <row r="185" spans="9:9" ht="15" hidden="1" customHeight="1">
      <c r="I185" s="159"/>
    </row>
    <row r="186" spans="9:9" ht="15" hidden="1" customHeight="1">
      <c r="I186" s="159"/>
    </row>
    <row r="187" spans="9:9" ht="15" hidden="1" customHeight="1">
      <c r="I187" s="159"/>
    </row>
    <row r="188" spans="9:9" ht="15" hidden="1" customHeight="1">
      <c r="I188" s="159"/>
    </row>
    <row r="189" spans="9:9" ht="15" hidden="1" customHeight="1">
      <c r="I189" s="159"/>
    </row>
    <row r="190" spans="9:9" ht="15" hidden="1" customHeight="1">
      <c r="I190" s="159"/>
    </row>
    <row r="191" spans="9:9" ht="15" hidden="1" customHeight="1">
      <c r="I191" s="159"/>
    </row>
    <row r="192" spans="9:9" ht="15" hidden="1" customHeight="1">
      <c r="I192" s="159"/>
    </row>
    <row r="193" spans="9:9" ht="15" hidden="1" customHeight="1">
      <c r="I193" s="159"/>
    </row>
    <row r="194" spans="9:9" ht="15" hidden="1" customHeight="1">
      <c r="I194" s="159"/>
    </row>
    <row r="195" spans="9:9" ht="15" hidden="1" customHeight="1">
      <c r="I195" s="159"/>
    </row>
    <row r="196" spans="9:9" ht="15" hidden="1" customHeight="1">
      <c r="I196" s="159"/>
    </row>
    <row r="197" spans="9:9" ht="15" hidden="1" customHeight="1">
      <c r="I197" s="159"/>
    </row>
    <row r="198" spans="9:9" ht="15" hidden="1" customHeight="1">
      <c r="I198" s="159"/>
    </row>
    <row r="199" spans="9:9" ht="15" hidden="1" customHeight="1">
      <c r="I199" s="159"/>
    </row>
    <row r="200" spans="9:9" ht="15" hidden="1" customHeight="1">
      <c r="I200" s="159"/>
    </row>
    <row r="201" spans="9:9" ht="15" hidden="1" customHeight="1">
      <c r="I201" s="159"/>
    </row>
    <row r="202" spans="9:9" ht="15" hidden="1" customHeight="1">
      <c r="I202" s="159"/>
    </row>
    <row r="203" spans="9:9" ht="15" hidden="1" customHeight="1">
      <c r="I203" s="159"/>
    </row>
    <row r="204" spans="9:9" ht="0" hidden="1" customHeight="1"/>
    <row r="205" spans="9:9" ht="0" hidden="1" customHeight="1"/>
    <row r="206" spans="9:9" ht="0" hidden="1" customHeight="1"/>
    <row r="207" spans="9:9" ht="0" hidden="1" customHeight="1"/>
    <row r="208" spans="9:9" ht="0" hidden="1" customHeight="1"/>
  </sheetData>
  <hyperlinks>
    <hyperlink ref="L18" r:id="rId1"/>
    <hyperlink ref="L20" r:id="rId2" location="panel-13"/>
    <hyperlink ref="L22" r:id="rId3"/>
    <hyperlink ref="L24" r:id="rId4"/>
    <hyperlink ref="L33" r:id="rId5"/>
    <hyperlink ref="L35" r:id="rId6"/>
    <hyperlink ref="L37" r:id="rId7"/>
    <hyperlink ref="L123" r:id="rId8"/>
  </hyperlinks>
  <pageMargins left="0.23622047244094502" right="0.23622047244094502" top="0.74803149606299213" bottom="0.74803149606299213" header="0.31496062992126012" footer="0.31496062992126012"/>
  <pageSetup paperSize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C0DA"/>
    <pageSetUpPr fitToPage="1"/>
  </sheetPr>
  <dimension ref="A1:AZ64"/>
  <sheetViews>
    <sheetView workbookViewId="0"/>
  </sheetViews>
  <sheetFormatPr defaultColWidth="0" defaultRowHeight="0" customHeight="1" zeroHeight="1"/>
  <cols>
    <col min="1" max="4" width="2.59765625" style="13" customWidth="1"/>
    <col min="5" max="5" width="55.09765625" style="13" customWidth="1"/>
    <col min="6" max="6" width="1.59765625" style="13" customWidth="1"/>
    <col min="7" max="7" width="15.59765625" style="13" customWidth="1"/>
    <col min="8" max="8" width="10.69921875" style="13" bestFit="1" customWidth="1"/>
    <col min="9" max="9" width="10.59765625" style="192" customWidth="1"/>
    <col min="10" max="10" width="1.59765625" style="13" customWidth="1"/>
    <col min="11" max="45" width="10.59765625" style="13" customWidth="1"/>
    <col min="46" max="46" width="10.09765625" style="13" bestFit="1" customWidth="1"/>
    <col min="47" max="50" width="10.59765625" style="13" customWidth="1"/>
    <col min="51" max="51" width="3.09765625" customWidth="1"/>
    <col min="52" max="52" width="9.09765625" style="13" hidden="1" customWidth="1"/>
    <col min="53" max="53" width="9.09765625" hidden="1" customWidth="1"/>
    <col min="54" max="16384" width="9.09765625" hidden="1"/>
  </cols>
  <sheetData>
    <row r="1" spans="1:50" customFormat="1" ht="14.5">
      <c r="A1" s="52" t="s">
        <v>26</v>
      </c>
      <c r="B1" s="53"/>
      <c r="C1" s="53"/>
      <c r="D1" s="53"/>
      <c r="E1" s="53"/>
      <c r="F1" s="53"/>
      <c r="G1" s="53"/>
      <c r="H1" s="53" t="s">
        <v>101</v>
      </c>
      <c r="I1" s="176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</row>
    <row r="2" spans="1:50" customFormat="1" ht="15" customHeight="1">
      <c r="A2" s="53"/>
      <c r="B2" s="53"/>
      <c r="C2" s="53"/>
      <c r="D2" s="53"/>
      <c r="E2" s="55" t="s">
        <v>102</v>
      </c>
      <c r="F2" s="55"/>
      <c r="G2" s="55" t="s">
        <v>103</v>
      </c>
      <c r="H2" s="55" t="s">
        <v>104</v>
      </c>
      <c r="I2" s="56" t="s">
        <v>105</v>
      </c>
      <c r="J2" s="57"/>
      <c r="K2" s="55" t="s">
        <v>106</v>
      </c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3"/>
      <c r="AT2" s="53"/>
      <c r="AU2" s="53"/>
      <c r="AV2" s="53"/>
      <c r="AW2" s="53"/>
      <c r="AX2" s="53"/>
    </row>
    <row r="3" spans="1:50" customFormat="1" ht="15" customHeight="1">
      <c r="A3" s="53"/>
      <c r="B3" s="53"/>
      <c r="C3" s="53"/>
      <c r="D3" s="53"/>
      <c r="E3" s="69" t="s">
        <v>119</v>
      </c>
      <c r="F3" s="55"/>
      <c r="G3" s="55"/>
      <c r="H3" s="55"/>
      <c r="I3" s="55"/>
      <c r="J3" s="57"/>
      <c r="K3" s="71">
        <f>Inputs!K17</f>
        <v>41275</v>
      </c>
      <c r="L3" s="72">
        <f t="shared" ref="L3:AX3" si="0">+K4+1</f>
        <v>41640</v>
      </c>
      <c r="M3" s="72">
        <f t="shared" si="0"/>
        <v>42005</v>
      </c>
      <c r="N3" s="72">
        <f t="shared" si="0"/>
        <v>42370</v>
      </c>
      <c r="O3" s="72">
        <f t="shared" si="0"/>
        <v>42736</v>
      </c>
      <c r="P3" s="72">
        <f t="shared" si="0"/>
        <v>43101</v>
      </c>
      <c r="Q3" s="72">
        <f t="shared" si="0"/>
        <v>43466</v>
      </c>
      <c r="R3" s="72">
        <f t="shared" si="0"/>
        <v>43831</v>
      </c>
      <c r="S3" s="72">
        <f t="shared" si="0"/>
        <v>44197</v>
      </c>
      <c r="T3" s="72">
        <f t="shared" si="0"/>
        <v>44562</v>
      </c>
      <c r="U3" s="72">
        <f t="shared" si="0"/>
        <v>44927</v>
      </c>
      <c r="V3" s="72">
        <f t="shared" si="0"/>
        <v>45292</v>
      </c>
      <c r="W3" s="72">
        <f t="shared" si="0"/>
        <v>45658</v>
      </c>
      <c r="X3" s="72">
        <f t="shared" si="0"/>
        <v>46023</v>
      </c>
      <c r="Y3" s="72">
        <f t="shared" si="0"/>
        <v>46388</v>
      </c>
      <c r="Z3" s="72">
        <f t="shared" si="0"/>
        <v>46753</v>
      </c>
      <c r="AA3" s="72">
        <f t="shared" si="0"/>
        <v>47119</v>
      </c>
      <c r="AB3" s="72">
        <f t="shared" si="0"/>
        <v>47484</v>
      </c>
      <c r="AC3" s="72">
        <f t="shared" si="0"/>
        <v>47849</v>
      </c>
      <c r="AD3" s="72">
        <f t="shared" si="0"/>
        <v>48214</v>
      </c>
      <c r="AE3" s="72">
        <f t="shared" si="0"/>
        <v>48580</v>
      </c>
      <c r="AF3" s="72">
        <f t="shared" si="0"/>
        <v>48945</v>
      </c>
      <c r="AG3" s="72">
        <f t="shared" si="0"/>
        <v>49310</v>
      </c>
      <c r="AH3" s="72">
        <f t="shared" si="0"/>
        <v>49675</v>
      </c>
      <c r="AI3" s="72">
        <f t="shared" si="0"/>
        <v>50041</v>
      </c>
      <c r="AJ3" s="72">
        <f t="shared" si="0"/>
        <v>50406</v>
      </c>
      <c r="AK3" s="72">
        <f t="shared" si="0"/>
        <v>50771</v>
      </c>
      <c r="AL3" s="72">
        <f t="shared" si="0"/>
        <v>51136</v>
      </c>
      <c r="AM3" s="72">
        <f t="shared" si="0"/>
        <v>51502</v>
      </c>
      <c r="AN3" s="72">
        <f t="shared" si="0"/>
        <v>51867</v>
      </c>
      <c r="AO3" s="72">
        <f t="shared" si="0"/>
        <v>52232</v>
      </c>
      <c r="AP3" s="72">
        <f t="shared" si="0"/>
        <v>52597</v>
      </c>
      <c r="AQ3" s="72">
        <f t="shared" si="0"/>
        <v>52963</v>
      </c>
      <c r="AR3" s="72">
        <f t="shared" si="0"/>
        <v>53328</v>
      </c>
      <c r="AS3" s="72">
        <f t="shared" si="0"/>
        <v>53693</v>
      </c>
      <c r="AT3" s="72">
        <f t="shared" si="0"/>
        <v>54058</v>
      </c>
      <c r="AU3" s="72">
        <f t="shared" si="0"/>
        <v>54424</v>
      </c>
      <c r="AV3" s="72">
        <f t="shared" si="0"/>
        <v>54789</v>
      </c>
      <c r="AW3" s="72">
        <f t="shared" si="0"/>
        <v>55154</v>
      </c>
      <c r="AX3" s="72">
        <f t="shared" si="0"/>
        <v>55519</v>
      </c>
    </row>
    <row r="4" spans="1:50" customFormat="1" ht="15" customHeight="1">
      <c r="A4" s="69"/>
      <c r="B4" s="69"/>
      <c r="C4" s="69"/>
      <c r="D4" s="69"/>
      <c r="E4" s="69" t="s">
        <v>120</v>
      </c>
      <c r="F4" s="69"/>
      <c r="G4" s="69"/>
      <c r="H4" s="69"/>
      <c r="I4" s="177"/>
      <c r="J4" s="69"/>
      <c r="K4" s="71">
        <f>Inputs!K18</f>
        <v>41639</v>
      </c>
      <c r="L4" s="72">
        <f t="shared" ref="L4:AX4" si="1">DATE(YEAR(K4) + 1, MONTH(K4), DAY(K4))</f>
        <v>42004</v>
      </c>
      <c r="M4" s="72">
        <f t="shared" si="1"/>
        <v>42369</v>
      </c>
      <c r="N4" s="72">
        <f t="shared" si="1"/>
        <v>42735</v>
      </c>
      <c r="O4" s="72">
        <f t="shared" si="1"/>
        <v>43100</v>
      </c>
      <c r="P4" s="72">
        <f t="shared" si="1"/>
        <v>43465</v>
      </c>
      <c r="Q4" s="72">
        <f t="shared" si="1"/>
        <v>43830</v>
      </c>
      <c r="R4" s="72">
        <f t="shared" si="1"/>
        <v>44196</v>
      </c>
      <c r="S4" s="72">
        <f t="shared" si="1"/>
        <v>44561</v>
      </c>
      <c r="T4" s="72">
        <f t="shared" si="1"/>
        <v>44926</v>
      </c>
      <c r="U4" s="72">
        <f t="shared" si="1"/>
        <v>45291</v>
      </c>
      <c r="V4" s="72">
        <f t="shared" si="1"/>
        <v>45657</v>
      </c>
      <c r="W4" s="72">
        <f t="shared" si="1"/>
        <v>46022</v>
      </c>
      <c r="X4" s="72">
        <f t="shared" si="1"/>
        <v>46387</v>
      </c>
      <c r="Y4" s="72">
        <f t="shared" si="1"/>
        <v>46752</v>
      </c>
      <c r="Z4" s="72">
        <f t="shared" si="1"/>
        <v>47118</v>
      </c>
      <c r="AA4" s="72">
        <f t="shared" si="1"/>
        <v>47483</v>
      </c>
      <c r="AB4" s="72">
        <f t="shared" si="1"/>
        <v>47848</v>
      </c>
      <c r="AC4" s="72">
        <f t="shared" si="1"/>
        <v>48213</v>
      </c>
      <c r="AD4" s="72">
        <f t="shared" si="1"/>
        <v>48579</v>
      </c>
      <c r="AE4" s="72">
        <f t="shared" si="1"/>
        <v>48944</v>
      </c>
      <c r="AF4" s="72">
        <f t="shared" si="1"/>
        <v>49309</v>
      </c>
      <c r="AG4" s="72">
        <f t="shared" si="1"/>
        <v>49674</v>
      </c>
      <c r="AH4" s="72">
        <f t="shared" si="1"/>
        <v>50040</v>
      </c>
      <c r="AI4" s="72">
        <f t="shared" si="1"/>
        <v>50405</v>
      </c>
      <c r="AJ4" s="72">
        <f t="shared" si="1"/>
        <v>50770</v>
      </c>
      <c r="AK4" s="72">
        <f t="shared" si="1"/>
        <v>51135</v>
      </c>
      <c r="AL4" s="72">
        <f t="shared" si="1"/>
        <v>51501</v>
      </c>
      <c r="AM4" s="72">
        <f t="shared" si="1"/>
        <v>51866</v>
      </c>
      <c r="AN4" s="72">
        <f t="shared" si="1"/>
        <v>52231</v>
      </c>
      <c r="AO4" s="72">
        <f t="shared" si="1"/>
        <v>52596</v>
      </c>
      <c r="AP4" s="72">
        <f t="shared" si="1"/>
        <v>52962</v>
      </c>
      <c r="AQ4" s="72">
        <f t="shared" si="1"/>
        <v>53327</v>
      </c>
      <c r="AR4" s="72">
        <f t="shared" si="1"/>
        <v>53692</v>
      </c>
      <c r="AS4" s="72">
        <f t="shared" si="1"/>
        <v>54057</v>
      </c>
      <c r="AT4" s="72">
        <f t="shared" si="1"/>
        <v>54423</v>
      </c>
      <c r="AU4" s="72">
        <f t="shared" si="1"/>
        <v>54788</v>
      </c>
      <c r="AV4" s="72">
        <f t="shared" si="1"/>
        <v>55153</v>
      </c>
      <c r="AW4" s="72">
        <f t="shared" si="1"/>
        <v>55518</v>
      </c>
      <c r="AX4" s="72">
        <f t="shared" si="1"/>
        <v>55884</v>
      </c>
    </row>
    <row r="5" spans="1:50" customFormat="1" ht="15" customHeight="1">
      <c r="A5" s="26"/>
      <c r="B5" s="26"/>
      <c r="C5" s="26"/>
      <c r="D5" s="26"/>
      <c r="E5" s="26"/>
      <c r="F5" s="26"/>
      <c r="G5" s="26"/>
      <c r="H5" s="26"/>
      <c r="I5" s="66"/>
      <c r="J5" s="107"/>
      <c r="K5" s="107"/>
      <c r="L5" s="107"/>
      <c r="M5" s="107"/>
      <c r="N5" s="107"/>
      <c r="O5" s="107"/>
      <c r="P5" s="107"/>
      <c r="Q5" s="107"/>
      <c r="R5" s="107"/>
      <c r="S5" s="26"/>
      <c r="T5" s="26"/>
      <c r="U5" s="26"/>
      <c r="V5" s="26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</row>
    <row r="6" spans="1:50" customFormat="1" ht="15" customHeight="1">
      <c r="A6" s="26"/>
      <c r="B6" s="14" t="s">
        <v>293</v>
      </c>
      <c r="C6" s="58"/>
      <c r="D6" s="58"/>
      <c r="E6" s="59"/>
      <c r="F6" s="59"/>
      <c r="G6" s="59"/>
      <c r="H6" s="59"/>
      <c r="I6" s="178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</row>
    <row r="7" spans="1:50" customFormat="1" ht="15" customHeight="1">
      <c r="A7" s="26"/>
      <c r="B7" s="26"/>
      <c r="C7" s="26"/>
      <c r="D7" s="26"/>
      <c r="E7" s="26"/>
      <c r="F7" s="26"/>
      <c r="G7" s="26"/>
      <c r="H7" s="26"/>
      <c r="I7" s="66"/>
      <c r="J7" s="107"/>
      <c r="K7" s="107"/>
      <c r="L7" s="107"/>
      <c r="M7" s="107"/>
      <c r="N7" s="107"/>
      <c r="O7" s="107"/>
      <c r="P7" s="107"/>
      <c r="Q7" s="107"/>
      <c r="R7" s="107"/>
      <c r="S7" s="26"/>
      <c r="T7" s="26"/>
      <c r="U7" s="26"/>
      <c r="V7" s="26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</row>
    <row r="8" spans="1:50" customFormat="1" ht="15" customHeight="1">
      <c r="A8" s="26"/>
      <c r="B8" s="26"/>
      <c r="C8" s="26"/>
      <c r="D8" s="26"/>
      <c r="E8" s="16" t="s">
        <v>246</v>
      </c>
      <c r="F8" s="26"/>
      <c r="G8" s="26" t="s">
        <v>247</v>
      </c>
      <c r="H8" s="26"/>
      <c r="I8" s="66"/>
      <c r="J8" s="107"/>
      <c r="K8" s="19">
        <f>Inputs!K160</f>
        <v>1</v>
      </c>
      <c r="L8" s="19">
        <f>Inputs!L160</f>
        <v>1</v>
      </c>
      <c r="M8" s="19">
        <f>Inputs!M160</f>
        <v>1</v>
      </c>
      <c r="N8" s="19">
        <f>Inputs!N160</f>
        <v>1</v>
      </c>
      <c r="O8" s="19">
        <f>Inputs!O160</f>
        <v>1</v>
      </c>
      <c r="P8" s="19">
        <f>Inputs!P160</f>
        <v>1</v>
      </c>
      <c r="Q8" s="19">
        <f>Inputs!Q160</f>
        <v>1</v>
      </c>
      <c r="R8" s="19">
        <f>Inputs!R160</f>
        <v>1</v>
      </c>
      <c r="S8" s="19">
        <f>Inputs!S160</f>
        <v>1</v>
      </c>
      <c r="T8" s="19">
        <f>Inputs!T160</f>
        <v>1</v>
      </c>
      <c r="U8" s="19">
        <f>Inputs!U160</f>
        <v>1</v>
      </c>
      <c r="V8" s="19">
        <f>Inputs!V160</f>
        <v>1</v>
      </c>
      <c r="W8" s="19">
        <f>Inputs!W160</f>
        <v>1</v>
      </c>
      <c r="X8" s="19">
        <f>Inputs!X160</f>
        <v>1</v>
      </c>
      <c r="Y8" s="19">
        <f>Inputs!Y160</f>
        <v>1</v>
      </c>
      <c r="Z8" s="19">
        <f>Inputs!Z160</f>
        <v>0.24863387978142076</v>
      </c>
      <c r="AA8" s="19">
        <f>Inputs!AA160</f>
        <v>0</v>
      </c>
      <c r="AB8" s="19">
        <f>Inputs!AB160</f>
        <v>0</v>
      </c>
      <c r="AC8" s="19">
        <f>Inputs!AC160</f>
        <v>0</v>
      </c>
      <c r="AD8" s="19">
        <f>Inputs!AD160</f>
        <v>0</v>
      </c>
      <c r="AE8" s="19">
        <f>Inputs!AE160</f>
        <v>0</v>
      </c>
      <c r="AF8" s="19">
        <f>Inputs!AF160</f>
        <v>0</v>
      </c>
      <c r="AG8" s="19">
        <f>Inputs!AG160</f>
        <v>0</v>
      </c>
      <c r="AH8" s="19">
        <f>Inputs!AH160</f>
        <v>0</v>
      </c>
      <c r="AI8" s="19">
        <f>Inputs!AI160</f>
        <v>0</v>
      </c>
      <c r="AJ8" s="19">
        <f>Inputs!AJ160</f>
        <v>0</v>
      </c>
      <c r="AK8" s="19">
        <f>Inputs!AK160</f>
        <v>0</v>
      </c>
      <c r="AL8" s="19">
        <f>Inputs!AL160</f>
        <v>0</v>
      </c>
      <c r="AM8" s="19">
        <f>Inputs!AM160</f>
        <v>0</v>
      </c>
      <c r="AN8" s="19">
        <f>Inputs!AN160</f>
        <v>0</v>
      </c>
      <c r="AO8" s="19">
        <f>Inputs!AO160</f>
        <v>0</v>
      </c>
      <c r="AP8" s="19">
        <f>Inputs!AP160</f>
        <v>0</v>
      </c>
      <c r="AQ8" s="19">
        <f>Inputs!AQ160</f>
        <v>0</v>
      </c>
      <c r="AR8" s="19">
        <f>Inputs!AR160</f>
        <v>0</v>
      </c>
      <c r="AS8" s="19">
        <f>Inputs!AS160</f>
        <v>0</v>
      </c>
      <c r="AT8" s="19">
        <f>Inputs!AT160</f>
        <v>0</v>
      </c>
      <c r="AU8" s="19">
        <f>Inputs!AU160</f>
        <v>0</v>
      </c>
      <c r="AV8" s="19">
        <f>Inputs!AV160</f>
        <v>0</v>
      </c>
      <c r="AW8" s="19">
        <f>Inputs!AW160</f>
        <v>0</v>
      </c>
      <c r="AX8" s="19">
        <f>Inputs!AX160</f>
        <v>0</v>
      </c>
    </row>
    <row r="9" spans="1:50" customFormat="1" ht="15" customHeight="1">
      <c r="A9" s="16"/>
      <c r="B9" s="16"/>
      <c r="C9" s="16"/>
      <c r="D9" s="16"/>
      <c r="E9" s="16" t="s">
        <v>248</v>
      </c>
      <c r="F9" s="16"/>
      <c r="G9" s="16" t="s">
        <v>247</v>
      </c>
      <c r="H9" s="16"/>
      <c r="I9" s="120"/>
      <c r="J9" s="16"/>
      <c r="K9" s="19">
        <f>Inputs!K161</f>
        <v>0</v>
      </c>
      <c r="L9" s="19">
        <f>Inputs!L161</f>
        <v>0</v>
      </c>
      <c r="M9" s="19">
        <f>Inputs!M161</f>
        <v>0</v>
      </c>
      <c r="N9" s="19">
        <f>Inputs!N161</f>
        <v>0</v>
      </c>
      <c r="O9" s="19">
        <f>Inputs!O161</f>
        <v>0</v>
      </c>
      <c r="P9" s="19">
        <f>Inputs!P161</f>
        <v>0</v>
      </c>
      <c r="Q9" s="19">
        <f>Inputs!Q161</f>
        <v>0</v>
      </c>
      <c r="R9" s="19">
        <f>Inputs!R161</f>
        <v>0</v>
      </c>
      <c r="S9" s="19">
        <f>Inputs!S161</f>
        <v>0</v>
      </c>
      <c r="T9" s="19">
        <f>Inputs!T161</f>
        <v>0</v>
      </c>
      <c r="U9" s="19">
        <f>Inputs!U161</f>
        <v>0</v>
      </c>
      <c r="V9" s="19">
        <f>Inputs!V161</f>
        <v>0</v>
      </c>
      <c r="W9" s="19">
        <f>Inputs!W161</f>
        <v>0</v>
      </c>
      <c r="X9" s="19">
        <f>Inputs!X161</f>
        <v>0</v>
      </c>
      <c r="Y9" s="19">
        <f>Inputs!Y161</f>
        <v>0</v>
      </c>
      <c r="Z9" s="19">
        <f>Inputs!Z161</f>
        <v>0</v>
      </c>
      <c r="AA9" s="19">
        <f>Inputs!AA161</f>
        <v>0</v>
      </c>
      <c r="AB9" s="19">
        <f>Inputs!AB161</f>
        <v>0</v>
      </c>
      <c r="AC9" s="19">
        <f>Inputs!AC161</f>
        <v>0</v>
      </c>
      <c r="AD9" s="19">
        <f>Inputs!AD161</f>
        <v>0</v>
      </c>
      <c r="AE9" s="19">
        <f>Inputs!AE161</f>
        <v>0</v>
      </c>
      <c r="AF9" s="19">
        <f>Inputs!AF161</f>
        <v>0</v>
      </c>
      <c r="AG9" s="19">
        <f>Inputs!AG161</f>
        <v>0</v>
      </c>
      <c r="AH9" s="19">
        <f>Inputs!AH161</f>
        <v>0</v>
      </c>
      <c r="AI9" s="19">
        <f>Inputs!AI161</f>
        <v>0</v>
      </c>
      <c r="AJ9" s="19">
        <f>Inputs!AJ161</f>
        <v>0</v>
      </c>
      <c r="AK9" s="19">
        <f>Inputs!AK161</f>
        <v>0</v>
      </c>
      <c r="AL9" s="19">
        <f>Inputs!AL161</f>
        <v>0</v>
      </c>
      <c r="AM9" s="19">
        <f>Inputs!AM161</f>
        <v>0</v>
      </c>
      <c r="AN9" s="19">
        <f>Inputs!AN161</f>
        <v>0</v>
      </c>
      <c r="AO9" s="19">
        <f>Inputs!AO161</f>
        <v>0</v>
      </c>
      <c r="AP9" s="19">
        <f>Inputs!AP161</f>
        <v>0</v>
      </c>
      <c r="AQ9" s="19">
        <f>Inputs!AQ161</f>
        <v>0</v>
      </c>
      <c r="AR9" s="19">
        <f>Inputs!AR161</f>
        <v>0</v>
      </c>
      <c r="AS9" s="19">
        <f>Inputs!AS161</f>
        <v>0</v>
      </c>
      <c r="AT9" s="19">
        <f>Inputs!AT161</f>
        <v>0</v>
      </c>
      <c r="AU9" s="19">
        <f>Inputs!AU161</f>
        <v>0</v>
      </c>
      <c r="AV9" s="19">
        <f>Inputs!AV161</f>
        <v>0</v>
      </c>
      <c r="AW9" s="19">
        <f>Inputs!AW161</f>
        <v>0</v>
      </c>
      <c r="AX9" s="19">
        <f>Inputs!AX161</f>
        <v>0</v>
      </c>
    </row>
    <row r="10" spans="1:50" customFormat="1" ht="15" customHeight="1">
      <c r="A10" s="26"/>
      <c r="B10" s="26"/>
      <c r="C10" s="26"/>
      <c r="D10" s="26"/>
      <c r="E10" s="16" t="s">
        <v>249</v>
      </c>
      <c r="F10" s="26"/>
      <c r="G10" s="26" t="s">
        <v>247</v>
      </c>
      <c r="H10" s="26"/>
      <c r="I10" s="66"/>
      <c r="J10" s="107"/>
      <c r="K10" s="19">
        <f>Inputs!K162</f>
        <v>0</v>
      </c>
      <c r="L10" s="19">
        <f>Inputs!L162</f>
        <v>0</v>
      </c>
      <c r="M10" s="19">
        <f>Inputs!M162</f>
        <v>0</v>
      </c>
      <c r="N10" s="19">
        <f>Inputs!N162</f>
        <v>0</v>
      </c>
      <c r="O10" s="19">
        <f>Inputs!O162</f>
        <v>0</v>
      </c>
      <c r="P10" s="19">
        <f>Inputs!P162</f>
        <v>0</v>
      </c>
      <c r="Q10" s="19">
        <f>Inputs!Q162</f>
        <v>0</v>
      </c>
      <c r="R10" s="19">
        <f>Inputs!R162</f>
        <v>0</v>
      </c>
      <c r="S10" s="19">
        <f>Inputs!S162</f>
        <v>0</v>
      </c>
      <c r="T10" s="19">
        <f>Inputs!T162</f>
        <v>0</v>
      </c>
      <c r="U10" s="19">
        <f>Inputs!U162</f>
        <v>0</v>
      </c>
      <c r="V10" s="19">
        <f>Inputs!V162</f>
        <v>0</v>
      </c>
      <c r="W10" s="19">
        <f>Inputs!W162</f>
        <v>0</v>
      </c>
      <c r="X10" s="19">
        <f>Inputs!X162</f>
        <v>0</v>
      </c>
      <c r="Y10" s="19">
        <f>Inputs!Y162</f>
        <v>0</v>
      </c>
      <c r="Z10" s="19">
        <f>Inputs!Z162</f>
        <v>0.75136612021857918</v>
      </c>
      <c r="AA10" s="19">
        <f>Inputs!AA162</f>
        <v>1</v>
      </c>
      <c r="AB10" s="19">
        <f>Inputs!AB162</f>
        <v>1</v>
      </c>
      <c r="AC10" s="19">
        <f>Inputs!AC162</f>
        <v>1</v>
      </c>
      <c r="AD10" s="19">
        <f>Inputs!AD162</f>
        <v>1</v>
      </c>
      <c r="AE10" s="19">
        <f>Inputs!AE162</f>
        <v>1</v>
      </c>
      <c r="AF10" s="19">
        <f>Inputs!AF162</f>
        <v>1</v>
      </c>
      <c r="AG10" s="19">
        <f>Inputs!AG162</f>
        <v>1</v>
      </c>
      <c r="AH10" s="19">
        <f>Inputs!AH162</f>
        <v>1</v>
      </c>
      <c r="AI10" s="19">
        <f>Inputs!AI162</f>
        <v>1</v>
      </c>
      <c r="AJ10" s="19">
        <f>Inputs!AJ162</f>
        <v>1</v>
      </c>
      <c r="AK10" s="19">
        <f>Inputs!AK162</f>
        <v>1</v>
      </c>
      <c r="AL10" s="19">
        <f>Inputs!AL162</f>
        <v>1</v>
      </c>
      <c r="AM10" s="19">
        <f>Inputs!AM162</f>
        <v>1</v>
      </c>
      <c r="AN10" s="19">
        <f>Inputs!AN162</f>
        <v>1</v>
      </c>
      <c r="AO10" s="19">
        <f>Inputs!AO162</f>
        <v>1</v>
      </c>
      <c r="AP10" s="19">
        <f>Inputs!AP162</f>
        <v>1</v>
      </c>
      <c r="AQ10" s="19">
        <f>Inputs!AQ162</f>
        <v>1</v>
      </c>
      <c r="AR10" s="19">
        <f>Inputs!AR162</f>
        <v>1</v>
      </c>
      <c r="AS10" s="19">
        <f>Inputs!AS162</f>
        <v>1</v>
      </c>
      <c r="AT10" s="19">
        <f>Inputs!AT162</f>
        <v>1</v>
      </c>
      <c r="AU10" s="19">
        <f>Inputs!AU162</f>
        <v>1</v>
      </c>
      <c r="AV10" s="19">
        <f>Inputs!AV162</f>
        <v>1</v>
      </c>
      <c r="AW10" s="19">
        <f>Inputs!AW162</f>
        <v>1</v>
      </c>
      <c r="AX10" s="19">
        <f>Inputs!AX162</f>
        <v>1</v>
      </c>
    </row>
    <row r="11" spans="1:50" customFormat="1" ht="15" customHeight="1">
      <c r="A11" s="26"/>
      <c r="B11" s="26"/>
      <c r="C11" s="26"/>
      <c r="D11" s="26"/>
      <c r="E11" s="16" t="s">
        <v>253</v>
      </c>
      <c r="F11" s="26"/>
      <c r="G11" s="26" t="s">
        <v>247</v>
      </c>
      <c r="H11" s="26"/>
      <c r="I11" s="66"/>
      <c r="J11" s="107"/>
      <c r="K11" s="19">
        <f>Inputs!K165</f>
        <v>0</v>
      </c>
      <c r="L11" s="19">
        <f>Inputs!L165</f>
        <v>0</v>
      </c>
      <c r="M11" s="19">
        <f>Inputs!M165</f>
        <v>0</v>
      </c>
      <c r="N11" s="19">
        <f>Inputs!N165</f>
        <v>0</v>
      </c>
      <c r="O11" s="19">
        <f>Inputs!O165</f>
        <v>0</v>
      </c>
      <c r="P11" s="19">
        <f>Inputs!P165</f>
        <v>0</v>
      </c>
      <c r="Q11" s="19">
        <f>Inputs!Q165</f>
        <v>0</v>
      </c>
      <c r="R11" s="19">
        <f>Inputs!R165</f>
        <v>0</v>
      </c>
      <c r="S11" s="19">
        <f>Inputs!S165</f>
        <v>0</v>
      </c>
      <c r="T11" s="19">
        <f>Inputs!T165</f>
        <v>0</v>
      </c>
      <c r="U11" s="19">
        <f>Inputs!U165</f>
        <v>0</v>
      </c>
      <c r="V11" s="19">
        <f>Inputs!V165</f>
        <v>0</v>
      </c>
      <c r="W11" s="19">
        <f>Inputs!W165</f>
        <v>0</v>
      </c>
      <c r="X11" s="19">
        <f>Inputs!X165</f>
        <v>0</v>
      </c>
      <c r="Y11" s="19">
        <f>Inputs!Y165</f>
        <v>0</v>
      </c>
      <c r="Z11" s="19">
        <f>Inputs!Z165</f>
        <v>1</v>
      </c>
      <c r="AA11" s="19">
        <f>Inputs!AA165</f>
        <v>0</v>
      </c>
      <c r="AB11" s="19">
        <f>Inputs!AB165</f>
        <v>0</v>
      </c>
      <c r="AC11" s="19">
        <f>Inputs!AC165</f>
        <v>0</v>
      </c>
      <c r="AD11" s="19">
        <f>Inputs!AD165</f>
        <v>0</v>
      </c>
      <c r="AE11" s="19">
        <f>Inputs!AE165</f>
        <v>0</v>
      </c>
      <c r="AF11" s="19">
        <f>Inputs!AF165</f>
        <v>0</v>
      </c>
      <c r="AG11" s="19">
        <f>Inputs!AG165</f>
        <v>0</v>
      </c>
      <c r="AH11" s="19">
        <f>Inputs!AH165</f>
        <v>0</v>
      </c>
      <c r="AI11" s="19">
        <f>Inputs!AI165</f>
        <v>0</v>
      </c>
      <c r="AJ11" s="19">
        <f>Inputs!AJ165</f>
        <v>0</v>
      </c>
      <c r="AK11" s="19">
        <f>Inputs!AK165</f>
        <v>0</v>
      </c>
      <c r="AL11" s="19">
        <f>Inputs!AL165</f>
        <v>0</v>
      </c>
      <c r="AM11" s="19">
        <f>Inputs!AM165</f>
        <v>0</v>
      </c>
      <c r="AN11" s="19">
        <f>Inputs!AN165</f>
        <v>0</v>
      </c>
      <c r="AO11" s="19">
        <f>Inputs!AO165</f>
        <v>0</v>
      </c>
      <c r="AP11" s="19">
        <f>Inputs!AP165</f>
        <v>0</v>
      </c>
      <c r="AQ11" s="19">
        <f>Inputs!AQ165</f>
        <v>0</v>
      </c>
      <c r="AR11" s="19">
        <f>Inputs!AR165</f>
        <v>0</v>
      </c>
      <c r="AS11" s="19">
        <f>Inputs!AS165</f>
        <v>0</v>
      </c>
      <c r="AT11" s="19">
        <f>Inputs!AT165</f>
        <v>0</v>
      </c>
      <c r="AU11" s="19">
        <f>Inputs!AU165</f>
        <v>0</v>
      </c>
      <c r="AV11" s="19">
        <f>Inputs!AV165</f>
        <v>0</v>
      </c>
      <c r="AW11" s="19">
        <f>Inputs!AW165</f>
        <v>0</v>
      </c>
      <c r="AX11" s="19">
        <f>Inputs!AX165</f>
        <v>0</v>
      </c>
    </row>
    <row r="12" spans="1:50" customFormat="1" ht="15" customHeight="1">
      <c r="A12" s="16"/>
      <c r="B12" s="16"/>
      <c r="C12" s="16"/>
      <c r="D12" s="16"/>
      <c r="E12" s="16" t="s">
        <v>254</v>
      </c>
      <c r="F12" s="16"/>
      <c r="G12" s="16" t="s">
        <v>247</v>
      </c>
      <c r="H12" s="16"/>
      <c r="I12" s="120"/>
      <c r="J12" s="16"/>
      <c r="K12" s="19">
        <f>Inputs!K166</f>
        <v>0</v>
      </c>
      <c r="L12" s="19">
        <f>Inputs!L166</f>
        <v>0</v>
      </c>
      <c r="M12" s="19">
        <f>Inputs!M166</f>
        <v>0</v>
      </c>
      <c r="N12" s="19">
        <f>Inputs!N166</f>
        <v>0</v>
      </c>
      <c r="O12" s="19">
        <f>Inputs!O166</f>
        <v>0</v>
      </c>
      <c r="P12" s="19">
        <f>Inputs!P166</f>
        <v>0</v>
      </c>
      <c r="Q12" s="19">
        <f>Inputs!Q166</f>
        <v>0</v>
      </c>
      <c r="R12" s="19">
        <f>Inputs!R166</f>
        <v>0</v>
      </c>
      <c r="S12" s="19">
        <f>Inputs!S166</f>
        <v>0</v>
      </c>
      <c r="T12" s="19">
        <f>Inputs!T166</f>
        <v>0</v>
      </c>
      <c r="U12" s="19">
        <f>Inputs!U166</f>
        <v>0</v>
      </c>
      <c r="V12" s="19">
        <f>Inputs!V166</f>
        <v>0</v>
      </c>
      <c r="W12" s="19">
        <f>Inputs!W166</f>
        <v>0</v>
      </c>
      <c r="X12" s="19">
        <f>Inputs!X166</f>
        <v>0</v>
      </c>
      <c r="Y12" s="19">
        <f>Inputs!Y166</f>
        <v>0</v>
      </c>
      <c r="Z12" s="19">
        <f>Inputs!Z166</f>
        <v>1</v>
      </c>
      <c r="AA12" s="19">
        <f>Inputs!AA166</f>
        <v>0</v>
      </c>
      <c r="AB12" s="19">
        <f>Inputs!AB166</f>
        <v>0</v>
      </c>
      <c r="AC12" s="19">
        <f>Inputs!AC166</f>
        <v>0</v>
      </c>
      <c r="AD12" s="19">
        <f>Inputs!AD166</f>
        <v>0</v>
      </c>
      <c r="AE12" s="19">
        <f>Inputs!AE166</f>
        <v>0</v>
      </c>
      <c r="AF12" s="19">
        <f>Inputs!AF166</f>
        <v>0</v>
      </c>
      <c r="AG12" s="19">
        <f>Inputs!AG166</f>
        <v>0</v>
      </c>
      <c r="AH12" s="19">
        <f>Inputs!AH166</f>
        <v>0</v>
      </c>
      <c r="AI12" s="19">
        <f>Inputs!AI166</f>
        <v>0</v>
      </c>
      <c r="AJ12" s="19">
        <f>Inputs!AJ166</f>
        <v>0</v>
      </c>
      <c r="AK12" s="19">
        <f>Inputs!AK166</f>
        <v>0</v>
      </c>
      <c r="AL12" s="19">
        <f>Inputs!AL166</f>
        <v>0</v>
      </c>
      <c r="AM12" s="19">
        <f>Inputs!AM166</f>
        <v>0</v>
      </c>
      <c r="AN12" s="19">
        <f>Inputs!AN166</f>
        <v>0</v>
      </c>
      <c r="AO12" s="19">
        <f>Inputs!AO166</f>
        <v>0</v>
      </c>
      <c r="AP12" s="19">
        <f>Inputs!AP166</f>
        <v>0</v>
      </c>
      <c r="AQ12" s="19">
        <f>Inputs!AQ166</f>
        <v>0</v>
      </c>
      <c r="AR12" s="19">
        <f>Inputs!AR166</f>
        <v>0</v>
      </c>
      <c r="AS12" s="19">
        <f>Inputs!AS166</f>
        <v>0</v>
      </c>
      <c r="AT12" s="19">
        <f>Inputs!AT166</f>
        <v>0</v>
      </c>
      <c r="AU12" s="19">
        <f>Inputs!AU166</f>
        <v>0</v>
      </c>
      <c r="AV12" s="19">
        <f>Inputs!AV166</f>
        <v>0</v>
      </c>
      <c r="AW12" s="19">
        <f>Inputs!AW166</f>
        <v>0</v>
      </c>
      <c r="AX12" s="19">
        <f>Inputs!AX166</f>
        <v>0</v>
      </c>
    </row>
    <row r="13" spans="1:50" customFormat="1" ht="15" customHeight="1">
      <c r="A13" s="119"/>
      <c r="B13" s="16"/>
      <c r="C13" s="16"/>
      <c r="D13" s="16"/>
      <c r="E13" s="16" t="s">
        <v>257</v>
      </c>
      <c r="F13" s="16"/>
      <c r="G13" s="16" t="s">
        <v>247</v>
      </c>
      <c r="H13" s="16"/>
      <c r="I13" s="120"/>
      <c r="J13" s="16"/>
      <c r="K13" s="19">
        <f>Inputs!K168</f>
        <v>0</v>
      </c>
      <c r="L13" s="19">
        <f>Inputs!L168</f>
        <v>0</v>
      </c>
      <c r="M13" s="19">
        <f>Inputs!M168</f>
        <v>0</v>
      </c>
      <c r="N13" s="19">
        <f>Inputs!N168</f>
        <v>0</v>
      </c>
      <c r="O13" s="19">
        <f>Inputs!O168</f>
        <v>0</v>
      </c>
      <c r="P13" s="19">
        <f>Inputs!P168</f>
        <v>0</v>
      </c>
      <c r="Q13" s="19">
        <f>Inputs!Q168</f>
        <v>0</v>
      </c>
      <c r="R13" s="19">
        <f>Inputs!R168</f>
        <v>0</v>
      </c>
      <c r="S13" s="19">
        <f>Inputs!S168</f>
        <v>0</v>
      </c>
      <c r="T13" s="19">
        <f>Inputs!T168</f>
        <v>1</v>
      </c>
      <c r="U13" s="19">
        <f>Inputs!U168</f>
        <v>0</v>
      </c>
      <c r="V13" s="19">
        <f>Inputs!V168</f>
        <v>0</v>
      </c>
      <c r="W13" s="19">
        <f>Inputs!W168</f>
        <v>0</v>
      </c>
      <c r="X13" s="19">
        <f>Inputs!X168</f>
        <v>0</v>
      </c>
      <c r="Y13" s="19">
        <f>Inputs!Y168</f>
        <v>0</v>
      </c>
      <c r="Z13" s="19">
        <f>Inputs!Z168</f>
        <v>0</v>
      </c>
      <c r="AA13" s="19">
        <f>Inputs!AA168</f>
        <v>0</v>
      </c>
      <c r="AB13" s="19">
        <f>Inputs!AB168</f>
        <v>0</v>
      </c>
      <c r="AC13" s="19">
        <f>Inputs!AC168</f>
        <v>0</v>
      </c>
      <c r="AD13" s="19">
        <f>Inputs!AD168</f>
        <v>0</v>
      </c>
      <c r="AE13" s="19">
        <f>Inputs!AE168</f>
        <v>0</v>
      </c>
      <c r="AF13" s="19">
        <f>Inputs!AF168</f>
        <v>0</v>
      </c>
      <c r="AG13" s="19">
        <f>Inputs!AG168</f>
        <v>0</v>
      </c>
      <c r="AH13" s="19">
        <f>Inputs!AH168</f>
        <v>0</v>
      </c>
      <c r="AI13" s="19">
        <f>Inputs!AI168</f>
        <v>0</v>
      </c>
      <c r="AJ13" s="19">
        <f>Inputs!AJ168</f>
        <v>0</v>
      </c>
      <c r="AK13" s="19">
        <f>Inputs!AK168</f>
        <v>0</v>
      </c>
      <c r="AL13" s="19">
        <f>Inputs!AL168</f>
        <v>0</v>
      </c>
      <c r="AM13" s="19">
        <f>Inputs!AM168</f>
        <v>0</v>
      </c>
      <c r="AN13" s="19">
        <f>Inputs!AN168</f>
        <v>0</v>
      </c>
      <c r="AO13" s="19">
        <f>Inputs!AO168</f>
        <v>0</v>
      </c>
      <c r="AP13" s="19">
        <f>Inputs!AP168</f>
        <v>0</v>
      </c>
      <c r="AQ13" s="19">
        <f>Inputs!AQ168</f>
        <v>0</v>
      </c>
      <c r="AR13" s="19">
        <f>Inputs!AR168</f>
        <v>0</v>
      </c>
      <c r="AS13" s="19">
        <f>Inputs!AS168</f>
        <v>0</v>
      </c>
      <c r="AT13" s="19">
        <f>Inputs!AT168</f>
        <v>0</v>
      </c>
      <c r="AU13" s="19">
        <f>Inputs!AU168</f>
        <v>0</v>
      </c>
      <c r="AV13" s="19">
        <f>Inputs!AV168</f>
        <v>0</v>
      </c>
      <c r="AW13" s="19">
        <f>Inputs!AW168</f>
        <v>0</v>
      </c>
      <c r="AX13" s="19">
        <f>Inputs!AX168</f>
        <v>0</v>
      </c>
    </row>
    <row r="14" spans="1:50" customFormat="1" ht="15" customHeight="1">
      <c r="A14" s="26"/>
      <c r="B14" s="26"/>
      <c r="C14" s="26"/>
      <c r="D14" s="26"/>
      <c r="E14" s="16"/>
      <c r="F14" s="26"/>
      <c r="G14" s="26"/>
      <c r="H14" s="26"/>
      <c r="I14" s="66"/>
      <c r="J14" s="107"/>
      <c r="K14" s="107"/>
      <c r="L14" s="107"/>
      <c r="M14" s="107"/>
      <c r="N14" s="107"/>
      <c r="O14" s="107"/>
      <c r="P14" s="107"/>
      <c r="Q14" s="107"/>
      <c r="R14" s="107"/>
      <c r="S14" s="26"/>
      <c r="T14" s="26"/>
      <c r="U14" s="26"/>
      <c r="V14" s="26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</row>
    <row r="15" spans="1:50" customFormat="1" ht="15" customHeight="1">
      <c r="A15" s="26"/>
      <c r="B15" s="14" t="s">
        <v>294</v>
      </c>
      <c r="C15" s="58"/>
      <c r="D15" s="58"/>
      <c r="E15" s="59"/>
      <c r="F15" s="59"/>
      <c r="G15" s="59"/>
      <c r="H15" s="59"/>
      <c r="I15" s="178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</row>
    <row r="16" spans="1:50" customFormat="1" ht="15" customHeight="1">
      <c r="A16" s="26"/>
      <c r="B16" s="26"/>
      <c r="C16" s="26"/>
      <c r="D16" s="26"/>
      <c r="E16" s="26"/>
      <c r="F16" s="26"/>
      <c r="G16" s="26"/>
      <c r="H16" s="26"/>
      <c r="I16" s="66"/>
      <c r="J16" s="107"/>
      <c r="K16" s="107"/>
      <c r="L16" s="107"/>
      <c r="M16" s="107"/>
      <c r="N16" s="107"/>
      <c r="O16" s="107"/>
      <c r="P16" s="107"/>
      <c r="Q16" s="107"/>
      <c r="R16" s="107"/>
      <c r="S16" s="26"/>
      <c r="T16" s="26"/>
      <c r="U16" s="26"/>
      <c r="V16" s="26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8"/>
    </row>
    <row r="17" spans="1:50" customFormat="1" ht="15" customHeight="1">
      <c r="A17" s="26"/>
      <c r="B17" s="26"/>
      <c r="C17" s="67" t="s">
        <v>295</v>
      </c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</row>
    <row r="18" spans="1:50" customFormat="1" ht="15" customHeight="1">
      <c r="A18" s="26"/>
      <c r="B18" s="26"/>
      <c r="C18" s="26"/>
      <c r="D18" s="26"/>
      <c r="E18" s="26"/>
      <c r="F18" s="26"/>
      <c r="G18" s="26"/>
      <c r="H18" s="26"/>
      <c r="I18" s="66"/>
      <c r="J18" s="107"/>
      <c r="K18" s="107"/>
      <c r="L18" s="107"/>
      <c r="M18" s="107"/>
      <c r="N18" s="107"/>
      <c r="O18" s="107"/>
      <c r="P18" s="107"/>
      <c r="Q18" s="107"/>
      <c r="R18" s="107"/>
      <c r="S18" s="26"/>
      <c r="T18" s="26"/>
      <c r="U18" s="26"/>
      <c r="V18" s="26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</row>
    <row r="19" spans="1:50" customFormat="1" ht="15" customHeight="1">
      <c r="B19" s="26"/>
      <c r="C19" s="26"/>
      <c r="D19" s="12"/>
      <c r="E19" s="107" t="s">
        <v>296</v>
      </c>
      <c r="F19" s="26"/>
      <c r="G19" s="26" t="str">
        <f>Inputs!$I$11</f>
        <v>£m 20/21 prices</v>
      </c>
      <c r="H19" s="26"/>
      <c r="I19" s="66"/>
      <c r="J19" s="107"/>
      <c r="K19" s="179"/>
      <c r="L19" s="180">
        <f t="shared" ref="L19:AX19" si="2">K26</f>
        <v>0</v>
      </c>
      <c r="M19" s="180">
        <f t="shared" si="2"/>
        <v>0</v>
      </c>
      <c r="N19" s="180">
        <f t="shared" si="2"/>
        <v>0</v>
      </c>
      <c r="O19" s="180">
        <f t="shared" si="2"/>
        <v>0</v>
      </c>
      <c r="P19" s="180">
        <f t="shared" si="2"/>
        <v>1.5454797938683831</v>
      </c>
      <c r="Q19" s="180">
        <f t="shared" si="2"/>
        <v>8.1850209333375474</v>
      </c>
      <c r="R19" s="180">
        <f t="shared" si="2"/>
        <v>12.666606142524822</v>
      </c>
      <c r="S19" s="180">
        <f t="shared" si="2"/>
        <v>18.491532199811452</v>
      </c>
      <c r="T19" s="180">
        <f t="shared" si="2"/>
        <v>25.706675533561796</v>
      </c>
      <c r="U19" s="180">
        <f t="shared" si="2"/>
        <v>189.56950580745593</v>
      </c>
      <c r="V19" s="180">
        <f t="shared" si="2"/>
        <v>290.90029672783123</v>
      </c>
      <c r="W19" s="180">
        <f t="shared" si="2"/>
        <v>419.62854707211505</v>
      </c>
      <c r="X19" s="180">
        <f t="shared" si="2"/>
        <v>614.58824996741691</v>
      </c>
      <c r="Y19" s="180">
        <f t="shared" si="2"/>
        <v>772.95124583458983</v>
      </c>
      <c r="Z19" s="180">
        <f t="shared" si="2"/>
        <v>853.85177556026565</v>
      </c>
      <c r="AA19" s="180">
        <f t="shared" si="2"/>
        <v>0</v>
      </c>
      <c r="AB19" s="180">
        <f t="shared" si="2"/>
        <v>0</v>
      </c>
      <c r="AC19" s="180">
        <f t="shared" si="2"/>
        <v>0</v>
      </c>
      <c r="AD19" s="180">
        <f t="shared" si="2"/>
        <v>0</v>
      </c>
      <c r="AE19" s="180">
        <f t="shared" si="2"/>
        <v>0</v>
      </c>
      <c r="AF19" s="180">
        <f t="shared" si="2"/>
        <v>0</v>
      </c>
      <c r="AG19" s="180">
        <f t="shared" si="2"/>
        <v>0</v>
      </c>
      <c r="AH19" s="180">
        <f t="shared" si="2"/>
        <v>0</v>
      </c>
      <c r="AI19" s="180">
        <f t="shared" si="2"/>
        <v>0</v>
      </c>
      <c r="AJ19" s="180">
        <f t="shared" si="2"/>
        <v>0</v>
      </c>
      <c r="AK19" s="180">
        <f t="shared" si="2"/>
        <v>0</v>
      </c>
      <c r="AL19" s="180">
        <f t="shared" si="2"/>
        <v>0</v>
      </c>
      <c r="AM19" s="180">
        <f t="shared" si="2"/>
        <v>0</v>
      </c>
      <c r="AN19" s="180">
        <f t="shared" si="2"/>
        <v>0</v>
      </c>
      <c r="AO19" s="180">
        <f t="shared" si="2"/>
        <v>0</v>
      </c>
      <c r="AP19" s="180">
        <f t="shared" si="2"/>
        <v>0</v>
      </c>
      <c r="AQ19" s="180">
        <f t="shared" si="2"/>
        <v>0</v>
      </c>
      <c r="AR19" s="180">
        <f t="shared" si="2"/>
        <v>0</v>
      </c>
      <c r="AS19" s="180">
        <f t="shared" si="2"/>
        <v>0</v>
      </c>
      <c r="AT19" s="180">
        <f t="shared" si="2"/>
        <v>0</v>
      </c>
      <c r="AU19" s="180">
        <f t="shared" si="2"/>
        <v>0</v>
      </c>
      <c r="AV19" s="180">
        <f t="shared" si="2"/>
        <v>0</v>
      </c>
      <c r="AW19" s="180">
        <f t="shared" si="2"/>
        <v>0</v>
      </c>
      <c r="AX19" s="180">
        <f t="shared" si="2"/>
        <v>0</v>
      </c>
    </row>
    <row r="20" spans="1:50" customFormat="1" ht="15" customHeight="1">
      <c r="B20" s="26"/>
      <c r="C20" s="26"/>
      <c r="D20" s="26"/>
      <c r="E20" s="26" t="str">
        <f>Inputs!E34</f>
        <v>Development costs</v>
      </c>
      <c r="F20" s="26"/>
      <c r="G20" s="26" t="str">
        <f>Inputs!$I$11</f>
        <v>£m 20/21 prices</v>
      </c>
      <c r="H20" s="26"/>
      <c r="I20" s="66"/>
      <c r="J20" s="107"/>
      <c r="K20" s="21">
        <f>Inputs!K34</f>
        <v>0</v>
      </c>
      <c r="L20" s="21">
        <f>Inputs!L34</f>
        <v>0</v>
      </c>
      <c r="M20" s="21">
        <f>Inputs!M34</f>
        <v>0</v>
      </c>
      <c r="N20" s="21">
        <f>Inputs!N34</f>
        <v>0</v>
      </c>
      <c r="O20" s="21">
        <f>Inputs!O34</f>
        <v>1.5225360321313501</v>
      </c>
      <c r="P20" s="21">
        <f>Inputs!P34</f>
        <v>6.4943827619646584</v>
      </c>
      <c r="Q20" s="21">
        <f>Inputs!Q34</f>
        <v>4.1683094888677878</v>
      </c>
      <c r="R20" s="21">
        <f>Inputs!R34</f>
        <v>5.3566068565282814</v>
      </c>
      <c r="S20" s="21">
        <f>Inputs!S34</f>
        <v>6.5505887598459003</v>
      </c>
      <c r="T20" s="21">
        <f>Inputs!T34</f>
        <v>6.9589865362737378</v>
      </c>
      <c r="U20" s="21">
        <f>Inputs!U34</f>
        <v>0</v>
      </c>
      <c r="V20" s="21">
        <f>Inputs!V34</f>
        <v>0</v>
      </c>
      <c r="W20" s="21">
        <f>Inputs!W34</f>
        <v>0</v>
      </c>
      <c r="X20" s="21">
        <f>Inputs!X34</f>
        <v>0</v>
      </c>
      <c r="Y20" s="21">
        <f>Inputs!Y34</f>
        <v>0</v>
      </c>
      <c r="Z20" s="21">
        <f>Inputs!Z34</f>
        <v>0</v>
      </c>
      <c r="AA20" s="21">
        <f>Inputs!AA34</f>
        <v>0</v>
      </c>
      <c r="AB20" s="21">
        <f>Inputs!AB34</f>
        <v>0</v>
      </c>
      <c r="AC20" s="21">
        <f>Inputs!AC34</f>
        <v>0</v>
      </c>
      <c r="AD20" s="21">
        <f>Inputs!AD34</f>
        <v>0</v>
      </c>
      <c r="AE20" s="21">
        <f>Inputs!AE34</f>
        <v>0</v>
      </c>
      <c r="AF20" s="21">
        <f>Inputs!AF34</f>
        <v>0</v>
      </c>
      <c r="AG20" s="21">
        <f>Inputs!AG34</f>
        <v>0</v>
      </c>
      <c r="AH20" s="21">
        <f>Inputs!AH34</f>
        <v>0</v>
      </c>
      <c r="AI20" s="21">
        <f>Inputs!AI34</f>
        <v>0</v>
      </c>
      <c r="AJ20" s="21">
        <f>Inputs!AJ34</f>
        <v>0</v>
      </c>
      <c r="AK20" s="21">
        <f>Inputs!AK34</f>
        <v>0</v>
      </c>
      <c r="AL20" s="21">
        <f>Inputs!AL34</f>
        <v>0</v>
      </c>
      <c r="AM20" s="21">
        <f>Inputs!AM34</f>
        <v>0</v>
      </c>
      <c r="AN20" s="21">
        <f>Inputs!AN34</f>
        <v>0</v>
      </c>
      <c r="AO20" s="21">
        <f>Inputs!AO34</f>
        <v>0</v>
      </c>
      <c r="AP20" s="21">
        <f>Inputs!AP34</f>
        <v>0</v>
      </c>
      <c r="AQ20" s="21">
        <f>Inputs!AQ34</f>
        <v>0</v>
      </c>
      <c r="AR20" s="21">
        <f>Inputs!AR34</f>
        <v>0</v>
      </c>
      <c r="AS20" s="21">
        <f>Inputs!AS34</f>
        <v>0</v>
      </c>
      <c r="AT20" s="21">
        <f>Inputs!AT34</f>
        <v>0</v>
      </c>
      <c r="AU20" s="21">
        <f>Inputs!AU34</f>
        <v>0</v>
      </c>
      <c r="AV20" s="21">
        <f>Inputs!AV34</f>
        <v>0</v>
      </c>
      <c r="AW20" s="21">
        <f>Inputs!AW34</f>
        <v>0</v>
      </c>
      <c r="AX20" s="21">
        <f>Inputs!AX34</f>
        <v>0</v>
      </c>
    </row>
    <row r="21" spans="1:50" customFormat="1" ht="15" customHeight="1">
      <c r="B21" s="26"/>
      <c r="C21" s="26"/>
      <c r="D21" s="26"/>
      <c r="E21" s="26" t="str">
        <f>Inputs!E35</f>
        <v>Capex</v>
      </c>
      <c r="F21" s="26"/>
      <c r="G21" s="26" t="str">
        <f>Inputs!$I$11</f>
        <v>£m 20/21 prices</v>
      </c>
      <c r="H21" s="26"/>
      <c r="I21" s="66"/>
      <c r="J21" s="107"/>
      <c r="K21" s="21">
        <f>Inputs!K35</f>
        <v>0</v>
      </c>
      <c r="L21" s="21">
        <f>Inputs!L35</f>
        <v>0</v>
      </c>
      <c r="M21" s="21">
        <f>Inputs!M35</f>
        <v>0</v>
      </c>
      <c r="N21" s="21">
        <f>Inputs!N35</f>
        <v>0</v>
      </c>
      <c r="O21" s="21">
        <f>Inputs!O35</f>
        <v>0</v>
      </c>
      <c r="P21" s="21">
        <f>Inputs!P35</f>
        <v>0</v>
      </c>
      <c r="Q21" s="21">
        <f>Inputs!Q35</f>
        <v>0</v>
      </c>
      <c r="R21" s="21">
        <f>Inputs!R35</f>
        <v>0</v>
      </c>
      <c r="S21" s="21">
        <f>Inputs!S35</f>
        <v>0</v>
      </c>
      <c r="T21" s="21">
        <f>Inputs!T35</f>
        <v>144.34688638365125</v>
      </c>
      <c r="U21" s="21">
        <f>Inputs!U35</f>
        <v>78.31159344295267</v>
      </c>
      <c r="V21" s="21">
        <f>Inputs!V35</f>
        <v>97.207776511701084</v>
      </c>
      <c r="W21" s="21">
        <f>Inputs!W35</f>
        <v>170.95894984879433</v>
      </c>
      <c r="X21" s="21">
        <f>Inputs!X35</f>
        <v>124.23475936173823</v>
      </c>
      <c r="Y21" s="21">
        <f>Inputs!Y35</f>
        <v>48.17252629490212</v>
      </c>
      <c r="Z21" s="21">
        <f>Inputs!Z35</f>
        <v>20.492718625532937</v>
      </c>
      <c r="AA21" s="21">
        <f>Inputs!AA35</f>
        <v>0</v>
      </c>
      <c r="AB21" s="21">
        <f>Inputs!AB35</f>
        <v>0</v>
      </c>
      <c r="AC21" s="21">
        <f>Inputs!AC35</f>
        <v>0</v>
      </c>
      <c r="AD21" s="21">
        <f>Inputs!AD35</f>
        <v>0</v>
      </c>
      <c r="AE21" s="21">
        <f>Inputs!AE35</f>
        <v>0</v>
      </c>
      <c r="AF21" s="21">
        <f>Inputs!AF35</f>
        <v>0</v>
      </c>
      <c r="AG21" s="21">
        <f>Inputs!AG35</f>
        <v>0</v>
      </c>
      <c r="AH21" s="21">
        <f>Inputs!AH35</f>
        <v>0</v>
      </c>
      <c r="AI21" s="21">
        <f>Inputs!AI35</f>
        <v>0</v>
      </c>
      <c r="AJ21" s="21">
        <f>Inputs!AJ35</f>
        <v>0</v>
      </c>
      <c r="AK21" s="21">
        <f>Inputs!AK35</f>
        <v>0</v>
      </c>
      <c r="AL21" s="21">
        <f>Inputs!AL35</f>
        <v>0</v>
      </c>
      <c r="AM21" s="21">
        <f>Inputs!AM35</f>
        <v>0</v>
      </c>
      <c r="AN21" s="21">
        <f>Inputs!AN35</f>
        <v>0</v>
      </c>
      <c r="AO21" s="21">
        <f>Inputs!AO35</f>
        <v>0</v>
      </c>
      <c r="AP21" s="21">
        <f>Inputs!AP35</f>
        <v>0</v>
      </c>
      <c r="AQ21" s="21">
        <f>Inputs!AQ35</f>
        <v>0</v>
      </c>
      <c r="AR21" s="21">
        <f>Inputs!AR35</f>
        <v>0</v>
      </c>
      <c r="AS21" s="21">
        <f>Inputs!AS35</f>
        <v>0</v>
      </c>
      <c r="AT21" s="21">
        <f>Inputs!AT35</f>
        <v>0</v>
      </c>
      <c r="AU21" s="21">
        <f>Inputs!AU35</f>
        <v>0</v>
      </c>
      <c r="AV21" s="21">
        <f>Inputs!AV35</f>
        <v>0</v>
      </c>
      <c r="AW21" s="21">
        <f>Inputs!AW35</f>
        <v>0</v>
      </c>
      <c r="AX21" s="21">
        <f>Inputs!AX35</f>
        <v>0</v>
      </c>
    </row>
    <row r="22" spans="1:50" customFormat="1" ht="15" customHeight="1">
      <c r="B22" s="26"/>
      <c r="C22" s="26"/>
      <c r="D22" s="26"/>
      <c r="E22" s="26" t="str">
        <f>Inputs!E36</f>
        <v>Spares</v>
      </c>
      <c r="F22" s="26"/>
      <c r="G22" s="26" t="str">
        <f>Inputs!$I$11</f>
        <v>£m 20/21 prices</v>
      </c>
      <c r="H22" s="26"/>
      <c r="I22" s="66"/>
      <c r="J22" s="107"/>
      <c r="K22" s="21">
        <f>Inputs!K36</f>
        <v>0</v>
      </c>
      <c r="L22" s="21">
        <f>Inputs!L36</f>
        <v>0</v>
      </c>
      <c r="M22" s="21">
        <f>Inputs!M36</f>
        <v>0</v>
      </c>
      <c r="N22" s="21">
        <f>Inputs!N36</f>
        <v>0</v>
      </c>
      <c r="O22" s="21">
        <f>Inputs!O36</f>
        <v>0</v>
      </c>
      <c r="P22" s="21">
        <f>Inputs!P36</f>
        <v>0</v>
      </c>
      <c r="Q22" s="21">
        <f>Inputs!Q36</f>
        <v>0</v>
      </c>
      <c r="R22" s="21">
        <f>Inputs!R36</f>
        <v>0</v>
      </c>
      <c r="S22" s="21">
        <f>Inputs!S36</f>
        <v>0</v>
      </c>
      <c r="T22" s="21">
        <f>Inputs!T36</f>
        <v>9.3493492364949979</v>
      </c>
      <c r="U22" s="21">
        <f>Inputs!U36</f>
        <v>15.800159412199609</v>
      </c>
      <c r="V22" s="21">
        <f>Inputs!V36</f>
        <v>20.840010984667764</v>
      </c>
      <c r="W22" s="21">
        <f>Inputs!W36</f>
        <v>8.4564306247405447</v>
      </c>
      <c r="X22" s="21">
        <f>Inputs!X36</f>
        <v>13.250017785620548</v>
      </c>
      <c r="Y22" s="21">
        <f>Inputs!Y36</f>
        <v>8.2258041860463234</v>
      </c>
      <c r="Z22" s="21">
        <f>Inputs!Z36</f>
        <v>2.0282151106573325</v>
      </c>
      <c r="AA22" s="21">
        <f>Inputs!AA36</f>
        <v>0</v>
      </c>
      <c r="AB22" s="21">
        <f>Inputs!AB36</f>
        <v>0</v>
      </c>
      <c r="AC22" s="21">
        <f>Inputs!AC36</f>
        <v>0</v>
      </c>
      <c r="AD22" s="21">
        <f>Inputs!AD36</f>
        <v>0</v>
      </c>
      <c r="AE22" s="21">
        <f>Inputs!AE36</f>
        <v>0</v>
      </c>
      <c r="AF22" s="21">
        <f>Inputs!AF36</f>
        <v>0</v>
      </c>
      <c r="AG22" s="21">
        <f>Inputs!AG36</f>
        <v>0</v>
      </c>
      <c r="AH22" s="21">
        <f>Inputs!AH36</f>
        <v>0</v>
      </c>
      <c r="AI22" s="21">
        <f>Inputs!AI36</f>
        <v>0</v>
      </c>
      <c r="AJ22" s="21">
        <f>Inputs!AJ36</f>
        <v>0</v>
      </c>
      <c r="AK22" s="21">
        <f>Inputs!AK36</f>
        <v>0</v>
      </c>
      <c r="AL22" s="21">
        <f>Inputs!AL36</f>
        <v>0</v>
      </c>
      <c r="AM22" s="21">
        <f>Inputs!AM36</f>
        <v>0</v>
      </c>
      <c r="AN22" s="21">
        <f>Inputs!AN36</f>
        <v>0</v>
      </c>
      <c r="AO22" s="21">
        <f>Inputs!AO36</f>
        <v>0</v>
      </c>
      <c r="AP22" s="21">
        <f>Inputs!AP36</f>
        <v>0</v>
      </c>
      <c r="AQ22" s="21">
        <f>Inputs!AQ36</f>
        <v>0</v>
      </c>
      <c r="AR22" s="21">
        <f>Inputs!AR36</f>
        <v>0</v>
      </c>
      <c r="AS22" s="21">
        <f>Inputs!AS36</f>
        <v>0</v>
      </c>
      <c r="AT22" s="21">
        <f>Inputs!AT36</f>
        <v>0</v>
      </c>
      <c r="AU22" s="21">
        <f>Inputs!AU36</f>
        <v>0</v>
      </c>
      <c r="AV22" s="21">
        <f>Inputs!AV36</f>
        <v>0</v>
      </c>
      <c r="AW22" s="21">
        <f>Inputs!AW36</f>
        <v>0</v>
      </c>
      <c r="AX22" s="21">
        <f>Inputs!AX36</f>
        <v>0</v>
      </c>
    </row>
    <row r="23" spans="1:50" customFormat="1" ht="15" customHeight="1">
      <c r="B23" s="26"/>
      <c r="C23" s="26"/>
      <c r="D23" s="26"/>
      <c r="E23" s="26" t="str">
        <f>Finance!E28</f>
        <v>Capitalised interest during construction</v>
      </c>
      <c r="F23" s="26"/>
      <c r="G23" s="26" t="str">
        <f>Inputs!$I$11</f>
        <v>£m 20/21 prices</v>
      </c>
      <c r="H23" s="26"/>
      <c r="I23" s="66"/>
      <c r="J23" s="107"/>
      <c r="K23" s="21">
        <f>Finance!K28</f>
        <v>0</v>
      </c>
      <c r="L23" s="21">
        <f>Finance!L28</f>
        <v>0</v>
      </c>
      <c r="M23" s="21">
        <f>Finance!M28</f>
        <v>0</v>
      </c>
      <c r="N23" s="21">
        <f>Finance!N28</f>
        <v>0</v>
      </c>
      <c r="O23" s="21">
        <f>Finance!O28</f>
        <v>2.2943761737033021E-2</v>
      </c>
      <c r="P23" s="21">
        <f>Finance!P28</f>
        <v>0.14515837750450597</v>
      </c>
      <c r="Q23" s="21">
        <f>Finance!Q28</f>
        <v>0.31327572031948753</v>
      </c>
      <c r="R23" s="21">
        <f>Finance!R28</f>
        <v>0.46831920075834621</v>
      </c>
      <c r="S23" s="21">
        <f>Finance!S28</f>
        <v>0.66455457390444161</v>
      </c>
      <c r="T23" s="21">
        <f>Finance!T28</f>
        <v>3.2076081174741602</v>
      </c>
      <c r="U23" s="21">
        <f>Finance!U28</f>
        <v>7.2190380652229944</v>
      </c>
      <c r="V23" s="21">
        <f>Finance!V28</f>
        <v>10.680462847915001</v>
      </c>
      <c r="W23" s="21">
        <f>Finance!W28</f>
        <v>15.544322421766973</v>
      </c>
      <c r="X23" s="21">
        <f>Finance!X28</f>
        <v>20.878218719814111</v>
      </c>
      <c r="Y23" s="21">
        <f>Finance!Y28</f>
        <v>24.502199244727436</v>
      </c>
      <c r="Z23" s="21">
        <f>Finance!Z28</f>
        <v>6.5063261684559492</v>
      </c>
      <c r="AA23" s="21">
        <f>Finance!AA28</f>
        <v>0</v>
      </c>
      <c r="AB23" s="21">
        <f>Finance!AB28</f>
        <v>0</v>
      </c>
      <c r="AC23" s="21">
        <f>Finance!AC28</f>
        <v>0</v>
      </c>
      <c r="AD23" s="21">
        <f>Finance!AD28</f>
        <v>0</v>
      </c>
      <c r="AE23" s="21">
        <f>Finance!AE28</f>
        <v>0</v>
      </c>
      <c r="AF23" s="21">
        <f>Finance!AF28</f>
        <v>0</v>
      </c>
      <c r="AG23" s="21">
        <f>Finance!AG28</f>
        <v>0</v>
      </c>
      <c r="AH23" s="21">
        <f>Finance!AH28</f>
        <v>0</v>
      </c>
      <c r="AI23" s="21">
        <f>Finance!AI28</f>
        <v>0</v>
      </c>
      <c r="AJ23" s="21">
        <f>Finance!AJ28</f>
        <v>0</v>
      </c>
      <c r="AK23" s="21">
        <f>Finance!AK28</f>
        <v>0</v>
      </c>
      <c r="AL23" s="21">
        <f>Finance!AL28</f>
        <v>0</v>
      </c>
      <c r="AM23" s="21">
        <f>Finance!AM28</f>
        <v>0</v>
      </c>
      <c r="AN23" s="21">
        <f>Finance!AN28</f>
        <v>0</v>
      </c>
      <c r="AO23" s="21">
        <f>Finance!AO28</f>
        <v>0</v>
      </c>
      <c r="AP23" s="21">
        <f>Finance!AP28</f>
        <v>0</v>
      </c>
      <c r="AQ23" s="21">
        <f>Finance!AQ28</f>
        <v>0</v>
      </c>
      <c r="AR23" s="21">
        <f>Finance!AR28</f>
        <v>0</v>
      </c>
      <c r="AS23" s="21">
        <f>Finance!AS28</f>
        <v>0</v>
      </c>
      <c r="AT23" s="21">
        <f>Finance!AT28</f>
        <v>0</v>
      </c>
      <c r="AU23" s="21">
        <f>Finance!AU28</f>
        <v>0</v>
      </c>
      <c r="AV23" s="21">
        <f>Finance!AV28</f>
        <v>0</v>
      </c>
      <c r="AW23" s="21">
        <f>Finance!AW28</f>
        <v>0</v>
      </c>
      <c r="AX23" s="21">
        <f>Finance!AX28</f>
        <v>0</v>
      </c>
    </row>
    <row r="24" spans="1:50" customFormat="1" ht="15" customHeight="1">
      <c r="B24" s="26"/>
      <c r="C24" s="26"/>
      <c r="D24" s="26"/>
      <c r="E24" s="107" t="s">
        <v>298</v>
      </c>
      <c r="F24" s="26"/>
      <c r="G24" s="26" t="str">
        <f>Inputs!$I$11</f>
        <v>£m 20/21 prices</v>
      </c>
      <c r="H24" s="26"/>
      <c r="I24" s="66"/>
      <c r="J24" s="107"/>
      <c r="K24" s="181">
        <f t="shared" ref="K24:AX24" si="3">SUM(K19:K23)</f>
        <v>0</v>
      </c>
      <c r="L24" s="181">
        <f t="shared" si="3"/>
        <v>0</v>
      </c>
      <c r="M24" s="181">
        <f t="shared" si="3"/>
        <v>0</v>
      </c>
      <c r="N24" s="181">
        <f t="shared" si="3"/>
        <v>0</v>
      </c>
      <c r="O24" s="181">
        <f t="shared" si="3"/>
        <v>1.5454797938683831</v>
      </c>
      <c r="P24" s="181">
        <f t="shared" si="3"/>
        <v>8.1850209333375474</v>
      </c>
      <c r="Q24" s="181">
        <f t="shared" si="3"/>
        <v>12.666606142524822</v>
      </c>
      <c r="R24" s="181">
        <f t="shared" si="3"/>
        <v>18.491532199811452</v>
      </c>
      <c r="S24" s="181">
        <f t="shared" si="3"/>
        <v>25.706675533561796</v>
      </c>
      <c r="T24" s="181">
        <f t="shared" si="3"/>
        <v>189.56950580745593</v>
      </c>
      <c r="U24" s="181">
        <f t="shared" si="3"/>
        <v>290.90029672783123</v>
      </c>
      <c r="V24" s="181">
        <f t="shared" si="3"/>
        <v>419.62854707211505</v>
      </c>
      <c r="W24" s="181">
        <f t="shared" si="3"/>
        <v>614.58824996741691</v>
      </c>
      <c r="X24" s="181">
        <f t="shared" si="3"/>
        <v>772.95124583458983</v>
      </c>
      <c r="Y24" s="181">
        <f t="shared" si="3"/>
        <v>853.85177556026565</v>
      </c>
      <c r="Z24" s="181">
        <f t="shared" si="3"/>
        <v>882.87903546491191</v>
      </c>
      <c r="AA24" s="181">
        <f t="shared" si="3"/>
        <v>0</v>
      </c>
      <c r="AB24" s="181">
        <f t="shared" si="3"/>
        <v>0</v>
      </c>
      <c r="AC24" s="181">
        <f t="shared" si="3"/>
        <v>0</v>
      </c>
      <c r="AD24" s="181">
        <f t="shared" si="3"/>
        <v>0</v>
      </c>
      <c r="AE24" s="181">
        <f t="shared" si="3"/>
        <v>0</v>
      </c>
      <c r="AF24" s="181">
        <f t="shared" si="3"/>
        <v>0</v>
      </c>
      <c r="AG24" s="181">
        <f t="shared" si="3"/>
        <v>0</v>
      </c>
      <c r="AH24" s="181">
        <f t="shared" si="3"/>
        <v>0</v>
      </c>
      <c r="AI24" s="181">
        <f t="shared" si="3"/>
        <v>0</v>
      </c>
      <c r="AJ24" s="181">
        <f t="shared" si="3"/>
        <v>0</v>
      </c>
      <c r="AK24" s="181">
        <f t="shared" si="3"/>
        <v>0</v>
      </c>
      <c r="AL24" s="181">
        <f t="shared" si="3"/>
        <v>0</v>
      </c>
      <c r="AM24" s="181">
        <f t="shared" si="3"/>
        <v>0</v>
      </c>
      <c r="AN24" s="181">
        <f t="shared" si="3"/>
        <v>0</v>
      </c>
      <c r="AO24" s="181">
        <f t="shared" si="3"/>
        <v>0</v>
      </c>
      <c r="AP24" s="181">
        <f t="shared" si="3"/>
        <v>0</v>
      </c>
      <c r="AQ24" s="181">
        <f t="shared" si="3"/>
        <v>0</v>
      </c>
      <c r="AR24" s="181">
        <f t="shared" si="3"/>
        <v>0</v>
      </c>
      <c r="AS24" s="181">
        <f t="shared" si="3"/>
        <v>0</v>
      </c>
      <c r="AT24" s="181">
        <f t="shared" si="3"/>
        <v>0</v>
      </c>
      <c r="AU24" s="181">
        <f t="shared" si="3"/>
        <v>0</v>
      </c>
      <c r="AV24" s="181">
        <f t="shared" si="3"/>
        <v>0</v>
      </c>
      <c r="AW24" s="181">
        <f t="shared" si="3"/>
        <v>0</v>
      </c>
      <c r="AX24" s="181">
        <f t="shared" si="3"/>
        <v>0</v>
      </c>
    </row>
    <row r="25" spans="1:50" customFormat="1" ht="15" customHeight="1">
      <c r="B25" s="26"/>
      <c r="C25" s="26"/>
      <c r="D25" s="26"/>
      <c r="E25" s="107" t="s">
        <v>299</v>
      </c>
      <c r="F25" s="26"/>
      <c r="G25" s="26" t="str">
        <f>Inputs!$I$11</f>
        <v>£m 20/21 prices</v>
      </c>
      <c r="H25" s="26"/>
      <c r="I25" s="66"/>
      <c r="J25" s="107"/>
      <c r="K25" s="20">
        <f t="shared" ref="K25:AX25" si="4">-K24*K11</f>
        <v>0</v>
      </c>
      <c r="L25" s="20">
        <f t="shared" si="4"/>
        <v>0</v>
      </c>
      <c r="M25" s="20">
        <f t="shared" si="4"/>
        <v>0</v>
      </c>
      <c r="N25" s="20">
        <f t="shared" si="4"/>
        <v>0</v>
      </c>
      <c r="O25" s="20">
        <f t="shared" si="4"/>
        <v>0</v>
      </c>
      <c r="P25" s="20">
        <f t="shared" si="4"/>
        <v>0</v>
      </c>
      <c r="Q25" s="20">
        <f t="shared" si="4"/>
        <v>0</v>
      </c>
      <c r="R25" s="20">
        <f t="shared" si="4"/>
        <v>0</v>
      </c>
      <c r="S25" s="20">
        <f t="shared" si="4"/>
        <v>0</v>
      </c>
      <c r="T25" s="20">
        <f t="shared" si="4"/>
        <v>0</v>
      </c>
      <c r="U25" s="20">
        <f t="shared" si="4"/>
        <v>0</v>
      </c>
      <c r="V25" s="20">
        <f t="shared" si="4"/>
        <v>0</v>
      </c>
      <c r="W25" s="20">
        <f t="shared" si="4"/>
        <v>0</v>
      </c>
      <c r="X25" s="20">
        <f t="shared" si="4"/>
        <v>0</v>
      </c>
      <c r="Y25" s="20">
        <f t="shared" si="4"/>
        <v>0</v>
      </c>
      <c r="Z25" s="20">
        <f t="shared" si="4"/>
        <v>-882.87903546491191</v>
      </c>
      <c r="AA25" s="20">
        <f t="shared" si="4"/>
        <v>0</v>
      </c>
      <c r="AB25" s="20">
        <f t="shared" si="4"/>
        <v>0</v>
      </c>
      <c r="AC25" s="20">
        <f t="shared" si="4"/>
        <v>0</v>
      </c>
      <c r="AD25" s="20">
        <f t="shared" si="4"/>
        <v>0</v>
      </c>
      <c r="AE25" s="20">
        <f t="shared" si="4"/>
        <v>0</v>
      </c>
      <c r="AF25" s="20">
        <f t="shared" si="4"/>
        <v>0</v>
      </c>
      <c r="AG25" s="20">
        <f t="shared" si="4"/>
        <v>0</v>
      </c>
      <c r="AH25" s="20">
        <f t="shared" si="4"/>
        <v>0</v>
      </c>
      <c r="AI25" s="20">
        <f t="shared" si="4"/>
        <v>0</v>
      </c>
      <c r="AJ25" s="20">
        <f t="shared" si="4"/>
        <v>0</v>
      </c>
      <c r="AK25" s="20">
        <f t="shared" si="4"/>
        <v>0</v>
      </c>
      <c r="AL25" s="20">
        <f t="shared" si="4"/>
        <v>0</v>
      </c>
      <c r="AM25" s="20">
        <f t="shared" si="4"/>
        <v>0</v>
      </c>
      <c r="AN25" s="20">
        <f t="shared" si="4"/>
        <v>0</v>
      </c>
      <c r="AO25" s="20">
        <f t="shared" si="4"/>
        <v>0</v>
      </c>
      <c r="AP25" s="20">
        <f t="shared" si="4"/>
        <v>0</v>
      </c>
      <c r="AQ25" s="20">
        <f t="shared" si="4"/>
        <v>0</v>
      </c>
      <c r="AR25" s="20">
        <f t="shared" si="4"/>
        <v>0</v>
      </c>
      <c r="AS25" s="20">
        <f t="shared" si="4"/>
        <v>0</v>
      </c>
      <c r="AT25" s="20">
        <f t="shared" si="4"/>
        <v>0</v>
      </c>
      <c r="AU25" s="20">
        <f t="shared" si="4"/>
        <v>0</v>
      </c>
      <c r="AV25" s="20">
        <f t="shared" si="4"/>
        <v>0</v>
      </c>
      <c r="AW25" s="20">
        <f t="shared" si="4"/>
        <v>0</v>
      </c>
      <c r="AX25" s="20">
        <f t="shared" si="4"/>
        <v>0</v>
      </c>
    </row>
    <row r="26" spans="1:50" customFormat="1" ht="26">
      <c r="B26" s="26"/>
      <c r="C26" s="26"/>
      <c r="D26" s="26"/>
      <c r="E26" s="182" t="s">
        <v>300</v>
      </c>
      <c r="F26" s="26"/>
      <c r="G26" s="26" t="str">
        <f>Inputs!$I$11</f>
        <v>£m 20/21 prices</v>
      </c>
      <c r="H26" s="26"/>
      <c r="I26" s="66"/>
      <c r="J26" s="107"/>
      <c r="K26" s="181">
        <f t="shared" ref="K26:AX26" si="5">SUM(K24:K25)</f>
        <v>0</v>
      </c>
      <c r="L26" s="181">
        <f t="shared" si="5"/>
        <v>0</v>
      </c>
      <c r="M26" s="181">
        <f t="shared" si="5"/>
        <v>0</v>
      </c>
      <c r="N26" s="181">
        <f t="shared" si="5"/>
        <v>0</v>
      </c>
      <c r="O26" s="181">
        <f t="shared" si="5"/>
        <v>1.5454797938683831</v>
      </c>
      <c r="P26" s="181">
        <f t="shared" si="5"/>
        <v>8.1850209333375474</v>
      </c>
      <c r="Q26" s="181">
        <f t="shared" si="5"/>
        <v>12.666606142524822</v>
      </c>
      <c r="R26" s="181">
        <f t="shared" si="5"/>
        <v>18.491532199811452</v>
      </c>
      <c r="S26" s="181">
        <f t="shared" si="5"/>
        <v>25.706675533561796</v>
      </c>
      <c r="T26" s="181">
        <f t="shared" si="5"/>
        <v>189.56950580745593</v>
      </c>
      <c r="U26" s="181">
        <f t="shared" si="5"/>
        <v>290.90029672783123</v>
      </c>
      <c r="V26" s="181">
        <f t="shared" si="5"/>
        <v>419.62854707211505</v>
      </c>
      <c r="W26" s="181">
        <f t="shared" si="5"/>
        <v>614.58824996741691</v>
      </c>
      <c r="X26" s="181">
        <f t="shared" si="5"/>
        <v>772.95124583458983</v>
      </c>
      <c r="Y26" s="181">
        <f t="shared" si="5"/>
        <v>853.85177556026565</v>
      </c>
      <c r="Z26" s="181">
        <f t="shared" si="5"/>
        <v>0</v>
      </c>
      <c r="AA26" s="181">
        <f t="shared" si="5"/>
        <v>0</v>
      </c>
      <c r="AB26" s="181">
        <f t="shared" si="5"/>
        <v>0</v>
      </c>
      <c r="AC26" s="181">
        <f t="shared" si="5"/>
        <v>0</v>
      </c>
      <c r="AD26" s="181">
        <f t="shared" si="5"/>
        <v>0</v>
      </c>
      <c r="AE26" s="181">
        <f t="shared" si="5"/>
        <v>0</v>
      </c>
      <c r="AF26" s="181">
        <f t="shared" si="5"/>
        <v>0</v>
      </c>
      <c r="AG26" s="181">
        <f t="shared" si="5"/>
        <v>0</v>
      </c>
      <c r="AH26" s="181">
        <f t="shared" si="5"/>
        <v>0</v>
      </c>
      <c r="AI26" s="181">
        <f t="shared" si="5"/>
        <v>0</v>
      </c>
      <c r="AJ26" s="181">
        <f t="shared" si="5"/>
        <v>0</v>
      </c>
      <c r="AK26" s="181">
        <f t="shared" si="5"/>
        <v>0</v>
      </c>
      <c r="AL26" s="181">
        <f t="shared" si="5"/>
        <v>0</v>
      </c>
      <c r="AM26" s="181">
        <f t="shared" si="5"/>
        <v>0</v>
      </c>
      <c r="AN26" s="181">
        <f t="shared" si="5"/>
        <v>0</v>
      </c>
      <c r="AO26" s="181">
        <f t="shared" si="5"/>
        <v>0</v>
      </c>
      <c r="AP26" s="181">
        <f t="shared" si="5"/>
        <v>0</v>
      </c>
      <c r="AQ26" s="181">
        <f t="shared" si="5"/>
        <v>0</v>
      </c>
      <c r="AR26" s="181">
        <f t="shared" si="5"/>
        <v>0</v>
      </c>
      <c r="AS26" s="181">
        <f t="shared" si="5"/>
        <v>0</v>
      </c>
      <c r="AT26" s="181">
        <f t="shared" si="5"/>
        <v>0</v>
      </c>
      <c r="AU26" s="181">
        <f t="shared" si="5"/>
        <v>0</v>
      </c>
      <c r="AV26" s="181">
        <f t="shared" si="5"/>
        <v>0</v>
      </c>
      <c r="AW26" s="181">
        <f t="shared" si="5"/>
        <v>0</v>
      </c>
      <c r="AX26" s="181">
        <f t="shared" si="5"/>
        <v>0</v>
      </c>
    </row>
    <row r="27" spans="1:50" customFormat="1" ht="15" customHeight="1">
      <c r="A27" s="26"/>
      <c r="B27" s="26"/>
      <c r="C27" s="26"/>
      <c r="D27" s="26"/>
      <c r="E27" s="26"/>
      <c r="F27" s="26"/>
      <c r="G27" s="26"/>
      <c r="H27" s="26"/>
      <c r="I27" s="66"/>
      <c r="J27" s="107"/>
      <c r="K27" s="107"/>
      <c r="L27" s="107"/>
      <c r="M27" s="107"/>
      <c r="N27" s="107"/>
      <c r="O27" s="107"/>
      <c r="P27" s="107"/>
      <c r="Q27" s="107"/>
      <c r="R27" s="107"/>
      <c r="S27" s="26"/>
      <c r="T27" s="26"/>
      <c r="U27" s="26"/>
      <c r="V27" s="26"/>
      <c r="W27" s="26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  <c r="AQ27" s="108"/>
      <c r="AR27" s="108"/>
      <c r="AS27" s="108"/>
      <c r="AT27" s="108"/>
      <c r="AU27" s="108"/>
      <c r="AV27" s="108"/>
      <c r="AW27" s="108"/>
      <c r="AX27" s="108"/>
    </row>
    <row r="28" spans="1:50" customFormat="1" ht="15" customHeight="1">
      <c r="A28" s="27"/>
      <c r="B28" s="14" t="s">
        <v>288</v>
      </c>
      <c r="C28" s="58"/>
      <c r="D28" s="58"/>
      <c r="E28" s="58"/>
      <c r="F28" s="59"/>
      <c r="G28" s="59"/>
      <c r="H28" s="59"/>
      <c r="I28" s="178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</row>
    <row r="29" spans="1:50" customFormat="1" ht="15" customHeight="1">
      <c r="A29" s="27"/>
      <c r="B29" s="13"/>
      <c r="C29" s="26"/>
      <c r="D29" s="26"/>
      <c r="E29" s="26"/>
      <c r="F29" s="26"/>
      <c r="G29" s="26"/>
      <c r="H29" s="26"/>
      <c r="I29" s="66"/>
      <c r="J29" s="107"/>
      <c r="K29" s="107"/>
      <c r="L29" s="107"/>
      <c r="M29" s="107"/>
      <c r="N29" s="107"/>
      <c r="O29" s="107"/>
      <c r="P29" s="107"/>
      <c r="Q29" s="107"/>
      <c r="R29" s="107"/>
      <c r="S29" s="26"/>
      <c r="T29" s="26"/>
      <c r="U29" s="26"/>
      <c r="V29" s="26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108"/>
      <c r="AV29" s="108"/>
      <c r="AW29" s="108"/>
      <c r="AX29" s="108"/>
    </row>
    <row r="30" spans="1:50" customFormat="1" ht="15" customHeight="1">
      <c r="A30" s="27"/>
      <c r="B30" s="26"/>
      <c r="C30" s="67" t="s">
        <v>121</v>
      </c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</row>
    <row r="31" spans="1:50" customFormat="1" ht="15" customHeight="1">
      <c r="A31" s="27"/>
      <c r="B31" s="26"/>
      <c r="C31" s="26"/>
      <c r="D31" s="26"/>
      <c r="E31" s="26"/>
      <c r="F31" s="26"/>
      <c r="G31" s="26"/>
      <c r="H31" s="26"/>
      <c r="I31" s="66"/>
      <c r="J31" s="107"/>
      <c r="K31" s="107"/>
      <c r="L31" s="107"/>
      <c r="M31" s="107"/>
      <c r="N31" s="107"/>
      <c r="O31" s="107"/>
      <c r="P31" s="107"/>
      <c r="Q31" s="107"/>
      <c r="R31" s="107"/>
      <c r="S31" s="26"/>
      <c r="T31" s="26"/>
      <c r="U31" s="26"/>
      <c r="V31" s="26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08"/>
      <c r="AP31" s="108"/>
      <c r="AQ31" s="108"/>
      <c r="AR31" s="108"/>
      <c r="AS31" s="108"/>
      <c r="AT31" s="108"/>
      <c r="AU31" s="108"/>
      <c r="AV31" s="108"/>
      <c r="AW31" s="108"/>
      <c r="AX31" s="108"/>
    </row>
    <row r="32" spans="1:50" s="185" customFormat="1" ht="15" customHeight="1">
      <c r="A32" s="183"/>
      <c r="B32" s="26"/>
      <c r="C32" s="26"/>
      <c r="D32" s="12"/>
      <c r="E32" s="107" t="s">
        <v>301</v>
      </c>
      <c r="F32" s="26"/>
      <c r="G32" s="13" t="str">
        <f>Inputs!$I$11</f>
        <v>£m 20/21 prices</v>
      </c>
      <c r="H32" s="26"/>
      <c r="I32" s="66"/>
      <c r="J32" s="107"/>
      <c r="K32" s="179"/>
      <c r="L32" s="184">
        <f t="shared" ref="L32:AX32" si="6">K36</f>
        <v>0</v>
      </c>
      <c r="M32" s="184">
        <f t="shared" si="6"/>
        <v>0</v>
      </c>
      <c r="N32" s="184">
        <f t="shared" si="6"/>
        <v>0</v>
      </c>
      <c r="O32" s="184">
        <f t="shared" si="6"/>
        <v>0</v>
      </c>
      <c r="P32" s="184">
        <f t="shared" si="6"/>
        <v>1.4102650142078954</v>
      </c>
      <c r="Q32" s="184">
        <f t="shared" si="6"/>
        <v>7.6268420300854514</v>
      </c>
      <c r="R32" s="184">
        <f t="shared" si="6"/>
        <v>11.719105975613676</v>
      </c>
      <c r="S32" s="184">
        <f t="shared" si="6"/>
        <v>17.057047563158406</v>
      </c>
      <c r="T32" s="184">
        <f t="shared" si="6"/>
        <v>23.848875366077635</v>
      </c>
      <c r="U32" s="184">
        <f t="shared" si="6"/>
        <v>0</v>
      </c>
      <c r="V32" s="184">
        <f t="shared" si="6"/>
        <v>0</v>
      </c>
      <c r="W32" s="184">
        <f t="shared" si="6"/>
        <v>0</v>
      </c>
      <c r="X32" s="184">
        <f t="shared" si="6"/>
        <v>0</v>
      </c>
      <c r="Y32" s="184">
        <f t="shared" si="6"/>
        <v>0</v>
      </c>
      <c r="Z32" s="184">
        <f t="shared" si="6"/>
        <v>0</v>
      </c>
      <c r="AA32" s="184">
        <f t="shared" si="6"/>
        <v>0</v>
      </c>
      <c r="AB32" s="184">
        <f t="shared" si="6"/>
        <v>0</v>
      </c>
      <c r="AC32" s="184">
        <f t="shared" si="6"/>
        <v>0</v>
      </c>
      <c r="AD32" s="184">
        <f t="shared" si="6"/>
        <v>0</v>
      </c>
      <c r="AE32" s="184">
        <f t="shared" si="6"/>
        <v>0</v>
      </c>
      <c r="AF32" s="184">
        <f t="shared" si="6"/>
        <v>0</v>
      </c>
      <c r="AG32" s="184">
        <f t="shared" si="6"/>
        <v>0</v>
      </c>
      <c r="AH32" s="184">
        <f t="shared" si="6"/>
        <v>0</v>
      </c>
      <c r="AI32" s="184">
        <f t="shared" si="6"/>
        <v>0</v>
      </c>
      <c r="AJ32" s="184">
        <f t="shared" si="6"/>
        <v>0</v>
      </c>
      <c r="AK32" s="184">
        <f t="shared" si="6"/>
        <v>0</v>
      </c>
      <c r="AL32" s="184">
        <f t="shared" si="6"/>
        <v>0</v>
      </c>
      <c r="AM32" s="184">
        <f t="shared" si="6"/>
        <v>0</v>
      </c>
      <c r="AN32" s="184">
        <f t="shared" si="6"/>
        <v>0</v>
      </c>
      <c r="AO32" s="184">
        <f t="shared" si="6"/>
        <v>0</v>
      </c>
      <c r="AP32" s="184">
        <f t="shared" si="6"/>
        <v>0</v>
      </c>
      <c r="AQ32" s="184">
        <f t="shared" si="6"/>
        <v>0</v>
      </c>
      <c r="AR32" s="184">
        <f t="shared" si="6"/>
        <v>0</v>
      </c>
      <c r="AS32" s="184">
        <f t="shared" si="6"/>
        <v>0</v>
      </c>
      <c r="AT32" s="184">
        <f t="shared" si="6"/>
        <v>0</v>
      </c>
      <c r="AU32" s="184">
        <f t="shared" si="6"/>
        <v>0</v>
      </c>
      <c r="AV32" s="184">
        <f t="shared" si="6"/>
        <v>0</v>
      </c>
      <c r="AW32" s="184">
        <f t="shared" si="6"/>
        <v>0</v>
      </c>
      <c r="AX32" s="184">
        <f t="shared" si="6"/>
        <v>0</v>
      </c>
    </row>
    <row r="33" spans="1:50" s="185" customFormat="1" ht="15" customHeight="1">
      <c r="A33" s="183"/>
      <c r="B33" s="26"/>
      <c r="C33" s="26"/>
      <c r="D33" s="26"/>
      <c r="E33" s="26" t="s">
        <v>121</v>
      </c>
      <c r="F33" s="26"/>
      <c r="G33" s="13" t="str">
        <f>Inputs!$I$11</f>
        <v>£m 20/21 prices</v>
      </c>
      <c r="H33" s="26"/>
      <c r="I33" s="66"/>
      <c r="J33" s="107"/>
      <c r="K33" s="26">
        <f>Inputs!K20</f>
        <v>0</v>
      </c>
      <c r="L33" s="26">
        <f>Inputs!L20</f>
        <v>0</v>
      </c>
      <c r="M33" s="26">
        <f>Inputs!M20</f>
        <v>0</v>
      </c>
      <c r="N33" s="26">
        <f>Inputs!N20</f>
        <v>0</v>
      </c>
      <c r="O33" s="26">
        <f>Inputs!O20</f>
        <v>1.4102650142078954</v>
      </c>
      <c r="P33" s="26">
        <f>Inputs!P20</f>
        <v>6.2165770158775562</v>
      </c>
      <c r="Q33" s="26">
        <f>Inputs!Q20</f>
        <v>4.0922639455282237</v>
      </c>
      <c r="R33" s="26">
        <f>Inputs!R20</f>
        <v>5.3379415875447318</v>
      </c>
      <c r="S33" s="26">
        <f>Inputs!S20</f>
        <v>6.7918278029192276</v>
      </c>
      <c r="T33" s="26">
        <f>Inputs!T20</f>
        <v>8.051124633922365</v>
      </c>
      <c r="U33" s="26">
        <f>Inputs!U20</f>
        <v>0</v>
      </c>
      <c r="V33" s="26">
        <f>Inputs!V20</f>
        <v>0</v>
      </c>
      <c r="W33" s="26">
        <f>Inputs!W20</f>
        <v>0</v>
      </c>
      <c r="X33" s="26">
        <f>Inputs!X20</f>
        <v>0</v>
      </c>
      <c r="Y33" s="26">
        <f>Inputs!Y20</f>
        <v>0</v>
      </c>
      <c r="Z33" s="26">
        <f>Inputs!Z20</f>
        <v>0</v>
      </c>
      <c r="AA33" s="26">
        <f>Inputs!AA20</f>
        <v>0</v>
      </c>
      <c r="AB33" s="26">
        <f>Inputs!AB20</f>
        <v>0</v>
      </c>
      <c r="AC33" s="26">
        <f>Inputs!AC20</f>
        <v>0</v>
      </c>
      <c r="AD33" s="26">
        <f>Inputs!AD20</f>
        <v>0</v>
      </c>
      <c r="AE33" s="26">
        <f>Inputs!AE20</f>
        <v>0</v>
      </c>
      <c r="AF33" s="26">
        <f>Inputs!AF20</f>
        <v>0</v>
      </c>
      <c r="AG33" s="26">
        <f>Inputs!AG20</f>
        <v>0</v>
      </c>
      <c r="AH33" s="26">
        <f>Inputs!AH20</f>
        <v>0</v>
      </c>
      <c r="AI33" s="26">
        <f>Inputs!AI20</f>
        <v>0</v>
      </c>
      <c r="AJ33" s="26">
        <f>Inputs!AJ20</f>
        <v>0</v>
      </c>
      <c r="AK33" s="26">
        <f>Inputs!AK20</f>
        <v>0</v>
      </c>
      <c r="AL33" s="26">
        <f>Inputs!AL20</f>
        <v>0</v>
      </c>
      <c r="AM33" s="26">
        <f>Inputs!AM20</f>
        <v>0</v>
      </c>
      <c r="AN33" s="26">
        <f>Inputs!AN20</f>
        <v>0</v>
      </c>
      <c r="AO33" s="26">
        <f>Inputs!AO20</f>
        <v>0</v>
      </c>
      <c r="AP33" s="26">
        <f>Inputs!AP20</f>
        <v>0</v>
      </c>
      <c r="AQ33" s="26">
        <f>Inputs!AQ20</f>
        <v>0</v>
      </c>
      <c r="AR33" s="26">
        <f>Inputs!AR20</f>
        <v>0</v>
      </c>
      <c r="AS33" s="26">
        <f>Inputs!AS20</f>
        <v>0</v>
      </c>
      <c r="AT33" s="26">
        <f>Inputs!AT20</f>
        <v>0</v>
      </c>
      <c r="AU33" s="26">
        <f>Inputs!AU20</f>
        <v>0</v>
      </c>
      <c r="AV33" s="26">
        <f>Inputs!AV20</f>
        <v>0</v>
      </c>
      <c r="AW33" s="26">
        <f>Inputs!AW20</f>
        <v>0</v>
      </c>
      <c r="AX33" s="26">
        <f>Inputs!AX20</f>
        <v>0</v>
      </c>
    </row>
    <row r="34" spans="1:50" customFormat="1" ht="13">
      <c r="A34" s="125"/>
      <c r="B34" s="26"/>
      <c r="C34" s="26"/>
      <c r="D34" s="26"/>
      <c r="E34" s="107" t="s">
        <v>302</v>
      </c>
      <c r="F34" s="26"/>
      <c r="G34" s="13" t="str">
        <f>Inputs!$I$11</f>
        <v>£m 20/21 prices</v>
      </c>
      <c r="H34" s="26"/>
      <c r="I34" s="66"/>
      <c r="J34" s="107"/>
      <c r="K34" s="181">
        <f t="shared" ref="K34:AX34" si="7">SUM(K32:K33)</f>
        <v>0</v>
      </c>
      <c r="L34" s="181">
        <f t="shared" si="7"/>
        <v>0</v>
      </c>
      <c r="M34" s="181">
        <f t="shared" si="7"/>
        <v>0</v>
      </c>
      <c r="N34" s="181">
        <f t="shared" si="7"/>
        <v>0</v>
      </c>
      <c r="O34" s="181">
        <f t="shared" si="7"/>
        <v>1.4102650142078954</v>
      </c>
      <c r="P34" s="181">
        <f t="shared" si="7"/>
        <v>7.6268420300854514</v>
      </c>
      <c r="Q34" s="181">
        <f t="shared" si="7"/>
        <v>11.719105975613676</v>
      </c>
      <c r="R34" s="181">
        <f t="shared" si="7"/>
        <v>17.057047563158406</v>
      </c>
      <c r="S34" s="181">
        <f t="shared" si="7"/>
        <v>23.848875366077635</v>
      </c>
      <c r="T34" s="181">
        <f t="shared" si="7"/>
        <v>31.9</v>
      </c>
      <c r="U34" s="181">
        <f t="shared" si="7"/>
        <v>0</v>
      </c>
      <c r="V34" s="181">
        <f t="shared" si="7"/>
        <v>0</v>
      </c>
      <c r="W34" s="181">
        <f t="shared" si="7"/>
        <v>0</v>
      </c>
      <c r="X34" s="181">
        <f t="shared" si="7"/>
        <v>0</v>
      </c>
      <c r="Y34" s="181">
        <f t="shared" si="7"/>
        <v>0</v>
      </c>
      <c r="Z34" s="181">
        <f t="shared" si="7"/>
        <v>0</v>
      </c>
      <c r="AA34" s="181">
        <f t="shared" si="7"/>
        <v>0</v>
      </c>
      <c r="AB34" s="181">
        <f t="shared" si="7"/>
        <v>0</v>
      </c>
      <c r="AC34" s="181">
        <f t="shared" si="7"/>
        <v>0</v>
      </c>
      <c r="AD34" s="181">
        <f t="shared" si="7"/>
        <v>0</v>
      </c>
      <c r="AE34" s="181">
        <f t="shared" si="7"/>
        <v>0</v>
      </c>
      <c r="AF34" s="181">
        <f t="shared" si="7"/>
        <v>0</v>
      </c>
      <c r="AG34" s="181">
        <f t="shared" si="7"/>
        <v>0</v>
      </c>
      <c r="AH34" s="181">
        <f t="shared" si="7"/>
        <v>0</v>
      </c>
      <c r="AI34" s="181">
        <f t="shared" si="7"/>
        <v>0</v>
      </c>
      <c r="AJ34" s="181">
        <f t="shared" si="7"/>
        <v>0</v>
      </c>
      <c r="AK34" s="181">
        <f t="shared" si="7"/>
        <v>0</v>
      </c>
      <c r="AL34" s="181">
        <f t="shared" si="7"/>
        <v>0</v>
      </c>
      <c r="AM34" s="181">
        <f t="shared" si="7"/>
        <v>0</v>
      </c>
      <c r="AN34" s="181">
        <f t="shared" si="7"/>
        <v>0</v>
      </c>
      <c r="AO34" s="181">
        <f t="shared" si="7"/>
        <v>0</v>
      </c>
      <c r="AP34" s="181">
        <f t="shared" si="7"/>
        <v>0</v>
      </c>
      <c r="AQ34" s="181">
        <f t="shared" si="7"/>
        <v>0</v>
      </c>
      <c r="AR34" s="181">
        <f t="shared" si="7"/>
        <v>0</v>
      </c>
      <c r="AS34" s="181">
        <f t="shared" si="7"/>
        <v>0</v>
      </c>
      <c r="AT34" s="181">
        <f t="shared" si="7"/>
        <v>0</v>
      </c>
      <c r="AU34" s="181">
        <f t="shared" si="7"/>
        <v>0</v>
      </c>
      <c r="AV34" s="181">
        <f t="shared" si="7"/>
        <v>0</v>
      </c>
      <c r="AW34" s="181">
        <f t="shared" si="7"/>
        <v>0</v>
      </c>
      <c r="AX34" s="181">
        <f t="shared" si="7"/>
        <v>0</v>
      </c>
    </row>
    <row r="35" spans="1:50" s="185" customFormat="1" ht="15" customHeight="1">
      <c r="A35" s="183"/>
      <c r="B35" s="26"/>
      <c r="C35" s="26"/>
      <c r="D35" s="26"/>
      <c r="E35" s="107" t="s">
        <v>303</v>
      </c>
      <c r="F35" s="26"/>
      <c r="G35" s="13" t="str">
        <f>Inputs!$I$11</f>
        <v>£m 20/21 prices</v>
      </c>
      <c r="H35" s="26"/>
      <c r="I35" s="66"/>
      <c r="J35" s="107"/>
      <c r="K35" s="26">
        <f t="shared" ref="K35:AX35" si="8">-K34*K13</f>
        <v>0</v>
      </c>
      <c r="L35" s="26">
        <f t="shared" si="8"/>
        <v>0</v>
      </c>
      <c r="M35" s="26">
        <f t="shared" si="8"/>
        <v>0</v>
      </c>
      <c r="N35" s="26">
        <f t="shared" si="8"/>
        <v>0</v>
      </c>
      <c r="O35" s="26">
        <f t="shared" si="8"/>
        <v>0</v>
      </c>
      <c r="P35" s="26">
        <f t="shared" si="8"/>
        <v>0</v>
      </c>
      <c r="Q35" s="26">
        <f t="shared" si="8"/>
        <v>0</v>
      </c>
      <c r="R35" s="26">
        <f t="shared" si="8"/>
        <v>0</v>
      </c>
      <c r="S35" s="26">
        <f t="shared" si="8"/>
        <v>0</v>
      </c>
      <c r="T35" s="26">
        <f t="shared" si="8"/>
        <v>-31.9</v>
      </c>
      <c r="U35" s="26">
        <f t="shared" si="8"/>
        <v>0</v>
      </c>
      <c r="V35" s="26">
        <f t="shared" si="8"/>
        <v>0</v>
      </c>
      <c r="W35" s="26">
        <f t="shared" si="8"/>
        <v>0</v>
      </c>
      <c r="X35" s="26">
        <f t="shared" si="8"/>
        <v>0</v>
      </c>
      <c r="Y35" s="26">
        <f t="shared" si="8"/>
        <v>0</v>
      </c>
      <c r="Z35" s="26">
        <f t="shared" si="8"/>
        <v>0</v>
      </c>
      <c r="AA35" s="26">
        <f t="shared" si="8"/>
        <v>0</v>
      </c>
      <c r="AB35" s="26">
        <f t="shared" si="8"/>
        <v>0</v>
      </c>
      <c r="AC35" s="26">
        <f t="shared" si="8"/>
        <v>0</v>
      </c>
      <c r="AD35" s="26">
        <f t="shared" si="8"/>
        <v>0</v>
      </c>
      <c r="AE35" s="26">
        <f t="shared" si="8"/>
        <v>0</v>
      </c>
      <c r="AF35" s="26">
        <f t="shared" si="8"/>
        <v>0</v>
      </c>
      <c r="AG35" s="26">
        <f t="shared" si="8"/>
        <v>0</v>
      </c>
      <c r="AH35" s="26">
        <f t="shared" si="8"/>
        <v>0</v>
      </c>
      <c r="AI35" s="26">
        <f t="shared" si="8"/>
        <v>0</v>
      </c>
      <c r="AJ35" s="26">
        <f t="shared" si="8"/>
        <v>0</v>
      </c>
      <c r="AK35" s="26">
        <f t="shared" si="8"/>
        <v>0</v>
      </c>
      <c r="AL35" s="26">
        <f t="shared" si="8"/>
        <v>0</v>
      </c>
      <c r="AM35" s="26">
        <f t="shared" si="8"/>
        <v>0</v>
      </c>
      <c r="AN35" s="26">
        <f t="shared" si="8"/>
        <v>0</v>
      </c>
      <c r="AO35" s="26">
        <f t="shared" si="8"/>
        <v>0</v>
      </c>
      <c r="AP35" s="26">
        <f t="shared" si="8"/>
        <v>0</v>
      </c>
      <c r="AQ35" s="26">
        <f t="shared" si="8"/>
        <v>0</v>
      </c>
      <c r="AR35" s="26">
        <f t="shared" si="8"/>
        <v>0</v>
      </c>
      <c r="AS35" s="26">
        <f t="shared" si="8"/>
        <v>0</v>
      </c>
      <c r="AT35" s="26">
        <f t="shared" si="8"/>
        <v>0</v>
      </c>
      <c r="AU35" s="26">
        <f t="shared" si="8"/>
        <v>0</v>
      </c>
      <c r="AV35" s="26">
        <f t="shared" si="8"/>
        <v>0</v>
      </c>
      <c r="AW35" s="26">
        <f t="shared" si="8"/>
        <v>0</v>
      </c>
      <c r="AX35" s="26">
        <f t="shared" si="8"/>
        <v>0</v>
      </c>
    </row>
    <row r="36" spans="1:50" customFormat="1" ht="13">
      <c r="A36" s="125"/>
      <c r="B36" s="26"/>
      <c r="C36" s="26"/>
      <c r="D36" s="26"/>
      <c r="E36" s="182" t="s">
        <v>304</v>
      </c>
      <c r="F36" s="26"/>
      <c r="G36" s="13" t="str">
        <f>Inputs!$I$11</f>
        <v>£m 20/21 prices</v>
      </c>
      <c r="H36" s="26"/>
      <c r="I36" s="66"/>
      <c r="J36" s="107"/>
      <c r="K36" s="181">
        <f t="shared" ref="K36:AX36" si="9">SUM(K34:K35)</f>
        <v>0</v>
      </c>
      <c r="L36" s="181">
        <f t="shared" si="9"/>
        <v>0</v>
      </c>
      <c r="M36" s="181">
        <f t="shared" si="9"/>
        <v>0</v>
      </c>
      <c r="N36" s="181">
        <f t="shared" si="9"/>
        <v>0</v>
      </c>
      <c r="O36" s="181">
        <f t="shared" si="9"/>
        <v>1.4102650142078954</v>
      </c>
      <c r="P36" s="181">
        <f t="shared" si="9"/>
        <v>7.6268420300854514</v>
      </c>
      <c r="Q36" s="181">
        <f t="shared" si="9"/>
        <v>11.719105975613676</v>
      </c>
      <c r="R36" s="181">
        <f t="shared" si="9"/>
        <v>17.057047563158406</v>
      </c>
      <c r="S36" s="181">
        <f t="shared" si="9"/>
        <v>23.848875366077635</v>
      </c>
      <c r="T36" s="181">
        <f t="shared" si="9"/>
        <v>0</v>
      </c>
      <c r="U36" s="181">
        <f t="shared" si="9"/>
        <v>0</v>
      </c>
      <c r="V36" s="181">
        <f t="shared" si="9"/>
        <v>0</v>
      </c>
      <c r="W36" s="181">
        <f t="shared" si="9"/>
        <v>0</v>
      </c>
      <c r="X36" s="181">
        <f t="shared" si="9"/>
        <v>0</v>
      </c>
      <c r="Y36" s="181">
        <f t="shared" si="9"/>
        <v>0</v>
      </c>
      <c r="Z36" s="181">
        <f t="shared" si="9"/>
        <v>0</v>
      </c>
      <c r="AA36" s="181">
        <f t="shared" si="9"/>
        <v>0</v>
      </c>
      <c r="AB36" s="181">
        <f t="shared" si="9"/>
        <v>0</v>
      </c>
      <c r="AC36" s="181">
        <f t="shared" si="9"/>
        <v>0</v>
      </c>
      <c r="AD36" s="181">
        <f t="shared" si="9"/>
        <v>0</v>
      </c>
      <c r="AE36" s="181">
        <f t="shared" si="9"/>
        <v>0</v>
      </c>
      <c r="AF36" s="181">
        <f t="shared" si="9"/>
        <v>0</v>
      </c>
      <c r="AG36" s="181">
        <f t="shared" si="9"/>
        <v>0</v>
      </c>
      <c r="AH36" s="181">
        <f t="shared" si="9"/>
        <v>0</v>
      </c>
      <c r="AI36" s="181">
        <f t="shared" si="9"/>
        <v>0</v>
      </c>
      <c r="AJ36" s="181">
        <f t="shared" si="9"/>
        <v>0</v>
      </c>
      <c r="AK36" s="181">
        <f t="shared" si="9"/>
        <v>0</v>
      </c>
      <c r="AL36" s="181">
        <f t="shared" si="9"/>
        <v>0</v>
      </c>
      <c r="AM36" s="181">
        <f t="shared" si="9"/>
        <v>0</v>
      </c>
      <c r="AN36" s="181">
        <f t="shared" si="9"/>
        <v>0</v>
      </c>
      <c r="AO36" s="181">
        <f t="shared" si="9"/>
        <v>0</v>
      </c>
      <c r="AP36" s="181">
        <f t="shared" si="9"/>
        <v>0</v>
      </c>
      <c r="AQ36" s="181">
        <f t="shared" si="9"/>
        <v>0</v>
      </c>
      <c r="AR36" s="181">
        <f t="shared" si="9"/>
        <v>0</v>
      </c>
      <c r="AS36" s="181">
        <f t="shared" si="9"/>
        <v>0</v>
      </c>
      <c r="AT36" s="181">
        <f t="shared" si="9"/>
        <v>0</v>
      </c>
      <c r="AU36" s="181">
        <f t="shared" si="9"/>
        <v>0</v>
      </c>
      <c r="AV36" s="181">
        <f t="shared" si="9"/>
        <v>0</v>
      </c>
      <c r="AW36" s="181">
        <f t="shared" si="9"/>
        <v>0</v>
      </c>
      <c r="AX36" s="181">
        <f t="shared" si="9"/>
        <v>0</v>
      </c>
    </row>
    <row r="37" spans="1:50" customFormat="1" ht="15" customHeight="1">
      <c r="A37" s="125"/>
      <c r="B37" s="26"/>
      <c r="C37" s="26"/>
      <c r="D37" s="26"/>
      <c r="E37" s="26"/>
      <c r="F37" s="26"/>
      <c r="G37" s="26"/>
      <c r="H37" s="26"/>
      <c r="I37" s="66"/>
      <c r="J37" s="107"/>
      <c r="K37" s="107"/>
      <c r="L37" s="107"/>
      <c r="M37" s="107"/>
      <c r="N37" s="107"/>
      <c r="O37" s="107"/>
      <c r="P37" s="107"/>
      <c r="Q37" s="107"/>
      <c r="R37" s="107"/>
      <c r="S37" s="26"/>
      <c r="T37" s="26"/>
      <c r="U37" s="26"/>
      <c r="V37" s="26"/>
      <c r="W37" s="26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</row>
    <row r="38" spans="1:50" customFormat="1" ht="15" customHeight="1">
      <c r="A38" s="27"/>
      <c r="B38" s="26"/>
      <c r="C38" s="67" t="s">
        <v>305</v>
      </c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</row>
    <row r="39" spans="1:50" customFormat="1" ht="15" customHeight="1">
      <c r="A39" s="27"/>
      <c r="B39" s="26"/>
      <c r="C39" s="26"/>
      <c r="D39" s="26"/>
      <c r="E39" s="26"/>
      <c r="F39" s="26"/>
      <c r="G39" s="26"/>
      <c r="H39" s="26"/>
      <c r="I39" s="66"/>
      <c r="J39" s="107"/>
      <c r="K39" s="107"/>
      <c r="L39" s="107"/>
      <c r="M39" s="107"/>
      <c r="N39" s="107"/>
      <c r="O39" s="107"/>
      <c r="P39" s="107"/>
      <c r="Q39" s="107"/>
      <c r="R39" s="107"/>
      <c r="S39" s="26"/>
      <c r="T39" s="26"/>
      <c r="U39" s="26"/>
      <c r="V39" s="26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108"/>
      <c r="AO39" s="108"/>
      <c r="AP39" s="108"/>
      <c r="AQ39" s="108"/>
      <c r="AR39" s="108"/>
      <c r="AS39" s="108"/>
      <c r="AT39" s="108"/>
      <c r="AU39" s="108"/>
      <c r="AV39" s="108"/>
      <c r="AW39" s="108"/>
      <c r="AX39" s="108"/>
    </row>
    <row r="40" spans="1:50" s="185" customFormat="1" ht="15" customHeight="1">
      <c r="A40" s="183"/>
      <c r="B40" s="26"/>
      <c r="C40" s="26"/>
      <c r="D40" s="12"/>
      <c r="E40" s="107" t="s">
        <v>306</v>
      </c>
      <c r="F40" s="26"/>
      <c r="G40" s="16" t="str">
        <f>Inputs!$I$11</f>
        <v>£m 20/21 prices</v>
      </c>
      <c r="H40" s="26"/>
      <c r="I40" s="66"/>
      <c r="J40" s="107"/>
      <c r="K40" s="179"/>
      <c r="L40" s="184">
        <f t="shared" ref="L40:AX40" si="10">K48</f>
        <v>0</v>
      </c>
      <c r="M40" s="184">
        <f t="shared" si="10"/>
        <v>0</v>
      </c>
      <c r="N40" s="184">
        <f t="shared" si="10"/>
        <v>0</v>
      </c>
      <c r="O40" s="184">
        <f t="shared" si="10"/>
        <v>0</v>
      </c>
      <c r="P40" s="184">
        <f t="shared" si="10"/>
        <v>0</v>
      </c>
      <c r="Q40" s="184">
        <f t="shared" si="10"/>
        <v>0</v>
      </c>
      <c r="R40" s="184">
        <f t="shared" si="10"/>
        <v>0</v>
      </c>
      <c r="S40" s="184">
        <f t="shared" si="10"/>
        <v>0</v>
      </c>
      <c r="T40" s="184">
        <f t="shared" si="10"/>
        <v>0</v>
      </c>
      <c r="U40" s="184">
        <f t="shared" si="10"/>
        <v>244.95640690109127</v>
      </c>
      <c r="V40" s="184">
        <f t="shared" si="10"/>
        <v>380.33061970684469</v>
      </c>
      <c r="W40" s="184">
        <f t="shared" si="10"/>
        <v>554.64119223504019</v>
      </c>
      <c r="X40" s="184">
        <f t="shared" si="10"/>
        <v>819.47080615148025</v>
      </c>
      <c r="Y40" s="184">
        <f t="shared" si="10"/>
        <v>1047.1260702426928</v>
      </c>
      <c r="Z40" s="184">
        <f t="shared" si="10"/>
        <v>1179.1299382295888</v>
      </c>
      <c r="AA40" s="184">
        <f t="shared" si="10"/>
        <v>0</v>
      </c>
      <c r="AB40" s="184">
        <f t="shared" si="10"/>
        <v>0</v>
      </c>
      <c r="AC40" s="184">
        <f t="shared" si="10"/>
        <v>0</v>
      </c>
      <c r="AD40" s="184">
        <f t="shared" si="10"/>
        <v>0</v>
      </c>
      <c r="AE40" s="184">
        <f t="shared" si="10"/>
        <v>0</v>
      </c>
      <c r="AF40" s="184">
        <f t="shared" si="10"/>
        <v>0</v>
      </c>
      <c r="AG40" s="184">
        <f t="shared" si="10"/>
        <v>0</v>
      </c>
      <c r="AH40" s="184">
        <f t="shared" si="10"/>
        <v>0</v>
      </c>
      <c r="AI40" s="184">
        <f t="shared" si="10"/>
        <v>0</v>
      </c>
      <c r="AJ40" s="184">
        <f t="shared" si="10"/>
        <v>0</v>
      </c>
      <c r="AK40" s="184">
        <f t="shared" si="10"/>
        <v>0</v>
      </c>
      <c r="AL40" s="184">
        <f t="shared" si="10"/>
        <v>0</v>
      </c>
      <c r="AM40" s="184">
        <f t="shared" si="10"/>
        <v>0</v>
      </c>
      <c r="AN40" s="184">
        <f t="shared" si="10"/>
        <v>0</v>
      </c>
      <c r="AO40" s="184">
        <f t="shared" si="10"/>
        <v>0</v>
      </c>
      <c r="AP40" s="184">
        <f t="shared" si="10"/>
        <v>0</v>
      </c>
      <c r="AQ40" s="184">
        <f t="shared" si="10"/>
        <v>0</v>
      </c>
      <c r="AR40" s="184">
        <f t="shared" si="10"/>
        <v>0</v>
      </c>
      <c r="AS40" s="184">
        <f t="shared" si="10"/>
        <v>0</v>
      </c>
      <c r="AT40" s="184">
        <f t="shared" si="10"/>
        <v>0</v>
      </c>
      <c r="AU40" s="184">
        <f t="shared" si="10"/>
        <v>0</v>
      </c>
      <c r="AV40" s="184">
        <f t="shared" si="10"/>
        <v>0</v>
      </c>
      <c r="AW40" s="184">
        <f t="shared" si="10"/>
        <v>0</v>
      </c>
      <c r="AX40" s="184">
        <f t="shared" si="10"/>
        <v>0</v>
      </c>
    </row>
    <row r="41" spans="1:50" s="185" customFormat="1" ht="15" customHeight="1">
      <c r="A41" s="183"/>
      <c r="B41" s="26"/>
      <c r="C41" s="26"/>
      <c r="D41" s="26"/>
      <c r="E41" s="107" t="s">
        <v>303</v>
      </c>
      <c r="F41" s="26"/>
      <c r="G41" s="16" t="str">
        <f>Inputs!$I$11</f>
        <v>£m 20/21 prices</v>
      </c>
      <c r="H41" s="26"/>
      <c r="I41" s="66"/>
      <c r="J41" s="107"/>
      <c r="K41" s="26">
        <f t="shared" ref="K41:AX41" si="11">-K35</f>
        <v>0</v>
      </c>
      <c r="L41" s="26">
        <f t="shared" si="11"/>
        <v>0</v>
      </c>
      <c r="M41" s="26">
        <f t="shared" si="11"/>
        <v>0</v>
      </c>
      <c r="N41" s="26">
        <f t="shared" si="11"/>
        <v>0</v>
      </c>
      <c r="O41" s="26">
        <f t="shared" si="11"/>
        <v>0</v>
      </c>
      <c r="P41" s="26">
        <f t="shared" si="11"/>
        <v>0</v>
      </c>
      <c r="Q41" s="26">
        <f t="shared" si="11"/>
        <v>0</v>
      </c>
      <c r="R41" s="26">
        <f t="shared" si="11"/>
        <v>0</v>
      </c>
      <c r="S41" s="26">
        <f t="shared" si="11"/>
        <v>0</v>
      </c>
      <c r="T41" s="26">
        <f t="shared" si="11"/>
        <v>31.9</v>
      </c>
      <c r="U41" s="26">
        <f t="shared" si="11"/>
        <v>0</v>
      </c>
      <c r="V41" s="26">
        <f t="shared" si="11"/>
        <v>0</v>
      </c>
      <c r="W41" s="26">
        <f t="shared" si="11"/>
        <v>0</v>
      </c>
      <c r="X41" s="26">
        <f t="shared" si="11"/>
        <v>0</v>
      </c>
      <c r="Y41" s="26">
        <f t="shared" si="11"/>
        <v>0</v>
      </c>
      <c r="Z41" s="26">
        <f t="shared" si="11"/>
        <v>0</v>
      </c>
      <c r="AA41" s="26">
        <f t="shared" si="11"/>
        <v>0</v>
      </c>
      <c r="AB41" s="26">
        <f t="shared" si="11"/>
        <v>0</v>
      </c>
      <c r="AC41" s="26">
        <f t="shared" si="11"/>
        <v>0</v>
      </c>
      <c r="AD41" s="26">
        <f t="shared" si="11"/>
        <v>0</v>
      </c>
      <c r="AE41" s="26">
        <f t="shared" si="11"/>
        <v>0</v>
      </c>
      <c r="AF41" s="26">
        <f t="shared" si="11"/>
        <v>0</v>
      </c>
      <c r="AG41" s="26">
        <f t="shared" si="11"/>
        <v>0</v>
      </c>
      <c r="AH41" s="26">
        <f t="shared" si="11"/>
        <v>0</v>
      </c>
      <c r="AI41" s="26">
        <f t="shared" si="11"/>
        <v>0</v>
      </c>
      <c r="AJ41" s="26">
        <f t="shared" si="11"/>
        <v>0</v>
      </c>
      <c r="AK41" s="26">
        <f t="shared" si="11"/>
        <v>0</v>
      </c>
      <c r="AL41" s="26">
        <f t="shared" si="11"/>
        <v>0</v>
      </c>
      <c r="AM41" s="26">
        <f t="shared" si="11"/>
        <v>0</v>
      </c>
      <c r="AN41" s="26">
        <f t="shared" si="11"/>
        <v>0</v>
      </c>
      <c r="AO41" s="26">
        <f t="shared" si="11"/>
        <v>0</v>
      </c>
      <c r="AP41" s="26">
        <f t="shared" si="11"/>
        <v>0</v>
      </c>
      <c r="AQ41" s="26">
        <f t="shared" si="11"/>
        <v>0</v>
      </c>
      <c r="AR41" s="26">
        <f t="shared" si="11"/>
        <v>0</v>
      </c>
      <c r="AS41" s="26">
        <f t="shared" si="11"/>
        <v>0</v>
      </c>
      <c r="AT41" s="26">
        <f t="shared" si="11"/>
        <v>0</v>
      </c>
      <c r="AU41" s="26">
        <f t="shared" si="11"/>
        <v>0</v>
      </c>
      <c r="AV41" s="26">
        <f t="shared" si="11"/>
        <v>0</v>
      </c>
      <c r="AW41" s="26">
        <f t="shared" si="11"/>
        <v>0</v>
      </c>
      <c r="AX41" s="26">
        <f t="shared" si="11"/>
        <v>0</v>
      </c>
    </row>
    <row r="42" spans="1:50" s="185" customFormat="1" ht="15" customHeight="1">
      <c r="A42" s="183"/>
      <c r="B42" s="26"/>
      <c r="C42" s="26"/>
      <c r="D42" s="26"/>
      <c r="E42" s="26" t="s">
        <v>123</v>
      </c>
      <c r="F42" s="26"/>
      <c r="G42" s="16" t="str">
        <f>Inputs!$I$11</f>
        <v>£m 20/21 prices</v>
      </c>
      <c r="H42" s="26"/>
      <c r="I42" s="66"/>
      <c r="J42" s="107"/>
      <c r="K42" s="26">
        <f>Inputs!K21</f>
        <v>0</v>
      </c>
      <c r="L42" s="26">
        <f>Inputs!L21</f>
        <v>0</v>
      </c>
      <c r="M42" s="26">
        <f>Inputs!M21</f>
        <v>0</v>
      </c>
      <c r="N42" s="26">
        <f>Inputs!N21</f>
        <v>0</v>
      </c>
      <c r="O42" s="26">
        <f>Inputs!O21</f>
        <v>0</v>
      </c>
      <c r="P42" s="26">
        <f>Inputs!P21</f>
        <v>0</v>
      </c>
      <c r="Q42" s="26">
        <f>Inputs!Q21</f>
        <v>0</v>
      </c>
      <c r="R42" s="26">
        <f>Inputs!R21</f>
        <v>0</v>
      </c>
      <c r="S42" s="26">
        <f>Inputs!S21</f>
        <v>0</v>
      </c>
      <c r="T42" s="26">
        <f>Inputs!T21</f>
        <v>167.00057784789098</v>
      </c>
      <c r="U42" s="26">
        <f>Inputs!U21</f>
        <v>93.700335895219126</v>
      </c>
      <c r="V42" s="26">
        <f>Inputs!V21</f>
        <v>120.28753625686763</v>
      </c>
      <c r="W42" s="26">
        <f>Inputs!W21</f>
        <v>218.78422012721589</v>
      </c>
      <c r="X42" s="26">
        <f>Inputs!X21</f>
        <v>164.42649918853905</v>
      </c>
      <c r="Y42" s="26">
        <f>Inputs!Y21</f>
        <v>65.937525221526258</v>
      </c>
      <c r="Z42" s="26">
        <f>Inputs!Z21</f>
        <v>29.009305462741054</v>
      </c>
      <c r="AA42" s="26">
        <f>Inputs!AA21</f>
        <v>0</v>
      </c>
      <c r="AB42" s="26">
        <f>Inputs!AB21</f>
        <v>0</v>
      </c>
      <c r="AC42" s="26">
        <f>Inputs!AC21</f>
        <v>0</v>
      </c>
      <c r="AD42" s="26">
        <f>Inputs!AD21</f>
        <v>0</v>
      </c>
      <c r="AE42" s="26">
        <f>Inputs!AE21</f>
        <v>0</v>
      </c>
      <c r="AF42" s="26">
        <f>Inputs!AF21</f>
        <v>0</v>
      </c>
      <c r="AG42" s="26">
        <f>Inputs!AG21</f>
        <v>0</v>
      </c>
      <c r="AH42" s="26">
        <f>Inputs!AH21</f>
        <v>0</v>
      </c>
      <c r="AI42" s="26">
        <f>Inputs!AI21</f>
        <v>0</v>
      </c>
      <c r="AJ42" s="26">
        <f>Inputs!AJ21</f>
        <v>0</v>
      </c>
      <c r="AK42" s="26">
        <f>Inputs!AK21</f>
        <v>0</v>
      </c>
      <c r="AL42" s="26">
        <f>Inputs!AL21</f>
        <v>0</v>
      </c>
      <c r="AM42" s="26">
        <f>Inputs!AM21</f>
        <v>0</v>
      </c>
      <c r="AN42" s="26">
        <f>Inputs!AN21</f>
        <v>0</v>
      </c>
      <c r="AO42" s="26">
        <f>Inputs!AO21</f>
        <v>0</v>
      </c>
      <c r="AP42" s="26">
        <f>Inputs!AP21</f>
        <v>0</v>
      </c>
      <c r="AQ42" s="26">
        <f>Inputs!AQ21</f>
        <v>0</v>
      </c>
      <c r="AR42" s="26">
        <f>Inputs!AR21</f>
        <v>0</v>
      </c>
      <c r="AS42" s="26">
        <f>Inputs!AS21</f>
        <v>0</v>
      </c>
      <c r="AT42" s="26">
        <f>Inputs!AT21</f>
        <v>0</v>
      </c>
      <c r="AU42" s="26">
        <f>Inputs!AU21</f>
        <v>0</v>
      </c>
      <c r="AV42" s="26">
        <f>Inputs!AV21</f>
        <v>0</v>
      </c>
      <c r="AW42" s="26">
        <f>Inputs!AW21</f>
        <v>0</v>
      </c>
      <c r="AX42" s="26">
        <f>Inputs!AX21</f>
        <v>0</v>
      </c>
    </row>
    <row r="43" spans="1:50" s="185" customFormat="1" ht="15" customHeight="1">
      <c r="A43" s="183"/>
      <c r="B43" s="26"/>
      <c r="C43" s="26"/>
      <c r="D43" s="26"/>
      <c r="E43" s="26" t="s">
        <v>124</v>
      </c>
      <c r="F43" s="26"/>
      <c r="G43" s="16" t="str">
        <f>Inputs!$I$11</f>
        <v>£m 20/21 prices</v>
      </c>
      <c r="H43" s="26"/>
      <c r="I43" s="66"/>
      <c r="J43" s="107"/>
      <c r="K43" s="26">
        <f>Inputs!K22</f>
        <v>0</v>
      </c>
      <c r="L43" s="26">
        <f>Inputs!L22</f>
        <v>0</v>
      </c>
      <c r="M43" s="26">
        <f>Inputs!M22</f>
        <v>0</v>
      </c>
      <c r="N43" s="26">
        <f>Inputs!N22</f>
        <v>0</v>
      </c>
      <c r="O43" s="26">
        <f>Inputs!O22</f>
        <v>0</v>
      </c>
      <c r="P43" s="26">
        <f>Inputs!P22</f>
        <v>0</v>
      </c>
      <c r="Q43" s="26">
        <f>Inputs!Q22</f>
        <v>0</v>
      </c>
      <c r="R43" s="26">
        <f>Inputs!R22</f>
        <v>0</v>
      </c>
      <c r="S43" s="26">
        <f>Inputs!S22</f>
        <v>0</v>
      </c>
      <c r="T43" s="26">
        <f>Inputs!T22</f>
        <v>10.816629053200286</v>
      </c>
      <c r="U43" s="26">
        <f>Inputs!U22</f>
        <v>18.90499451016267</v>
      </c>
      <c r="V43" s="26">
        <f>Inputs!V22</f>
        <v>25.787994200340499</v>
      </c>
      <c r="W43" s="26">
        <f>Inputs!W22</f>
        <v>10.822092560407786</v>
      </c>
      <c r="X43" s="26">
        <f>Inputs!X22</f>
        <v>17.53659</v>
      </c>
      <c r="Y43" s="26">
        <f>Inputs!Y22</f>
        <v>11.259305099848257</v>
      </c>
      <c r="Z43" s="26">
        <f>Inputs!Z22</f>
        <v>2.8711228004613067</v>
      </c>
      <c r="AA43" s="26">
        <f>Inputs!AA22</f>
        <v>0</v>
      </c>
      <c r="AB43" s="26">
        <f>Inputs!AB22</f>
        <v>0</v>
      </c>
      <c r="AC43" s="26">
        <f>Inputs!AC22</f>
        <v>0</v>
      </c>
      <c r="AD43" s="26">
        <f>Inputs!AD22</f>
        <v>0</v>
      </c>
      <c r="AE43" s="26">
        <f>Inputs!AE22</f>
        <v>0</v>
      </c>
      <c r="AF43" s="26">
        <f>Inputs!AF22</f>
        <v>0</v>
      </c>
      <c r="AG43" s="26">
        <f>Inputs!AG22</f>
        <v>0</v>
      </c>
      <c r="AH43" s="26">
        <f>Inputs!AH22</f>
        <v>0</v>
      </c>
      <c r="AI43" s="26">
        <f>Inputs!AI22</f>
        <v>0</v>
      </c>
      <c r="AJ43" s="26">
        <f>Inputs!AJ22</f>
        <v>0</v>
      </c>
      <c r="AK43" s="26">
        <f>Inputs!AK22</f>
        <v>0</v>
      </c>
      <c r="AL43" s="26">
        <f>Inputs!AL22</f>
        <v>0</v>
      </c>
      <c r="AM43" s="26">
        <f>Inputs!AM22</f>
        <v>0</v>
      </c>
      <c r="AN43" s="26">
        <f>Inputs!AN22</f>
        <v>0</v>
      </c>
      <c r="AO43" s="26">
        <f>Inputs!AO22</f>
        <v>0</v>
      </c>
      <c r="AP43" s="26">
        <f>Inputs!AP22</f>
        <v>0</v>
      </c>
      <c r="AQ43" s="26">
        <f>Inputs!AQ22</f>
        <v>0</v>
      </c>
      <c r="AR43" s="26">
        <f>Inputs!AR22</f>
        <v>0</v>
      </c>
      <c r="AS43" s="26">
        <f>Inputs!AS22</f>
        <v>0</v>
      </c>
      <c r="AT43" s="26">
        <f>Inputs!AT22</f>
        <v>0</v>
      </c>
      <c r="AU43" s="26">
        <f>Inputs!AU22</f>
        <v>0</v>
      </c>
      <c r="AV43" s="26">
        <f>Inputs!AV22</f>
        <v>0</v>
      </c>
      <c r="AW43" s="26">
        <f>Inputs!AW22</f>
        <v>0</v>
      </c>
      <c r="AX43" s="26">
        <f>Inputs!AX22</f>
        <v>0</v>
      </c>
    </row>
    <row r="44" spans="1:50" s="185" customFormat="1" ht="15" customHeight="1">
      <c r="A44" s="183"/>
      <c r="B44" s="26"/>
      <c r="C44" s="26"/>
      <c r="D44" s="26"/>
      <c r="E44" s="26" t="s">
        <v>307</v>
      </c>
      <c r="F44" s="26"/>
      <c r="G44" s="16" t="str">
        <f>Inputs!$I$11</f>
        <v>£m 20/21 prices</v>
      </c>
      <c r="H44" s="26"/>
      <c r="I44" s="66"/>
      <c r="J44" s="107"/>
      <c r="K44" s="26">
        <f>Finance!K155</f>
        <v>0</v>
      </c>
      <c r="L44" s="26">
        <f>Finance!L155</f>
        <v>0</v>
      </c>
      <c r="M44" s="26">
        <f>Finance!M155</f>
        <v>0</v>
      </c>
      <c r="N44" s="26">
        <f>Finance!N155</f>
        <v>0</v>
      </c>
      <c r="O44" s="26">
        <f>Finance!O155</f>
        <v>0</v>
      </c>
      <c r="P44" s="26">
        <f>Finance!P155</f>
        <v>0</v>
      </c>
      <c r="Q44" s="26">
        <f>Finance!Q155</f>
        <v>0</v>
      </c>
      <c r="R44" s="26">
        <f>Finance!R155</f>
        <v>0</v>
      </c>
      <c r="S44" s="26">
        <f>Finance!S155</f>
        <v>0</v>
      </c>
      <c r="T44" s="26">
        <f>Finance!T155</f>
        <v>0</v>
      </c>
      <c r="U44" s="26">
        <f>Finance!U155</f>
        <v>0</v>
      </c>
      <c r="V44" s="26">
        <f>Finance!V155</f>
        <v>0</v>
      </c>
      <c r="W44" s="26">
        <f>Finance!W155</f>
        <v>0</v>
      </c>
      <c r="X44" s="26">
        <f>Finance!X155</f>
        <v>0</v>
      </c>
      <c r="Y44" s="26">
        <f>Finance!Y155</f>
        <v>0</v>
      </c>
      <c r="Z44" s="26">
        <f>Finance!Z155</f>
        <v>0</v>
      </c>
      <c r="AA44" s="26">
        <f>Finance!AA155</f>
        <v>0</v>
      </c>
      <c r="AB44" s="26">
        <f>Finance!AB155</f>
        <v>0</v>
      </c>
      <c r="AC44" s="26">
        <f>Finance!AC155</f>
        <v>0</v>
      </c>
      <c r="AD44" s="26">
        <f>Finance!AD155</f>
        <v>0</v>
      </c>
      <c r="AE44" s="26">
        <f>Finance!AE155</f>
        <v>0</v>
      </c>
      <c r="AF44" s="26">
        <f>Finance!AF155</f>
        <v>0</v>
      </c>
      <c r="AG44" s="26">
        <f>Finance!AG155</f>
        <v>0</v>
      </c>
      <c r="AH44" s="26">
        <f>Finance!AH155</f>
        <v>0</v>
      </c>
      <c r="AI44" s="26">
        <f>Finance!AI155</f>
        <v>0</v>
      </c>
      <c r="AJ44" s="26">
        <f>Finance!AJ155</f>
        <v>0</v>
      </c>
      <c r="AK44" s="26">
        <f>Finance!AK155</f>
        <v>0</v>
      </c>
      <c r="AL44" s="26">
        <f>Finance!AL155</f>
        <v>0</v>
      </c>
      <c r="AM44" s="26">
        <f>Finance!AM155</f>
        <v>0</v>
      </c>
      <c r="AN44" s="26">
        <f>Finance!AN155</f>
        <v>0</v>
      </c>
      <c r="AO44" s="26">
        <f>Finance!AO155</f>
        <v>0</v>
      </c>
      <c r="AP44" s="26">
        <f>Finance!AP155</f>
        <v>0</v>
      </c>
      <c r="AQ44" s="26">
        <f>Finance!AQ155</f>
        <v>0</v>
      </c>
      <c r="AR44" s="26">
        <f>Finance!AR155</f>
        <v>0</v>
      </c>
      <c r="AS44" s="26">
        <f>Finance!AS155</f>
        <v>0</v>
      </c>
      <c r="AT44" s="26">
        <f>Finance!AT155</f>
        <v>0</v>
      </c>
      <c r="AU44" s="26">
        <f>Finance!AU155</f>
        <v>0</v>
      </c>
      <c r="AV44" s="26">
        <f>Finance!AV155</f>
        <v>0</v>
      </c>
      <c r="AW44" s="26">
        <f>Finance!AW155</f>
        <v>0</v>
      </c>
      <c r="AX44" s="26">
        <f>Finance!AX155</f>
        <v>0</v>
      </c>
    </row>
    <row r="45" spans="1:50" s="185" customFormat="1" ht="15" customHeight="1">
      <c r="A45" s="183"/>
      <c r="B45" s="26"/>
      <c r="C45" s="26"/>
      <c r="D45" s="26"/>
      <c r="E45" s="102" t="s">
        <v>308</v>
      </c>
      <c r="F45" s="26"/>
      <c r="G45" s="16" t="str">
        <f>Inputs!$I$11</f>
        <v>£m 20/21 prices</v>
      </c>
      <c r="H45" s="26"/>
      <c r="I45" s="66"/>
      <c r="J45" s="107"/>
      <c r="K45" s="26">
        <f>Finance!K114</f>
        <v>0</v>
      </c>
      <c r="L45" s="26">
        <f>Finance!L114</f>
        <v>0</v>
      </c>
      <c r="M45" s="26">
        <f>Finance!M114</f>
        <v>0</v>
      </c>
      <c r="N45" s="26">
        <f>Finance!N114</f>
        <v>0</v>
      </c>
      <c r="O45" s="26">
        <f>Finance!O114</f>
        <v>0</v>
      </c>
      <c r="P45" s="26">
        <f>Finance!P114</f>
        <v>0</v>
      </c>
      <c r="Q45" s="26">
        <f>Finance!Q114</f>
        <v>0</v>
      </c>
      <c r="R45" s="26">
        <f>Finance!R114</f>
        <v>0</v>
      </c>
      <c r="S45" s="26">
        <f>Finance!S114</f>
        <v>0</v>
      </c>
      <c r="T45" s="26">
        <f>Finance!T114</f>
        <v>35.239199999999997</v>
      </c>
      <c r="U45" s="26">
        <f>Finance!U114</f>
        <v>22.768882400371663</v>
      </c>
      <c r="V45" s="26">
        <f>Finance!V114</f>
        <v>28.235042070987472</v>
      </c>
      <c r="W45" s="26">
        <f>Finance!W114</f>
        <v>35.223301228816325</v>
      </c>
      <c r="X45" s="26">
        <f>Finance!X114</f>
        <v>45.692174902673393</v>
      </c>
      <c r="Y45" s="26">
        <f>Finance!Y114</f>
        <v>54.807037665521364</v>
      </c>
      <c r="Z45" s="26">
        <f>Finance!Z114</f>
        <v>0</v>
      </c>
      <c r="AA45" s="26">
        <f>Finance!AA114</f>
        <v>0</v>
      </c>
      <c r="AB45" s="26">
        <f>Finance!AB114</f>
        <v>0</v>
      </c>
      <c r="AC45" s="26">
        <f>Finance!AC114</f>
        <v>0</v>
      </c>
      <c r="AD45" s="26">
        <f>Finance!AD114</f>
        <v>0</v>
      </c>
      <c r="AE45" s="26">
        <f>Finance!AE114</f>
        <v>0</v>
      </c>
      <c r="AF45" s="26">
        <f>Finance!AF114</f>
        <v>0</v>
      </c>
      <c r="AG45" s="26">
        <f>Finance!AG114</f>
        <v>0</v>
      </c>
      <c r="AH45" s="26">
        <f>Finance!AH114</f>
        <v>0</v>
      </c>
      <c r="AI45" s="26">
        <f>Finance!AI114</f>
        <v>0</v>
      </c>
      <c r="AJ45" s="26">
        <f>Finance!AJ114</f>
        <v>0</v>
      </c>
      <c r="AK45" s="26">
        <f>Finance!AK114</f>
        <v>0</v>
      </c>
      <c r="AL45" s="26">
        <f>Finance!AL114</f>
        <v>0</v>
      </c>
      <c r="AM45" s="26">
        <f>Finance!AM114</f>
        <v>0</v>
      </c>
      <c r="AN45" s="26">
        <f>Finance!AN114</f>
        <v>0</v>
      </c>
      <c r="AO45" s="26">
        <f>Finance!AO114</f>
        <v>0</v>
      </c>
      <c r="AP45" s="26">
        <f>Finance!AP114</f>
        <v>0</v>
      </c>
      <c r="AQ45" s="26">
        <f>Finance!AQ114</f>
        <v>0</v>
      </c>
      <c r="AR45" s="26">
        <f>Finance!AR114</f>
        <v>0</v>
      </c>
      <c r="AS45" s="26">
        <f>Finance!AS114</f>
        <v>0</v>
      </c>
      <c r="AT45" s="26">
        <f>Finance!AT114</f>
        <v>0</v>
      </c>
      <c r="AU45" s="26">
        <f>Finance!AU114</f>
        <v>0</v>
      </c>
      <c r="AV45" s="26">
        <f>Finance!AV114</f>
        <v>0</v>
      </c>
      <c r="AW45" s="26">
        <f>Finance!AW114</f>
        <v>0</v>
      </c>
      <c r="AX45" s="26">
        <f>Finance!AX114</f>
        <v>0</v>
      </c>
    </row>
    <row r="46" spans="1:50" s="185" customFormat="1" ht="15" customHeight="1">
      <c r="A46" s="183"/>
      <c r="B46" s="26"/>
      <c r="C46" s="26"/>
      <c r="D46" s="26"/>
      <c r="E46" s="107" t="s">
        <v>309</v>
      </c>
      <c r="F46" s="26"/>
      <c r="G46" s="16" t="str">
        <f>Inputs!$I$11</f>
        <v>£m 20/21 prices</v>
      </c>
      <c r="H46" s="26"/>
      <c r="I46" s="66"/>
      <c r="J46" s="107"/>
      <c r="K46" s="181">
        <f t="shared" ref="K46:AX46" si="12">SUM(K40:K45)</f>
        <v>0</v>
      </c>
      <c r="L46" s="181">
        <f t="shared" si="12"/>
        <v>0</v>
      </c>
      <c r="M46" s="181">
        <f t="shared" si="12"/>
        <v>0</v>
      </c>
      <c r="N46" s="181">
        <f t="shared" si="12"/>
        <v>0</v>
      </c>
      <c r="O46" s="181">
        <f t="shared" si="12"/>
        <v>0</v>
      </c>
      <c r="P46" s="181">
        <f t="shared" si="12"/>
        <v>0</v>
      </c>
      <c r="Q46" s="181">
        <f t="shared" si="12"/>
        <v>0</v>
      </c>
      <c r="R46" s="181">
        <f t="shared" si="12"/>
        <v>0</v>
      </c>
      <c r="S46" s="181">
        <f t="shared" si="12"/>
        <v>0</v>
      </c>
      <c r="T46" s="181">
        <f t="shared" si="12"/>
        <v>244.95640690109127</v>
      </c>
      <c r="U46" s="181">
        <f t="shared" si="12"/>
        <v>380.33061970684469</v>
      </c>
      <c r="V46" s="181">
        <f t="shared" si="12"/>
        <v>554.64119223504019</v>
      </c>
      <c r="W46" s="181">
        <f t="shared" si="12"/>
        <v>819.47080615148025</v>
      </c>
      <c r="X46" s="181">
        <f t="shared" si="12"/>
        <v>1047.1260702426928</v>
      </c>
      <c r="Y46" s="181">
        <f t="shared" si="12"/>
        <v>1179.1299382295888</v>
      </c>
      <c r="Z46" s="181">
        <f t="shared" si="12"/>
        <v>1211.010366492791</v>
      </c>
      <c r="AA46" s="181">
        <f t="shared" si="12"/>
        <v>0</v>
      </c>
      <c r="AB46" s="181">
        <f t="shared" si="12"/>
        <v>0</v>
      </c>
      <c r="AC46" s="181">
        <f t="shared" si="12"/>
        <v>0</v>
      </c>
      <c r="AD46" s="181">
        <f t="shared" si="12"/>
        <v>0</v>
      </c>
      <c r="AE46" s="181">
        <f t="shared" si="12"/>
        <v>0</v>
      </c>
      <c r="AF46" s="181">
        <f t="shared" si="12"/>
        <v>0</v>
      </c>
      <c r="AG46" s="181">
        <f t="shared" si="12"/>
        <v>0</v>
      </c>
      <c r="AH46" s="181">
        <f t="shared" si="12"/>
        <v>0</v>
      </c>
      <c r="AI46" s="181">
        <f t="shared" si="12"/>
        <v>0</v>
      </c>
      <c r="AJ46" s="181">
        <f t="shared" si="12"/>
        <v>0</v>
      </c>
      <c r="AK46" s="181">
        <f t="shared" si="12"/>
        <v>0</v>
      </c>
      <c r="AL46" s="181">
        <f t="shared" si="12"/>
        <v>0</v>
      </c>
      <c r="AM46" s="181">
        <f t="shared" si="12"/>
        <v>0</v>
      </c>
      <c r="AN46" s="181">
        <f t="shared" si="12"/>
        <v>0</v>
      </c>
      <c r="AO46" s="181">
        <f t="shared" si="12"/>
        <v>0</v>
      </c>
      <c r="AP46" s="181">
        <f t="shared" si="12"/>
        <v>0</v>
      </c>
      <c r="AQ46" s="181">
        <f t="shared" si="12"/>
        <v>0</v>
      </c>
      <c r="AR46" s="181">
        <f t="shared" si="12"/>
        <v>0</v>
      </c>
      <c r="AS46" s="181">
        <f t="shared" si="12"/>
        <v>0</v>
      </c>
      <c r="AT46" s="181">
        <f t="shared" si="12"/>
        <v>0</v>
      </c>
      <c r="AU46" s="181">
        <f t="shared" si="12"/>
        <v>0</v>
      </c>
      <c r="AV46" s="181">
        <f t="shared" si="12"/>
        <v>0</v>
      </c>
      <c r="AW46" s="181">
        <f t="shared" si="12"/>
        <v>0</v>
      </c>
      <c r="AX46" s="181">
        <f t="shared" si="12"/>
        <v>0</v>
      </c>
    </row>
    <row r="47" spans="1:50" s="185" customFormat="1" ht="15" customHeight="1">
      <c r="A47" s="183"/>
      <c r="B47" s="26"/>
      <c r="C47" s="26"/>
      <c r="D47" s="26"/>
      <c r="E47" s="107" t="s">
        <v>310</v>
      </c>
      <c r="F47" s="26"/>
      <c r="G47" s="16" t="str">
        <f>Inputs!$I$11</f>
        <v>£m 20/21 prices</v>
      </c>
      <c r="H47" s="26"/>
      <c r="I47" s="66"/>
      <c r="J47" s="107"/>
      <c r="K47" s="26">
        <f t="shared" ref="K47:AX47" si="13">-K46*K12</f>
        <v>0</v>
      </c>
      <c r="L47" s="26">
        <f t="shared" si="13"/>
        <v>0</v>
      </c>
      <c r="M47" s="26">
        <f t="shared" si="13"/>
        <v>0</v>
      </c>
      <c r="N47" s="26">
        <f t="shared" si="13"/>
        <v>0</v>
      </c>
      <c r="O47" s="26">
        <f t="shared" si="13"/>
        <v>0</v>
      </c>
      <c r="P47" s="26">
        <f t="shared" si="13"/>
        <v>0</v>
      </c>
      <c r="Q47" s="26">
        <f t="shared" si="13"/>
        <v>0</v>
      </c>
      <c r="R47" s="26">
        <f t="shared" si="13"/>
        <v>0</v>
      </c>
      <c r="S47" s="26">
        <f t="shared" si="13"/>
        <v>0</v>
      </c>
      <c r="T47" s="26">
        <f t="shared" si="13"/>
        <v>0</v>
      </c>
      <c r="U47" s="26">
        <f t="shared" si="13"/>
        <v>0</v>
      </c>
      <c r="V47" s="26">
        <f t="shared" si="13"/>
        <v>0</v>
      </c>
      <c r="W47" s="26">
        <f t="shared" si="13"/>
        <v>0</v>
      </c>
      <c r="X47" s="26">
        <f t="shared" si="13"/>
        <v>0</v>
      </c>
      <c r="Y47" s="26">
        <f t="shared" si="13"/>
        <v>0</v>
      </c>
      <c r="Z47" s="26">
        <f t="shared" si="13"/>
        <v>-1211.010366492791</v>
      </c>
      <c r="AA47" s="26">
        <f t="shared" si="13"/>
        <v>0</v>
      </c>
      <c r="AB47" s="26">
        <f t="shared" si="13"/>
        <v>0</v>
      </c>
      <c r="AC47" s="26">
        <f t="shared" si="13"/>
        <v>0</v>
      </c>
      <c r="AD47" s="26">
        <f t="shared" si="13"/>
        <v>0</v>
      </c>
      <c r="AE47" s="26">
        <f t="shared" si="13"/>
        <v>0</v>
      </c>
      <c r="AF47" s="26">
        <f t="shared" si="13"/>
        <v>0</v>
      </c>
      <c r="AG47" s="26">
        <f t="shared" si="13"/>
        <v>0</v>
      </c>
      <c r="AH47" s="26">
        <f t="shared" si="13"/>
        <v>0</v>
      </c>
      <c r="AI47" s="26">
        <f t="shared" si="13"/>
        <v>0</v>
      </c>
      <c r="AJ47" s="26">
        <f t="shared" si="13"/>
        <v>0</v>
      </c>
      <c r="AK47" s="26">
        <f t="shared" si="13"/>
        <v>0</v>
      </c>
      <c r="AL47" s="26">
        <f t="shared" si="13"/>
        <v>0</v>
      </c>
      <c r="AM47" s="26">
        <f t="shared" si="13"/>
        <v>0</v>
      </c>
      <c r="AN47" s="26">
        <f t="shared" si="13"/>
        <v>0</v>
      </c>
      <c r="AO47" s="26">
        <f t="shared" si="13"/>
        <v>0</v>
      </c>
      <c r="AP47" s="26">
        <f t="shared" si="13"/>
        <v>0</v>
      </c>
      <c r="AQ47" s="26">
        <f t="shared" si="13"/>
        <v>0</v>
      </c>
      <c r="AR47" s="26">
        <f t="shared" si="13"/>
        <v>0</v>
      </c>
      <c r="AS47" s="26">
        <f t="shared" si="13"/>
        <v>0</v>
      </c>
      <c r="AT47" s="26">
        <f t="shared" si="13"/>
        <v>0</v>
      </c>
      <c r="AU47" s="26">
        <f t="shared" si="13"/>
        <v>0</v>
      </c>
      <c r="AV47" s="26">
        <f t="shared" si="13"/>
        <v>0</v>
      </c>
      <c r="AW47" s="26">
        <f t="shared" si="13"/>
        <v>0</v>
      </c>
      <c r="AX47" s="26">
        <f t="shared" si="13"/>
        <v>0</v>
      </c>
    </row>
    <row r="48" spans="1:50" s="185" customFormat="1" ht="13">
      <c r="A48" s="183"/>
      <c r="B48" s="26"/>
      <c r="C48" s="26"/>
      <c r="D48" s="26"/>
      <c r="E48" s="182" t="s">
        <v>311</v>
      </c>
      <c r="F48" s="26"/>
      <c r="G48" s="16" t="str">
        <f>Inputs!$I$11</f>
        <v>£m 20/21 prices</v>
      </c>
      <c r="H48" s="26"/>
      <c r="I48" s="66"/>
      <c r="J48" s="107"/>
      <c r="K48" s="181">
        <f t="shared" ref="K48:AX48" si="14">SUM(K46:K47)</f>
        <v>0</v>
      </c>
      <c r="L48" s="181">
        <f t="shared" si="14"/>
        <v>0</v>
      </c>
      <c r="M48" s="181">
        <f t="shared" si="14"/>
        <v>0</v>
      </c>
      <c r="N48" s="181">
        <f t="shared" si="14"/>
        <v>0</v>
      </c>
      <c r="O48" s="181">
        <f t="shared" si="14"/>
        <v>0</v>
      </c>
      <c r="P48" s="181">
        <f t="shared" si="14"/>
        <v>0</v>
      </c>
      <c r="Q48" s="181">
        <f t="shared" si="14"/>
        <v>0</v>
      </c>
      <c r="R48" s="181">
        <f t="shared" si="14"/>
        <v>0</v>
      </c>
      <c r="S48" s="181">
        <f t="shared" si="14"/>
        <v>0</v>
      </c>
      <c r="T48" s="181">
        <f t="shared" si="14"/>
        <v>244.95640690109127</v>
      </c>
      <c r="U48" s="181">
        <f t="shared" si="14"/>
        <v>380.33061970684469</v>
      </c>
      <c r="V48" s="181">
        <f t="shared" si="14"/>
        <v>554.64119223504019</v>
      </c>
      <c r="W48" s="181">
        <f t="shared" si="14"/>
        <v>819.47080615148025</v>
      </c>
      <c r="X48" s="181">
        <f t="shared" si="14"/>
        <v>1047.1260702426928</v>
      </c>
      <c r="Y48" s="181">
        <f t="shared" si="14"/>
        <v>1179.1299382295888</v>
      </c>
      <c r="Z48" s="181">
        <f t="shared" si="14"/>
        <v>0</v>
      </c>
      <c r="AA48" s="181">
        <f t="shared" si="14"/>
        <v>0</v>
      </c>
      <c r="AB48" s="181">
        <f t="shared" si="14"/>
        <v>0</v>
      </c>
      <c r="AC48" s="181">
        <f t="shared" si="14"/>
        <v>0</v>
      </c>
      <c r="AD48" s="181">
        <f t="shared" si="14"/>
        <v>0</v>
      </c>
      <c r="AE48" s="181">
        <f t="shared" si="14"/>
        <v>0</v>
      </c>
      <c r="AF48" s="181">
        <f t="shared" si="14"/>
        <v>0</v>
      </c>
      <c r="AG48" s="181">
        <f t="shared" si="14"/>
        <v>0</v>
      </c>
      <c r="AH48" s="181">
        <f t="shared" si="14"/>
        <v>0</v>
      </c>
      <c r="AI48" s="181">
        <f t="shared" si="14"/>
        <v>0</v>
      </c>
      <c r="AJ48" s="181">
        <f t="shared" si="14"/>
        <v>0</v>
      </c>
      <c r="AK48" s="181">
        <f t="shared" si="14"/>
        <v>0</v>
      </c>
      <c r="AL48" s="181">
        <f t="shared" si="14"/>
        <v>0</v>
      </c>
      <c r="AM48" s="181">
        <f t="shared" si="14"/>
        <v>0</v>
      </c>
      <c r="AN48" s="181">
        <f t="shared" si="14"/>
        <v>0</v>
      </c>
      <c r="AO48" s="181">
        <f t="shared" si="14"/>
        <v>0</v>
      </c>
      <c r="AP48" s="181">
        <f t="shared" si="14"/>
        <v>0</v>
      </c>
      <c r="AQ48" s="181">
        <f t="shared" si="14"/>
        <v>0</v>
      </c>
      <c r="AR48" s="181">
        <f t="shared" si="14"/>
        <v>0</v>
      </c>
      <c r="AS48" s="181">
        <f t="shared" si="14"/>
        <v>0</v>
      </c>
      <c r="AT48" s="181">
        <f t="shared" si="14"/>
        <v>0</v>
      </c>
      <c r="AU48" s="181">
        <f t="shared" si="14"/>
        <v>0</v>
      </c>
      <c r="AV48" s="181">
        <f t="shared" si="14"/>
        <v>0</v>
      </c>
      <c r="AW48" s="181">
        <f t="shared" si="14"/>
        <v>0</v>
      </c>
      <c r="AX48" s="181">
        <f t="shared" si="14"/>
        <v>0</v>
      </c>
    </row>
    <row r="49" spans="1:52" ht="15" customHeight="1">
      <c r="A49" s="27"/>
      <c r="B49" s="26"/>
      <c r="C49" s="26"/>
      <c r="D49" s="26"/>
      <c r="E49" s="26"/>
      <c r="F49" s="26"/>
      <c r="G49" s="26"/>
      <c r="H49" s="26"/>
      <c r="I49" s="66"/>
      <c r="J49" s="107"/>
      <c r="K49" s="107"/>
      <c r="L49" s="107"/>
      <c r="M49" s="107"/>
      <c r="N49" s="107"/>
      <c r="O49" s="107"/>
      <c r="P49" s="107"/>
      <c r="Q49" s="107"/>
      <c r="R49" s="107"/>
      <c r="S49" s="26"/>
      <c r="T49" s="26"/>
      <c r="U49" s="26"/>
      <c r="V49" s="26"/>
      <c r="W49" s="26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Z49"/>
    </row>
    <row r="50" spans="1:52" ht="15" customHeight="1">
      <c r="A50" s="27"/>
      <c r="B50" s="26"/>
      <c r="C50" s="67" t="s">
        <v>312</v>
      </c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Z50"/>
    </row>
    <row r="51" spans="1:52" ht="15" customHeight="1">
      <c r="A51" s="27"/>
      <c r="B51" s="26"/>
      <c r="C51" s="25" t="s">
        <v>313</v>
      </c>
      <c r="D51" s="186"/>
      <c r="E51" s="186"/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P51" s="186"/>
      <c r="Q51" s="186"/>
      <c r="R51" s="186"/>
      <c r="S51" s="186"/>
      <c r="T51" s="186"/>
      <c r="U51" s="186"/>
      <c r="V51" s="186"/>
      <c r="W51" s="186"/>
      <c r="X51" s="186"/>
      <c r="Y51" s="186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186"/>
      <c r="AS51" s="186"/>
      <c r="AT51" s="186"/>
      <c r="AU51" s="186"/>
      <c r="AV51" s="186"/>
      <c r="AW51" s="186"/>
      <c r="AX51" s="186"/>
      <c r="AZ51"/>
    </row>
    <row r="52" spans="1:52" ht="15" customHeight="1">
      <c r="A52" s="27"/>
      <c r="B52" s="26"/>
      <c r="C52" s="26"/>
      <c r="D52" s="26"/>
      <c r="E52" s="26"/>
      <c r="F52" s="26"/>
      <c r="G52" s="26"/>
      <c r="H52" s="26"/>
      <c r="I52" s="66"/>
      <c r="J52" s="107"/>
      <c r="K52" s="107"/>
      <c r="L52" s="107"/>
      <c r="M52" s="107"/>
      <c r="N52" s="107"/>
      <c r="O52" s="107"/>
      <c r="P52" s="107"/>
      <c r="Q52" s="107"/>
      <c r="R52" s="107"/>
      <c r="S52" s="26"/>
      <c r="T52" s="26"/>
      <c r="U52" s="26"/>
      <c r="V52" s="26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8"/>
      <c r="AK52" s="108"/>
      <c r="AL52" s="108"/>
      <c r="AM52" s="108"/>
      <c r="AN52" s="108"/>
      <c r="AO52" s="108"/>
      <c r="AP52" s="108"/>
      <c r="AQ52" s="108"/>
      <c r="AR52" s="108"/>
      <c r="AS52" s="108"/>
      <c r="AT52" s="108"/>
      <c r="AU52" s="108"/>
      <c r="AV52" s="108"/>
      <c r="AW52" s="108"/>
      <c r="AX52" s="108"/>
      <c r="AZ52"/>
    </row>
    <row r="53" spans="1:52" ht="15" customHeight="1">
      <c r="A53" s="125"/>
      <c r="B53" s="26"/>
      <c r="C53" s="26"/>
      <c r="D53" s="26"/>
      <c r="E53" s="26" t="s">
        <v>314</v>
      </c>
      <c r="F53" s="26"/>
      <c r="G53" s="13" t="str">
        <f>Inputs!$I$11</f>
        <v>£m 20/21 prices</v>
      </c>
      <c r="H53" s="26"/>
      <c r="I53" s="66"/>
      <c r="J53" s="107"/>
      <c r="K53" s="26">
        <f t="shared" ref="K53:AX53" si="15">SUM(K41:K45)</f>
        <v>0</v>
      </c>
      <c r="L53" s="26">
        <f t="shared" si="15"/>
        <v>0</v>
      </c>
      <c r="M53" s="26">
        <f t="shared" si="15"/>
        <v>0</v>
      </c>
      <c r="N53" s="26">
        <f t="shared" si="15"/>
        <v>0</v>
      </c>
      <c r="O53" s="26">
        <f t="shared" si="15"/>
        <v>0</v>
      </c>
      <c r="P53" s="26">
        <f t="shared" si="15"/>
        <v>0</v>
      </c>
      <c r="Q53" s="26">
        <f t="shared" si="15"/>
        <v>0</v>
      </c>
      <c r="R53" s="26">
        <f t="shared" si="15"/>
        <v>0</v>
      </c>
      <c r="S53" s="26">
        <f t="shared" si="15"/>
        <v>0</v>
      </c>
      <c r="T53" s="26">
        <f t="shared" si="15"/>
        <v>244.95640690109127</v>
      </c>
      <c r="U53" s="26">
        <f t="shared" si="15"/>
        <v>135.37421280575344</v>
      </c>
      <c r="V53" s="26">
        <f t="shared" si="15"/>
        <v>174.31057252819559</v>
      </c>
      <c r="W53" s="26">
        <f t="shared" si="15"/>
        <v>264.82961391644</v>
      </c>
      <c r="X53" s="26">
        <f t="shared" si="15"/>
        <v>227.65526409121244</v>
      </c>
      <c r="Y53" s="26">
        <f t="shared" si="15"/>
        <v>132.0038679868959</v>
      </c>
      <c r="Z53" s="26">
        <f t="shared" si="15"/>
        <v>31.880428263202361</v>
      </c>
      <c r="AA53" s="26">
        <f t="shared" si="15"/>
        <v>0</v>
      </c>
      <c r="AB53" s="26">
        <f t="shared" si="15"/>
        <v>0</v>
      </c>
      <c r="AC53" s="26">
        <f t="shared" si="15"/>
        <v>0</v>
      </c>
      <c r="AD53" s="26">
        <f t="shared" si="15"/>
        <v>0</v>
      </c>
      <c r="AE53" s="26">
        <f t="shared" si="15"/>
        <v>0</v>
      </c>
      <c r="AF53" s="26">
        <f t="shared" si="15"/>
        <v>0</v>
      </c>
      <c r="AG53" s="26">
        <f t="shared" si="15"/>
        <v>0</v>
      </c>
      <c r="AH53" s="26">
        <f t="shared" si="15"/>
        <v>0</v>
      </c>
      <c r="AI53" s="26">
        <f t="shared" si="15"/>
        <v>0</v>
      </c>
      <c r="AJ53" s="26">
        <f t="shared" si="15"/>
        <v>0</v>
      </c>
      <c r="AK53" s="26">
        <f t="shared" si="15"/>
        <v>0</v>
      </c>
      <c r="AL53" s="26">
        <f t="shared" si="15"/>
        <v>0</v>
      </c>
      <c r="AM53" s="26">
        <f t="shared" si="15"/>
        <v>0</v>
      </c>
      <c r="AN53" s="26">
        <f t="shared" si="15"/>
        <v>0</v>
      </c>
      <c r="AO53" s="26">
        <f t="shared" si="15"/>
        <v>0</v>
      </c>
      <c r="AP53" s="26">
        <f t="shared" si="15"/>
        <v>0</v>
      </c>
      <c r="AQ53" s="26">
        <f t="shared" si="15"/>
        <v>0</v>
      </c>
      <c r="AR53" s="26">
        <f t="shared" si="15"/>
        <v>0</v>
      </c>
      <c r="AS53" s="26">
        <f t="shared" si="15"/>
        <v>0</v>
      </c>
      <c r="AT53" s="26">
        <f t="shared" si="15"/>
        <v>0</v>
      </c>
      <c r="AU53" s="26">
        <f t="shared" si="15"/>
        <v>0</v>
      </c>
      <c r="AV53" s="26">
        <f t="shared" si="15"/>
        <v>0</v>
      </c>
      <c r="AW53" s="26">
        <f t="shared" si="15"/>
        <v>0</v>
      </c>
      <c r="AX53" s="26">
        <f t="shared" si="15"/>
        <v>0</v>
      </c>
      <c r="AZ53"/>
    </row>
    <row r="54" spans="1:52" ht="15" customHeight="1">
      <c r="A54" s="125"/>
      <c r="B54" s="26"/>
      <c r="C54" s="26"/>
      <c r="D54" s="26"/>
      <c r="E54" s="26" t="s">
        <v>315</v>
      </c>
      <c r="F54" s="26"/>
      <c r="G54" s="13" t="str">
        <f>Inputs!$I$11</f>
        <v>£m 20/21 prices</v>
      </c>
      <c r="H54" s="26"/>
      <c r="I54" s="66"/>
      <c r="J54" s="107"/>
      <c r="K54" s="20">
        <v>0</v>
      </c>
      <c r="L54" s="20">
        <v>0</v>
      </c>
      <c r="M54" s="20">
        <v>0</v>
      </c>
      <c r="N54" s="20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244.95640690109127</v>
      </c>
      <c r="U54" s="26">
        <v>135.37421280575344</v>
      </c>
      <c r="V54" s="26">
        <v>174.31057252819559</v>
      </c>
      <c r="W54" s="20">
        <v>264.82961391644</v>
      </c>
      <c r="X54" s="20">
        <v>227.65526409121244</v>
      </c>
      <c r="Y54" s="20">
        <v>132.0038679868959</v>
      </c>
      <c r="Z54" s="20">
        <v>31.880428263202361</v>
      </c>
      <c r="AA54" s="20">
        <v>0</v>
      </c>
      <c r="AB54" s="20">
        <v>0</v>
      </c>
      <c r="AC54" s="20">
        <v>0</v>
      </c>
      <c r="AD54" s="20">
        <v>0</v>
      </c>
      <c r="AE54" s="20">
        <v>0</v>
      </c>
      <c r="AF54" s="20">
        <v>0</v>
      </c>
      <c r="AG54" s="20">
        <v>0</v>
      </c>
      <c r="AH54" s="20">
        <v>0</v>
      </c>
      <c r="AI54" s="20">
        <v>0</v>
      </c>
      <c r="AJ54" s="20">
        <v>0</v>
      </c>
      <c r="AK54" s="20">
        <v>0</v>
      </c>
      <c r="AL54" s="20">
        <v>0</v>
      </c>
      <c r="AM54" s="20">
        <v>0</v>
      </c>
      <c r="AN54" s="20">
        <v>0</v>
      </c>
      <c r="AO54" s="20">
        <v>0</v>
      </c>
      <c r="AP54" s="20">
        <v>0</v>
      </c>
      <c r="AQ54" s="20">
        <v>0</v>
      </c>
      <c r="AR54" s="20">
        <v>0</v>
      </c>
      <c r="AS54" s="20">
        <v>0</v>
      </c>
      <c r="AT54" s="20">
        <v>0</v>
      </c>
      <c r="AU54" s="20">
        <v>0</v>
      </c>
      <c r="AV54" s="20">
        <v>0</v>
      </c>
      <c r="AW54" s="20">
        <v>0</v>
      </c>
      <c r="AX54" s="20">
        <v>0</v>
      </c>
      <c r="AZ54"/>
    </row>
    <row r="55" spans="1:52" ht="15" customHeight="1">
      <c r="A55" s="125"/>
      <c r="B55" s="26"/>
      <c r="C55" s="26"/>
      <c r="D55" s="26"/>
      <c r="E55" s="26"/>
      <c r="F55" s="26"/>
      <c r="H55" s="26"/>
      <c r="I55" s="66"/>
      <c r="J55" s="107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13"/>
      <c r="AN55" s="113"/>
      <c r="AO55" s="113"/>
      <c r="AP55" s="113"/>
      <c r="AQ55" s="113"/>
      <c r="AR55" s="113"/>
      <c r="AS55" s="113"/>
      <c r="AT55" s="113"/>
      <c r="AU55" s="113"/>
      <c r="AV55" s="113"/>
      <c r="AW55" s="113"/>
      <c r="AX55" s="113"/>
      <c r="AZ55"/>
    </row>
    <row r="56" spans="1:52" s="189" customFormat="1" ht="15" customHeight="1">
      <c r="A56" s="187"/>
      <c r="B56" s="123"/>
      <c r="C56" s="123"/>
      <c r="D56" s="123"/>
      <c r="E56" s="123" t="s">
        <v>316</v>
      </c>
      <c r="F56" s="123"/>
      <c r="G56" s="13" t="str">
        <f>Inputs!$I$11</f>
        <v>£m 20/21 prices</v>
      </c>
      <c r="H56" s="123"/>
      <c r="I56" s="188"/>
      <c r="J56" s="36"/>
      <c r="K56" s="123">
        <f t="shared" ref="K56:AX56" si="16">ABS(K53-K54)</f>
        <v>0</v>
      </c>
      <c r="L56" s="123">
        <f t="shared" si="16"/>
        <v>0</v>
      </c>
      <c r="M56" s="123">
        <f t="shared" si="16"/>
        <v>0</v>
      </c>
      <c r="N56" s="123">
        <f t="shared" si="16"/>
        <v>0</v>
      </c>
      <c r="O56" s="123">
        <f t="shared" si="16"/>
        <v>0</v>
      </c>
      <c r="P56" s="123">
        <f t="shared" si="16"/>
        <v>0</v>
      </c>
      <c r="Q56" s="123">
        <f t="shared" si="16"/>
        <v>0</v>
      </c>
      <c r="R56" s="123">
        <f t="shared" si="16"/>
        <v>0</v>
      </c>
      <c r="S56" s="123">
        <f t="shared" si="16"/>
        <v>0</v>
      </c>
      <c r="T56" s="123">
        <f t="shared" si="16"/>
        <v>0</v>
      </c>
      <c r="U56" s="123">
        <f t="shared" si="16"/>
        <v>0</v>
      </c>
      <c r="V56" s="123">
        <f t="shared" si="16"/>
        <v>0</v>
      </c>
      <c r="W56" s="123">
        <f t="shared" si="16"/>
        <v>0</v>
      </c>
      <c r="X56" s="123">
        <f t="shared" si="16"/>
        <v>0</v>
      </c>
      <c r="Y56" s="123">
        <f t="shared" si="16"/>
        <v>0</v>
      </c>
      <c r="Z56" s="123">
        <f t="shared" si="16"/>
        <v>0</v>
      </c>
      <c r="AA56" s="123">
        <f t="shared" si="16"/>
        <v>0</v>
      </c>
      <c r="AB56" s="123">
        <f t="shared" si="16"/>
        <v>0</v>
      </c>
      <c r="AC56" s="123">
        <f t="shared" si="16"/>
        <v>0</v>
      </c>
      <c r="AD56" s="123">
        <f t="shared" si="16"/>
        <v>0</v>
      </c>
      <c r="AE56" s="123">
        <f t="shared" si="16"/>
        <v>0</v>
      </c>
      <c r="AF56" s="123">
        <f t="shared" si="16"/>
        <v>0</v>
      </c>
      <c r="AG56" s="123">
        <f t="shared" si="16"/>
        <v>0</v>
      </c>
      <c r="AH56" s="123">
        <f t="shared" si="16"/>
        <v>0</v>
      </c>
      <c r="AI56" s="123">
        <f t="shared" si="16"/>
        <v>0</v>
      </c>
      <c r="AJ56" s="123">
        <f t="shared" si="16"/>
        <v>0</v>
      </c>
      <c r="AK56" s="123">
        <f t="shared" si="16"/>
        <v>0</v>
      </c>
      <c r="AL56" s="123">
        <f t="shared" si="16"/>
        <v>0</v>
      </c>
      <c r="AM56" s="123">
        <f t="shared" si="16"/>
        <v>0</v>
      </c>
      <c r="AN56" s="123">
        <f t="shared" si="16"/>
        <v>0</v>
      </c>
      <c r="AO56" s="123">
        <f t="shared" si="16"/>
        <v>0</v>
      </c>
      <c r="AP56" s="123">
        <f t="shared" si="16"/>
        <v>0</v>
      </c>
      <c r="AQ56" s="123">
        <f t="shared" si="16"/>
        <v>0</v>
      </c>
      <c r="AR56" s="123">
        <f t="shared" si="16"/>
        <v>0</v>
      </c>
      <c r="AS56" s="123">
        <f t="shared" si="16"/>
        <v>0</v>
      </c>
      <c r="AT56" s="123">
        <f t="shared" si="16"/>
        <v>0</v>
      </c>
      <c r="AU56" s="123">
        <f t="shared" si="16"/>
        <v>0</v>
      </c>
      <c r="AV56" s="123">
        <f t="shared" si="16"/>
        <v>0</v>
      </c>
      <c r="AW56" s="123">
        <f t="shared" si="16"/>
        <v>0</v>
      </c>
      <c r="AX56" s="123">
        <f t="shared" si="16"/>
        <v>0</v>
      </c>
    </row>
    <row r="57" spans="1:52" s="189" customFormat="1" ht="15" customHeight="1">
      <c r="A57" s="190"/>
      <c r="B57" s="123"/>
      <c r="C57" s="123"/>
      <c r="D57" s="123"/>
      <c r="E57" s="123" t="s">
        <v>317</v>
      </c>
      <c r="F57" s="123"/>
      <c r="G57" s="123"/>
      <c r="H57" s="123"/>
      <c r="I57" s="191" t="str">
        <f>IF(SUM(K56:AX56)&lt;0.000001,"OK","Copy-Paste")</f>
        <v>OK</v>
      </c>
      <c r="J57" s="36"/>
      <c r="K57" s="36"/>
      <c r="L57" s="36"/>
      <c r="M57" s="36"/>
      <c r="N57" s="36"/>
      <c r="O57" s="36"/>
      <c r="P57" s="36"/>
      <c r="Q57" s="36"/>
      <c r="R57" s="36"/>
      <c r="S57" s="123"/>
      <c r="T57" s="123"/>
      <c r="U57" s="123"/>
      <c r="V57" s="123"/>
      <c r="W57" s="123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</row>
    <row r="58" spans="1:52" ht="15" customHeight="1">
      <c r="A58" s="27"/>
      <c r="B58" s="26"/>
      <c r="C58" s="26"/>
      <c r="D58" s="26"/>
      <c r="E58" s="26"/>
      <c r="F58" s="26"/>
      <c r="G58" s="26"/>
      <c r="H58" s="26"/>
      <c r="I58" s="66"/>
      <c r="J58" s="107"/>
      <c r="K58" s="107"/>
      <c r="L58" s="107"/>
      <c r="M58" s="107"/>
      <c r="N58" s="107"/>
      <c r="O58" s="107"/>
      <c r="P58" s="107"/>
      <c r="Q58" s="107"/>
      <c r="R58" s="107"/>
      <c r="S58" s="26"/>
      <c r="T58" s="26"/>
      <c r="U58" s="26"/>
      <c r="V58" s="26"/>
      <c r="W58" s="26"/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08"/>
      <c r="AK58" s="108"/>
      <c r="AL58" s="108"/>
      <c r="AM58" s="108"/>
      <c r="AN58" s="108"/>
      <c r="AO58" s="108"/>
      <c r="AP58" s="108"/>
      <c r="AQ58" s="108"/>
      <c r="AR58" s="108"/>
      <c r="AS58" s="108"/>
      <c r="AT58" s="108"/>
      <c r="AU58" s="108"/>
      <c r="AV58" s="108"/>
      <c r="AW58" s="108"/>
      <c r="AX58" s="108"/>
      <c r="AZ58"/>
    </row>
    <row r="59" spans="1:52" ht="15" customHeight="1">
      <c r="A59" s="26"/>
      <c r="B59" s="14" t="s">
        <v>47</v>
      </c>
      <c r="C59" s="58"/>
      <c r="D59" s="58"/>
      <c r="E59" s="58"/>
      <c r="F59" s="59"/>
      <c r="G59" s="59"/>
      <c r="H59" s="59"/>
      <c r="I59" s="178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Z59"/>
    </row>
    <row r="60" spans="1:52" ht="15" customHeight="1">
      <c r="K60" s="1"/>
      <c r="AZ60"/>
    </row>
    <row r="61" spans="1:52" ht="0" hidden="1" customHeight="1"/>
    <row r="62" spans="1:52" ht="0" hidden="1" customHeight="1"/>
    <row r="63" spans="1:52" ht="0" hidden="1" customHeight="1"/>
    <row r="64" spans="1:52" ht="0" hidden="1" customHeight="1"/>
  </sheetData>
  <sheetProtection sheet="1" objects="1" scenarios="1"/>
  <conditionalFormatting sqref="I57">
    <cfRule type="cellIs" dxfId="6" priority="1" stopIfTrue="1" operator="equal">
      <formula>"Copy-Paste"</formula>
    </cfRule>
  </conditionalFormatting>
  <pageMargins left="0.23622047244094502" right="0.23622047244094502" top="0.74803149606299213" bottom="0.74803149606299213" header="0.31496062992126012" footer="0.31496062992126012"/>
  <pageSetup paperSize="0" fitToHeight="0" orientation="landscape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C0DA"/>
    <pageSetUpPr fitToPage="1"/>
  </sheetPr>
  <dimension ref="A1:AZ160"/>
  <sheetViews>
    <sheetView workbookViewId="0"/>
  </sheetViews>
  <sheetFormatPr defaultColWidth="0" defaultRowHeight="0" customHeight="1" zeroHeight="1"/>
  <cols>
    <col min="1" max="4" width="2.59765625" style="13" customWidth="1"/>
    <col min="5" max="5" width="50.59765625" style="13" customWidth="1"/>
    <col min="6" max="6" width="1.59765625" style="13" customWidth="1"/>
    <col min="7" max="7" width="15.59765625" style="13" customWidth="1"/>
    <col min="8" max="8" width="10.69921875" style="13" bestFit="1" customWidth="1"/>
    <col min="9" max="9" width="10.59765625" style="192" customWidth="1"/>
    <col min="10" max="10" width="1.59765625" style="13" customWidth="1"/>
    <col min="11" max="44" width="10.59765625" style="13" customWidth="1"/>
    <col min="45" max="50" width="10.69921875" style="13" customWidth="1"/>
    <col min="51" max="51" width="3.09765625" customWidth="1"/>
    <col min="52" max="52" width="9.09765625" hidden="1" customWidth="1"/>
    <col min="53" max="16384" width="9.09765625" hidden="1"/>
  </cols>
  <sheetData>
    <row r="1" spans="1:50" ht="14.5">
      <c r="A1" s="52" t="s">
        <v>28</v>
      </c>
      <c r="B1" s="53"/>
      <c r="C1" s="53"/>
      <c r="D1" s="53"/>
      <c r="E1" s="53"/>
      <c r="F1" s="53"/>
      <c r="G1" s="53"/>
      <c r="H1" s="53" t="s">
        <v>101</v>
      </c>
      <c r="I1" s="176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</row>
    <row r="2" spans="1:50" ht="15" customHeight="1">
      <c r="A2" s="53"/>
      <c r="B2" s="53"/>
      <c r="C2" s="53"/>
      <c r="D2" s="53"/>
      <c r="E2" s="55" t="s">
        <v>102</v>
      </c>
      <c r="F2" s="55"/>
      <c r="G2" s="55" t="s">
        <v>103</v>
      </c>
      <c r="H2" s="55" t="s">
        <v>104</v>
      </c>
      <c r="I2" s="56" t="s">
        <v>105</v>
      </c>
      <c r="J2" s="57"/>
      <c r="K2" s="55" t="s">
        <v>106</v>
      </c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3"/>
      <c r="AT2" s="53"/>
      <c r="AU2" s="53"/>
      <c r="AV2" s="53"/>
      <c r="AW2" s="53"/>
      <c r="AX2" s="53"/>
    </row>
    <row r="3" spans="1:50" ht="15" customHeight="1">
      <c r="A3" s="53"/>
      <c r="B3" s="53"/>
      <c r="C3" s="53"/>
      <c r="D3" s="53"/>
      <c r="E3" s="69" t="s">
        <v>119</v>
      </c>
      <c r="F3" s="55"/>
      <c r="G3" s="55"/>
      <c r="H3" s="55"/>
      <c r="I3" s="55"/>
      <c r="J3" s="57"/>
      <c r="K3" s="71">
        <f>Inputs!K17</f>
        <v>41275</v>
      </c>
      <c r="L3" s="72">
        <f t="shared" ref="L3:AX3" si="0">+K4+1</f>
        <v>41640</v>
      </c>
      <c r="M3" s="72">
        <f t="shared" si="0"/>
        <v>42005</v>
      </c>
      <c r="N3" s="72">
        <f t="shared" si="0"/>
        <v>42370</v>
      </c>
      <c r="O3" s="72">
        <f t="shared" si="0"/>
        <v>42736</v>
      </c>
      <c r="P3" s="72">
        <f t="shared" si="0"/>
        <v>43101</v>
      </c>
      <c r="Q3" s="72">
        <f t="shared" si="0"/>
        <v>43466</v>
      </c>
      <c r="R3" s="72">
        <f t="shared" si="0"/>
        <v>43831</v>
      </c>
      <c r="S3" s="72">
        <f t="shared" si="0"/>
        <v>44197</v>
      </c>
      <c r="T3" s="72">
        <f t="shared" si="0"/>
        <v>44562</v>
      </c>
      <c r="U3" s="72">
        <f t="shared" si="0"/>
        <v>44927</v>
      </c>
      <c r="V3" s="72">
        <f t="shared" si="0"/>
        <v>45292</v>
      </c>
      <c r="W3" s="72">
        <f t="shared" si="0"/>
        <v>45658</v>
      </c>
      <c r="X3" s="72">
        <f t="shared" si="0"/>
        <v>46023</v>
      </c>
      <c r="Y3" s="72">
        <f t="shared" si="0"/>
        <v>46388</v>
      </c>
      <c r="Z3" s="72">
        <f t="shared" si="0"/>
        <v>46753</v>
      </c>
      <c r="AA3" s="72">
        <f t="shared" si="0"/>
        <v>47119</v>
      </c>
      <c r="AB3" s="72">
        <f t="shared" si="0"/>
        <v>47484</v>
      </c>
      <c r="AC3" s="72">
        <f t="shared" si="0"/>
        <v>47849</v>
      </c>
      <c r="AD3" s="72">
        <f t="shared" si="0"/>
        <v>48214</v>
      </c>
      <c r="AE3" s="72">
        <f t="shared" si="0"/>
        <v>48580</v>
      </c>
      <c r="AF3" s="72">
        <f t="shared" si="0"/>
        <v>48945</v>
      </c>
      <c r="AG3" s="72">
        <f t="shared" si="0"/>
        <v>49310</v>
      </c>
      <c r="AH3" s="72">
        <f t="shared" si="0"/>
        <v>49675</v>
      </c>
      <c r="AI3" s="72">
        <f t="shared" si="0"/>
        <v>50041</v>
      </c>
      <c r="AJ3" s="72">
        <f t="shared" si="0"/>
        <v>50406</v>
      </c>
      <c r="AK3" s="72">
        <f t="shared" si="0"/>
        <v>50771</v>
      </c>
      <c r="AL3" s="72">
        <f t="shared" si="0"/>
        <v>51136</v>
      </c>
      <c r="AM3" s="72">
        <f t="shared" si="0"/>
        <v>51502</v>
      </c>
      <c r="AN3" s="72">
        <f t="shared" si="0"/>
        <v>51867</v>
      </c>
      <c r="AO3" s="72">
        <f t="shared" si="0"/>
        <v>52232</v>
      </c>
      <c r="AP3" s="72">
        <f t="shared" si="0"/>
        <v>52597</v>
      </c>
      <c r="AQ3" s="72">
        <f t="shared" si="0"/>
        <v>52963</v>
      </c>
      <c r="AR3" s="72">
        <f t="shared" si="0"/>
        <v>53328</v>
      </c>
      <c r="AS3" s="72">
        <f t="shared" si="0"/>
        <v>53693</v>
      </c>
      <c r="AT3" s="72">
        <f t="shared" si="0"/>
        <v>54058</v>
      </c>
      <c r="AU3" s="72">
        <f t="shared" si="0"/>
        <v>54424</v>
      </c>
      <c r="AV3" s="72">
        <f t="shared" si="0"/>
        <v>54789</v>
      </c>
      <c r="AW3" s="72">
        <f t="shared" si="0"/>
        <v>55154</v>
      </c>
      <c r="AX3" s="72">
        <f t="shared" si="0"/>
        <v>55519</v>
      </c>
    </row>
    <row r="4" spans="1:50" ht="15" customHeight="1">
      <c r="A4" s="69"/>
      <c r="B4" s="69"/>
      <c r="C4" s="69"/>
      <c r="D4" s="69"/>
      <c r="E4" s="69" t="s">
        <v>120</v>
      </c>
      <c r="F4" s="69"/>
      <c r="G4" s="69"/>
      <c r="H4" s="69"/>
      <c r="I4" s="177"/>
      <c r="J4" s="69"/>
      <c r="K4" s="71">
        <f>Inputs!K18</f>
        <v>41639</v>
      </c>
      <c r="L4" s="72">
        <f t="shared" ref="L4:AX4" si="1">DATE(YEAR(K4) + 1, MONTH(K4), DAY(K4))</f>
        <v>42004</v>
      </c>
      <c r="M4" s="72">
        <f t="shared" si="1"/>
        <v>42369</v>
      </c>
      <c r="N4" s="72">
        <f t="shared" si="1"/>
        <v>42735</v>
      </c>
      <c r="O4" s="72">
        <f t="shared" si="1"/>
        <v>43100</v>
      </c>
      <c r="P4" s="72">
        <f t="shared" si="1"/>
        <v>43465</v>
      </c>
      <c r="Q4" s="72">
        <f t="shared" si="1"/>
        <v>43830</v>
      </c>
      <c r="R4" s="72">
        <f t="shared" si="1"/>
        <v>44196</v>
      </c>
      <c r="S4" s="72">
        <f t="shared" si="1"/>
        <v>44561</v>
      </c>
      <c r="T4" s="72">
        <f t="shared" si="1"/>
        <v>44926</v>
      </c>
      <c r="U4" s="72">
        <f t="shared" si="1"/>
        <v>45291</v>
      </c>
      <c r="V4" s="72">
        <f t="shared" si="1"/>
        <v>45657</v>
      </c>
      <c r="W4" s="72">
        <f t="shared" si="1"/>
        <v>46022</v>
      </c>
      <c r="X4" s="72">
        <f t="shared" si="1"/>
        <v>46387</v>
      </c>
      <c r="Y4" s="72">
        <f t="shared" si="1"/>
        <v>46752</v>
      </c>
      <c r="Z4" s="72">
        <f t="shared" si="1"/>
        <v>47118</v>
      </c>
      <c r="AA4" s="72">
        <f t="shared" si="1"/>
        <v>47483</v>
      </c>
      <c r="AB4" s="72">
        <f t="shared" si="1"/>
        <v>47848</v>
      </c>
      <c r="AC4" s="72">
        <f t="shared" si="1"/>
        <v>48213</v>
      </c>
      <c r="AD4" s="72">
        <f t="shared" si="1"/>
        <v>48579</v>
      </c>
      <c r="AE4" s="72">
        <f t="shared" si="1"/>
        <v>48944</v>
      </c>
      <c r="AF4" s="72">
        <f t="shared" si="1"/>
        <v>49309</v>
      </c>
      <c r="AG4" s="72">
        <f t="shared" si="1"/>
        <v>49674</v>
      </c>
      <c r="AH4" s="72">
        <f t="shared" si="1"/>
        <v>50040</v>
      </c>
      <c r="AI4" s="72">
        <f t="shared" si="1"/>
        <v>50405</v>
      </c>
      <c r="AJ4" s="72">
        <f t="shared" si="1"/>
        <v>50770</v>
      </c>
      <c r="AK4" s="72">
        <f t="shared" si="1"/>
        <v>51135</v>
      </c>
      <c r="AL4" s="72">
        <f t="shared" si="1"/>
        <v>51501</v>
      </c>
      <c r="AM4" s="72">
        <f t="shared" si="1"/>
        <v>51866</v>
      </c>
      <c r="AN4" s="72">
        <f t="shared" si="1"/>
        <v>52231</v>
      </c>
      <c r="AO4" s="72">
        <f t="shared" si="1"/>
        <v>52596</v>
      </c>
      <c r="AP4" s="72">
        <f t="shared" si="1"/>
        <v>52962</v>
      </c>
      <c r="AQ4" s="72">
        <f t="shared" si="1"/>
        <v>53327</v>
      </c>
      <c r="AR4" s="72">
        <f t="shared" si="1"/>
        <v>53692</v>
      </c>
      <c r="AS4" s="72">
        <f t="shared" si="1"/>
        <v>54057</v>
      </c>
      <c r="AT4" s="72">
        <f t="shared" si="1"/>
        <v>54423</v>
      </c>
      <c r="AU4" s="72">
        <f t="shared" si="1"/>
        <v>54788</v>
      </c>
      <c r="AV4" s="72">
        <f t="shared" si="1"/>
        <v>55153</v>
      </c>
      <c r="AW4" s="72">
        <f t="shared" si="1"/>
        <v>55518</v>
      </c>
      <c r="AX4" s="72">
        <f t="shared" si="1"/>
        <v>55884</v>
      </c>
    </row>
    <row r="5" spans="1:50" ht="15" customHeight="1">
      <c r="A5" s="26"/>
      <c r="B5" s="26"/>
      <c r="C5" s="26"/>
      <c r="D5" s="26"/>
      <c r="E5" s="26"/>
      <c r="F5" s="26"/>
      <c r="G5" s="26"/>
      <c r="H5" s="26"/>
      <c r="I5" s="66"/>
      <c r="J5" s="107"/>
      <c r="K5" s="107"/>
      <c r="L5" s="107"/>
      <c r="M5" s="107"/>
      <c r="N5" s="107"/>
      <c r="O5" s="107"/>
      <c r="P5" s="107"/>
      <c r="Q5" s="107"/>
      <c r="R5" s="107"/>
      <c r="S5" s="26"/>
      <c r="T5" s="26"/>
      <c r="U5" s="26"/>
      <c r="V5" s="26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</row>
    <row r="6" spans="1:50" ht="15" customHeight="1">
      <c r="A6" s="26"/>
      <c r="B6" s="14" t="s">
        <v>293</v>
      </c>
      <c r="C6" s="58"/>
      <c r="D6" s="58"/>
      <c r="E6" s="58"/>
      <c r="F6" s="59"/>
      <c r="G6" s="59"/>
      <c r="H6" s="59"/>
      <c r="I6" s="178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</row>
    <row r="7" spans="1:50" ht="15" customHeight="1">
      <c r="A7" s="26"/>
      <c r="B7" s="26"/>
      <c r="C7" s="26"/>
      <c r="D7" s="26"/>
      <c r="E7" s="26"/>
      <c r="F7" s="26"/>
      <c r="G7" s="26"/>
      <c r="H7" s="26"/>
      <c r="I7" s="66"/>
      <c r="J7" s="107"/>
      <c r="K7" s="107"/>
      <c r="L7" s="107"/>
      <c r="M7" s="107"/>
      <c r="N7" s="107"/>
      <c r="O7" s="107"/>
      <c r="P7" s="107"/>
      <c r="Q7" s="107"/>
      <c r="R7" s="107"/>
      <c r="S7" s="26"/>
      <c r="T7" s="26"/>
      <c r="U7" s="26"/>
      <c r="V7" s="26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</row>
    <row r="8" spans="1:50" ht="15" customHeight="1">
      <c r="A8" s="16"/>
      <c r="B8" s="16"/>
      <c r="C8" s="16"/>
      <c r="D8" s="16"/>
      <c r="E8" s="16" t="s">
        <v>248</v>
      </c>
      <c r="F8" s="16"/>
      <c r="G8" s="16" t="s">
        <v>247</v>
      </c>
      <c r="H8" s="16"/>
      <c r="I8" s="120"/>
      <c r="J8" s="16"/>
      <c r="K8" s="19">
        <f>Inputs!K161</f>
        <v>0</v>
      </c>
      <c r="L8" s="19">
        <f>Inputs!L161</f>
        <v>0</v>
      </c>
      <c r="M8" s="19">
        <f>Inputs!M161</f>
        <v>0</v>
      </c>
      <c r="N8" s="19">
        <f>Inputs!N161</f>
        <v>0</v>
      </c>
      <c r="O8" s="19">
        <f>Inputs!O161</f>
        <v>0</v>
      </c>
      <c r="P8" s="19">
        <f>Inputs!P161</f>
        <v>0</v>
      </c>
      <c r="Q8" s="19">
        <f>Inputs!Q161</f>
        <v>0</v>
      </c>
      <c r="R8" s="19">
        <f>Inputs!R161</f>
        <v>0</v>
      </c>
      <c r="S8" s="19">
        <f>Inputs!S161</f>
        <v>0</v>
      </c>
      <c r="T8" s="19">
        <f>Inputs!T161</f>
        <v>0</v>
      </c>
      <c r="U8" s="19">
        <f>Inputs!U161</f>
        <v>0</v>
      </c>
      <c r="V8" s="19">
        <f>Inputs!V161</f>
        <v>0</v>
      </c>
      <c r="W8" s="19">
        <f>Inputs!W161</f>
        <v>0</v>
      </c>
      <c r="X8" s="19">
        <f>Inputs!X161</f>
        <v>0</v>
      </c>
      <c r="Y8" s="19">
        <f>Inputs!Y161</f>
        <v>0</v>
      </c>
      <c r="Z8" s="19">
        <f>Inputs!Z161</f>
        <v>0</v>
      </c>
      <c r="AA8" s="19">
        <f>Inputs!AA161</f>
        <v>0</v>
      </c>
      <c r="AB8" s="19">
        <f>Inputs!AB161</f>
        <v>0</v>
      </c>
      <c r="AC8" s="19">
        <f>Inputs!AC161</f>
        <v>0</v>
      </c>
      <c r="AD8" s="19">
        <f>Inputs!AD161</f>
        <v>0</v>
      </c>
      <c r="AE8" s="19">
        <f>Inputs!AE161</f>
        <v>0</v>
      </c>
      <c r="AF8" s="19">
        <f>Inputs!AF161</f>
        <v>0</v>
      </c>
      <c r="AG8" s="19">
        <f>Inputs!AG161</f>
        <v>0</v>
      </c>
      <c r="AH8" s="19">
        <f>Inputs!AH161</f>
        <v>0</v>
      </c>
      <c r="AI8" s="19">
        <f>Inputs!AI161</f>
        <v>0</v>
      </c>
      <c r="AJ8" s="19">
        <f>Inputs!AJ161</f>
        <v>0</v>
      </c>
      <c r="AK8" s="19">
        <f>Inputs!AK161</f>
        <v>0</v>
      </c>
      <c r="AL8" s="19">
        <f>Inputs!AL161</f>
        <v>0</v>
      </c>
      <c r="AM8" s="19">
        <f>Inputs!AM161</f>
        <v>0</v>
      </c>
      <c r="AN8" s="19">
        <f>Inputs!AN161</f>
        <v>0</v>
      </c>
      <c r="AO8" s="19">
        <f>Inputs!AO161</f>
        <v>0</v>
      </c>
      <c r="AP8" s="19">
        <f>Inputs!AP161</f>
        <v>0</v>
      </c>
      <c r="AQ8" s="19">
        <f>Inputs!AQ161</f>
        <v>0</v>
      </c>
      <c r="AR8" s="19">
        <f>Inputs!AR161</f>
        <v>0</v>
      </c>
      <c r="AS8" s="19">
        <f>Inputs!AS161</f>
        <v>0</v>
      </c>
      <c r="AT8" s="19">
        <f>Inputs!AT161</f>
        <v>0</v>
      </c>
      <c r="AU8" s="19">
        <f>Inputs!AU161</f>
        <v>0</v>
      </c>
      <c r="AV8" s="19">
        <f>Inputs!AV161</f>
        <v>0</v>
      </c>
      <c r="AW8" s="19">
        <f>Inputs!AW161</f>
        <v>0</v>
      </c>
      <c r="AX8" s="19">
        <f>Inputs!AX161</f>
        <v>0</v>
      </c>
    </row>
    <row r="9" spans="1:50" ht="15" customHeight="1">
      <c r="A9" s="26"/>
      <c r="B9" s="26"/>
      <c r="C9" s="26"/>
      <c r="D9" s="26"/>
      <c r="E9" s="16" t="s">
        <v>249</v>
      </c>
      <c r="F9" s="26"/>
      <c r="G9" s="26" t="s">
        <v>247</v>
      </c>
      <c r="H9" s="26"/>
      <c r="I9" s="66"/>
      <c r="J9" s="107"/>
      <c r="K9" s="19">
        <f>Inputs!K162</f>
        <v>0</v>
      </c>
      <c r="L9" s="19">
        <f>Inputs!L162</f>
        <v>0</v>
      </c>
      <c r="M9" s="19">
        <f>Inputs!M162</f>
        <v>0</v>
      </c>
      <c r="N9" s="19">
        <f>Inputs!N162</f>
        <v>0</v>
      </c>
      <c r="O9" s="19">
        <f>Inputs!O162</f>
        <v>0</v>
      </c>
      <c r="P9" s="19">
        <f>Inputs!P162</f>
        <v>0</v>
      </c>
      <c r="Q9" s="19">
        <f>Inputs!Q162</f>
        <v>0</v>
      </c>
      <c r="R9" s="19">
        <f>Inputs!R162</f>
        <v>0</v>
      </c>
      <c r="S9" s="19">
        <f>Inputs!S162</f>
        <v>0</v>
      </c>
      <c r="T9" s="19">
        <f>Inputs!T162</f>
        <v>0</v>
      </c>
      <c r="U9" s="19">
        <f>Inputs!U162</f>
        <v>0</v>
      </c>
      <c r="V9" s="19">
        <f>Inputs!V162</f>
        <v>0</v>
      </c>
      <c r="W9" s="19">
        <f>Inputs!W162</f>
        <v>0</v>
      </c>
      <c r="X9" s="19">
        <f>Inputs!X162</f>
        <v>0</v>
      </c>
      <c r="Y9" s="19">
        <f>Inputs!Y162</f>
        <v>0</v>
      </c>
      <c r="Z9" s="19">
        <f>Inputs!Z162</f>
        <v>0.75136612021857918</v>
      </c>
      <c r="AA9" s="19">
        <f>Inputs!AA162</f>
        <v>1</v>
      </c>
      <c r="AB9" s="19">
        <f>Inputs!AB162</f>
        <v>1</v>
      </c>
      <c r="AC9" s="19">
        <f>Inputs!AC162</f>
        <v>1</v>
      </c>
      <c r="AD9" s="19">
        <f>Inputs!AD162</f>
        <v>1</v>
      </c>
      <c r="AE9" s="19">
        <f>Inputs!AE162</f>
        <v>1</v>
      </c>
      <c r="AF9" s="19">
        <f>Inputs!AF162</f>
        <v>1</v>
      </c>
      <c r="AG9" s="19">
        <f>Inputs!AG162</f>
        <v>1</v>
      </c>
      <c r="AH9" s="19">
        <f>Inputs!AH162</f>
        <v>1</v>
      </c>
      <c r="AI9" s="19">
        <f>Inputs!AI162</f>
        <v>1</v>
      </c>
      <c r="AJ9" s="19">
        <f>Inputs!AJ162</f>
        <v>1</v>
      </c>
      <c r="AK9" s="19">
        <f>Inputs!AK162</f>
        <v>1</v>
      </c>
      <c r="AL9" s="19">
        <f>Inputs!AL162</f>
        <v>1</v>
      </c>
      <c r="AM9" s="19">
        <f>Inputs!AM162</f>
        <v>1</v>
      </c>
      <c r="AN9" s="19">
        <f>Inputs!AN162</f>
        <v>1</v>
      </c>
      <c r="AO9" s="19">
        <f>Inputs!AO162</f>
        <v>1</v>
      </c>
      <c r="AP9" s="19">
        <f>Inputs!AP162</f>
        <v>1</v>
      </c>
      <c r="AQ9" s="19">
        <f>Inputs!AQ162</f>
        <v>1</v>
      </c>
      <c r="AR9" s="19">
        <f>Inputs!AR162</f>
        <v>1</v>
      </c>
      <c r="AS9" s="19">
        <f>Inputs!AS162</f>
        <v>1</v>
      </c>
      <c r="AT9" s="19">
        <f>Inputs!AT162</f>
        <v>1</v>
      </c>
      <c r="AU9" s="19">
        <f>Inputs!AU162</f>
        <v>1</v>
      </c>
      <c r="AV9" s="19">
        <f>Inputs!AV162</f>
        <v>1</v>
      </c>
      <c r="AW9" s="19">
        <f>Inputs!AW162</f>
        <v>1</v>
      </c>
      <c r="AX9" s="19">
        <f>Inputs!AX162</f>
        <v>1</v>
      </c>
    </row>
    <row r="10" spans="1:50" ht="15" customHeight="1">
      <c r="A10" s="26"/>
      <c r="B10" s="26"/>
      <c r="C10" s="26"/>
      <c r="D10" s="26"/>
      <c r="E10" s="16" t="s">
        <v>251</v>
      </c>
      <c r="F10" s="26"/>
      <c r="G10" s="26" t="s">
        <v>252</v>
      </c>
      <c r="H10" s="26"/>
      <c r="I10" s="66"/>
      <c r="J10" s="107"/>
      <c r="K10" s="19">
        <f>Inputs!K164</f>
        <v>0</v>
      </c>
      <c r="L10" s="19">
        <f>Inputs!L164</f>
        <v>0</v>
      </c>
      <c r="M10" s="19">
        <f>Inputs!M164</f>
        <v>0</v>
      </c>
      <c r="N10" s="19">
        <f>Inputs!N164</f>
        <v>0</v>
      </c>
      <c r="O10" s="19">
        <f>Inputs!O164</f>
        <v>0</v>
      </c>
      <c r="P10" s="19">
        <f>Inputs!P164</f>
        <v>0</v>
      </c>
      <c r="Q10" s="19">
        <f>Inputs!Q164</f>
        <v>0</v>
      </c>
      <c r="R10" s="19">
        <f>Inputs!R164</f>
        <v>0</v>
      </c>
      <c r="S10" s="19">
        <f>Inputs!S164</f>
        <v>0</v>
      </c>
      <c r="T10" s="19">
        <f>Inputs!T164</f>
        <v>0</v>
      </c>
      <c r="U10" s="19">
        <f>Inputs!U164</f>
        <v>0</v>
      </c>
      <c r="V10" s="19">
        <f>Inputs!V164</f>
        <v>0</v>
      </c>
      <c r="W10" s="19">
        <f>Inputs!W164</f>
        <v>0</v>
      </c>
      <c r="X10" s="19">
        <f>Inputs!X164</f>
        <v>0</v>
      </c>
      <c r="Y10" s="19">
        <f>Inputs!Y164</f>
        <v>0</v>
      </c>
      <c r="Z10" s="19">
        <f>Inputs!Z164</f>
        <v>1</v>
      </c>
      <c r="AA10" s="19">
        <f>Inputs!AA164</f>
        <v>2</v>
      </c>
      <c r="AB10" s="19">
        <f>Inputs!AB164</f>
        <v>3</v>
      </c>
      <c r="AC10" s="19">
        <f>Inputs!AC164</f>
        <v>4</v>
      </c>
      <c r="AD10" s="19">
        <f>Inputs!AD164</f>
        <v>5</v>
      </c>
      <c r="AE10" s="19">
        <f>Inputs!AE164</f>
        <v>6</v>
      </c>
      <c r="AF10" s="19">
        <f>Inputs!AF164</f>
        <v>7</v>
      </c>
      <c r="AG10" s="19">
        <f>Inputs!AG164</f>
        <v>8</v>
      </c>
      <c r="AH10" s="19">
        <f>Inputs!AH164</f>
        <v>9</v>
      </c>
      <c r="AI10" s="19">
        <f>Inputs!AI164</f>
        <v>10</v>
      </c>
      <c r="AJ10" s="19">
        <f>Inputs!AJ164</f>
        <v>11</v>
      </c>
      <c r="AK10" s="19">
        <f>Inputs!AK164</f>
        <v>12</v>
      </c>
      <c r="AL10" s="19">
        <f>Inputs!AL164</f>
        <v>13</v>
      </c>
      <c r="AM10" s="19">
        <f>Inputs!AM164</f>
        <v>14</v>
      </c>
      <c r="AN10" s="19">
        <f>Inputs!AN164</f>
        <v>15</v>
      </c>
      <c r="AO10" s="19">
        <f>Inputs!AO164</f>
        <v>16</v>
      </c>
      <c r="AP10" s="19">
        <f>Inputs!AP164</f>
        <v>17</v>
      </c>
      <c r="AQ10" s="19">
        <f>Inputs!AQ164</f>
        <v>18</v>
      </c>
      <c r="AR10" s="19">
        <f>Inputs!AR164</f>
        <v>19</v>
      </c>
      <c r="AS10" s="19">
        <f>Inputs!AS164</f>
        <v>20</v>
      </c>
      <c r="AT10" s="19">
        <f>Inputs!AT164</f>
        <v>21</v>
      </c>
      <c r="AU10" s="19">
        <f>Inputs!AU164</f>
        <v>22</v>
      </c>
      <c r="AV10" s="19">
        <f>Inputs!AV164</f>
        <v>23</v>
      </c>
      <c r="AW10" s="19">
        <f>Inputs!AW164</f>
        <v>24</v>
      </c>
      <c r="AX10" s="19">
        <f>Inputs!AX164</f>
        <v>25</v>
      </c>
    </row>
    <row r="11" spans="1:50" ht="15" customHeight="1">
      <c r="A11" s="26"/>
      <c r="B11" s="26"/>
      <c r="C11" s="26"/>
      <c r="D11" s="26"/>
      <c r="E11" s="16" t="s">
        <v>253</v>
      </c>
      <c r="F11" s="26"/>
      <c r="G11" s="26" t="s">
        <v>247</v>
      </c>
      <c r="H11" s="26"/>
      <c r="I11" s="66"/>
      <c r="J11" s="107"/>
      <c r="K11" s="19">
        <f>Inputs!K165</f>
        <v>0</v>
      </c>
      <c r="L11" s="19">
        <f>Inputs!L165</f>
        <v>0</v>
      </c>
      <c r="M11" s="19">
        <f>Inputs!M165</f>
        <v>0</v>
      </c>
      <c r="N11" s="19">
        <f>Inputs!N165</f>
        <v>0</v>
      </c>
      <c r="O11" s="19">
        <f>Inputs!O165</f>
        <v>0</v>
      </c>
      <c r="P11" s="19">
        <f>Inputs!P165</f>
        <v>0</v>
      </c>
      <c r="Q11" s="19">
        <f>Inputs!Q165</f>
        <v>0</v>
      </c>
      <c r="R11" s="19">
        <f>Inputs!R165</f>
        <v>0</v>
      </c>
      <c r="S11" s="19">
        <f>Inputs!S165</f>
        <v>0</v>
      </c>
      <c r="T11" s="19">
        <f>Inputs!T165</f>
        <v>0</v>
      </c>
      <c r="U11" s="19">
        <f>Inputs!U165</f>
        <v>0</v>
      </c>
      <c r="V11" s="19">
        <f>Inputs!V165</f>
        <v>0</v>
      </c>
      <c r="W11" s="19">
        <f>Inputs!W165</f>
        <v>0</v>
      </c>
      <c r="X11" s="19">
        <f>Inputs!X165</f>
        <v>0</v>
      </c>
      <c r="Y11" s="19">
        <f>Inputs!Y165</f>
        <v>0</v>
      </c>
      <c r="Z11" s="19">
        <f>Inputs!Z165</f>
        <v>1</v>
      </c>
      <c r="AA11" s="19">
        <f>Inputs!AA165</f>
        <v>0</v>
      </c>
      <c r="AB11" s="19">
        <f>Inputs!AB165</f>
        <v>0</v>
      </c>
      <c r="AC11" s="19">
        <f>Inputs!AC165</f>
        <v>0</v>
      </c>
      <c r="AD11" s="19">
        <f>Inputs!AD165</f>
        <v>0</v>
      </c>
      <c r="AE11" s="19">
        <f>Inputs!AE165</f>
        <v>0</v>
      </c>
      <c r="AF11" s="19">
        <f>Inputs!AF165</f>
        <v>0</v>
      </c>
      <c r="AG11" s="19">
        <f>Inputs!AG165</f>
        <v>0</v>
      </c>
      <c r="AH11" s="19">
        <f>Inputs!AH165</f>
        <v>0</v>
      </c>
      <c r="AI11" s="19">
        <f>Inputs!AI165</f>
        <v>0</v>
      </c>
      <c r="AJ11" s="19">
        <f>Inputs!AJ165</f>
        <v>0</v>
      </c>
      <c r="AK11" s="19">
        <f>Inputs!AK165</f>
        <v>0</v>
      </c>
      <c r="AL11" s="19">
        <f>Inputs!AL165</f>
        <v>0</v>
      </c>
      <c r="AM11" s="19">
        <f>Inputs!AM165</f>
        <v>0</v>
      </c>
      <c r="AN11" s="19">
        <f>Inputs!AN165</f>
        <v>0</v>
      </c>
      <c r="AO11" s="19">
        <f>Inputs!AO165</f>
        <v>0</v>
      </c>
      <c r="AP11" s="19">
        <f>Inputs!AP165</f>
        <v>0</v>
      </c>
      <c r="AQ11" s="19">
        <f>Inputs!AQ165</f>
        <v>0</v>
      </c>
      <c r="AR11" s="19">
        <f>Inputs!AR165</f>
        <v>0</v>
      </c>
      <c r="AS11" s="19">
        <f>Inputs!AS165</f>
        <v>0</v>
      </c>
      <c r="AT11" s="19">
        <f>Inputs!AT165</f>
        <v>0</v>
      </c>
      <c r="AU11" s="19">
        <f>Inputs!AU165</f>
        <v>0</v>
      </c>
      <c r="AV11" s="19">
        <f>Inputs!AV165</f>
        <v>0</v>
      </c>
      <c r="AW11" s="19">
        <f>Inputs!AW165</f>
        <v>0</v>
      </c>
      <c r="AX11" s="19">
        <f>Inputs!AX165</f>
        <v>0</v>
      </c>
    </row>
    <row r="12" spans="1:50" ht="15" customHeight="1">
      <c r="A12" s="16"/>
      <c r="B12" s="16"/>
      <c r="C12" s="16"/>
      <c r="D12" s="16"/>
      <c r="E12" s="16" t="s">
        <v>254</v>
      </c>
      <c r="F12" s="16"/>
      <c r="G12" s="16" t="s">
        <v>247</v>
      </c>
      <c r="H12" s="16"/>
      <c r="I12" s="120"/>
      <c r="J12" s="16"/>
      <c r="K12" s="19">
        <f>Inputs!K166</f>
        <v>0</v>
      </c>
      <c r="L12" s="19">
        <f>Inputs!L166</f>
        <v>0</v>
      </c>
      <c r="M12" s="19">
        <f>Inputs!M166</f>
        <v>0</v>
      </c>
      <c r="N12" s="19">
        <f>Inputs!N166</f>
        <v>0</v>
      </c>
      <c r="O12" s="19">
        <f>Inputs!O166</f>
        <v>0</v>
      </c>
      <c r="P12" s="19">
        <f>Inputs!P166</f>
        <v>0</v>
      </c>
      <c r="Q12" s="19">
        <f>Inputs!Q166</f>
        <v>0</v>
      </c>
      <c r="R12" s="19">
        <f>Inputs!R166</f>
        <v>0</v>
      </c>
      <c r="S12" s="19">
        <f>Inputs!S166</f>
        <v>0</v>
      </c>
      <c r="T12" s="19">
        <f>Inputs!T166</f>
        <v>0</v>
      </c>
      <c r="U12" s="19">
        <f>Inputs!U166</f>
        <v>0</v>
      </c>
      <c r="V12" s="19">
        <f>Inputs!V166</f>
        <v>0</v>
      </c>
      <c r="W12" s="19">
        <f>Inputs!W166</f>
        <v>0</v>
      </c>
      <c r="X12" s="19">
        <f>Inputs!X166</f>
        <v>0</v>
      </c>
      <c r="Y12" s="19">
        <f>Inputs!Y166</f>
        <v>0</v>
      </c>
      <c r="Z12" s="19">
        <f>Inputs!Z166</f>
        <v>1</v>
      </c>
      <c r="AA12" s="19">
        <f>Inputs!AA166</f>
        <v>0</v>
      </c>
      <c r="AB12" s="19">
        <f>Inputs!AB166</f>
        <v>0</v>
      </c>
      <c r="AC12" s="19">
        <f>Inputs!AC166</f>
        <v>0</v>
      </c>
      <c r="AD12" s="19">
        <f>Inputs!AD166</f>
        <v>0</v>
      </c>
      <c r="AE12" s="19">
        <f>Inputs!AE166</f>
        <v>0</v>
      </c>
      <c r="AF12" s="19">
        <f>Inputs!AF166</f>
        <v>0</v>
      </c>
      <c r="AG12" s="19">
        <f>Inputs!AG166</f>
        <v>0</v>
      </c>
      <c r="AH12" s="19">
        <f>Inputs!AH166</f>
        <v>0</v>
      </c>
      <c r="AI12" s="19">
        <f>Inputs!AI166</f>
        <v>0</v>
      </c>
      <c r="AJ12" s="19">
        <f>Inputs!AJ166</f>
        <v>0</v>
      </c>
      <c r="AK12" s="19">
        <f>Inputs!AK166</f>
        <v>0</v>
      </c>
      <c r="AL12" s="19">
        <f>Inputs!AL166</f>
        <v>0</v>
      </c>
      <c r="AM12" s="19">
        <f>Inputs!AM166</f>
        <v>0</v>
      </c>
      <c r="AN12" s="19">
        <f>Inputs!AN166</f>
        <v>0</v>
      </c>
      <c r="AO12" s="19">
        <f>Inputs!AO166</f>
        <v>0</v>
      </c>
      <c r="AP12" s="19">
        <f>Inputs!AP166</f>
        <v>0</v>
      </c>
      <c r="AQ12" s="19">
        <f>Inputs!AQ166</f>
        <v>0</v>
      </c>
      <c r="AR12" s="19">
        <f>Inputs!AR166</f>
        <v>0</v>
      </c>
      <c r="AS12" s="19">
        <f>Inputs!AS166</f>
        <v>0</v>
      </c>
      <c r="AT12" s="19">
        <f>Inputs!AT166</f>
        <v>0</v>
      </c>
      <c r="AU12" s="19">
        <f>Inputs!AU166</f>
        <v>0</v>
      </c>
      <c r="AV12" s="19">
        <f>Inputs!AV166</f>
        <v>0</v>
      </c>
      <c r="AW12" s="19">
        <f>Inputs!AW166</f>
        <v>0</v>
      </c>
      <c r="AX12" s="19">
        <f>Inputs!AX166</f>
        <v>0</v>
      </c>
    </row>
    <row r="13" spans="1:50" ht="15" customHeight="1">
      <c r="A13" s="16"/>
      <c r="B13" s="16"/>
      <c r="C13" s="16"/>
      <c r="D13" s="16"/>
      <c r="E13" s="16" t="s">
        <v>256</v>
      </c>
      <c r="F13" s="16"/>
      <c r="G13" s="16" t="s">
        <v>247</v>
      </c>
      <c r="H13" s="16"/>
      <c r="I13" s="120"/>
      <c r="J13" s="16"/>
      <c r="K13" s="19">
        <f>Inputs!K167</f>
        <v>0</v>
      </c>
      <c r="L13" s="19">
        <f>Inputs!L167</f>
        <v>0</v>
      </c>
      <c r="M13" s="19">
        <f>Inputs!M167</f>
        <v>0</v>
      </c>
      <c r="N13" s="19">
        <f>Inputs!N167</f>
        <v>0</v>
      </c>
      <c r="O13" s="19">
        <f>Inputs!O167</f>
        <v>0</v>
      </c>
      <c r="P13" s="19">
        <f>Inputs!P167</f>
        <v>0</v>
      </c>
      <c r="Q13" s="19">
        <f>Inputs!Q167</f>
        <v>0</v>
      </c>
      <c r="R13" s="19">
        <f>Inputs!R167</f>
        <v>0</v>
      </c>
      <c r="S13" s="19">
        <f>Inputs!S167</f>
        <v>1</v>
      </c>
      <c r="T13" s="19">
        <f>Inputs!T167</f>
        <v>0</v>
      </c>
      <c r="U13" s="19">
        <f>Inputs!U167</f>
        <v>0</v>
      </c>
      <c r="V13" s="19">
        <f>Inputs!V167</f>
        <v>0</v>
      </c>
      <c r="W13" s="19">
        <f>Inputs!W167</f>
        <v>0</v>
      </c>
      <c r="X13" s="19">
        <f>Inputs!X167</f>
        <v>0</v>
      </c>
      <c r="Y13" s="19">
        <f>Inputs!Y167</f>
        <v>0</v>
      </c>
      <c r="Z13" s="19">
        <f>Inputs!Z167</f>
        <v>0</v>
      </c>
      <c r="AA13" s="19">
        <f>Inputs!AA167</f>
        <v>0</v>
      </c>
      <c r="AB13" s="19">
        <f>Inputs!AB167</f>
        <v>0</v>
      </c>
      <c r="AC13" s="19">
        <f>Inputs!AC167</f>
        <v>0</v>
      </c>
      <c r="AD13" s="19">
        <f>Inputs!AD167</f>
        <v>0</v>
      </c>
      <c r="AE13" s="19">
        <f>Inputs!AE167</f>
        <v>0</v>
      </c>
      <c r="AF13" s="19">
        <f>Inputs!AF167</f>
        <v>0</v>
      </c>
      <c r="AG13" s="19">
        <f>Inputs!AG167</f>
        <v>0</v>
      </c>
      <c r="AH13" s="19">
        <f>Inputs!AH167</f>
        <v>0</v>
      </c>
      <c r="AI13" s="19">
        <f>Inputs!AI167</f>
        <v>0</v>
      </c>
      <c r="AJ13" s="19">
        <f>Inputs!AJ167</f>
        <v>0</v>
      </c>
      <c r="AK13" s="19">
        <f>Inputs!AK167</f>
        <v>0</v>
      </c>
      <c r="AL13" s="19">
        <f>Inputs!AL167</f>
        <v>0</v>
      </c>
      <c r="AM13" s="19">
        <f>Inputs!AM167</f>
        <v>0</v>
      </c>
      <c r="AN13" s="19">
        <f>Inputs!AN167</f>
        <v>0</v>
      </c>
      <c r="AO13" s="19">
        <f>Inputs!AO167</f>
        <v>0</v>
      </c>
      <c r="AP13" s="19">
        <f>Inputs!AP167</f>
        <v>0</v>
      </c>
      <c r="AQ13" s="19">
        <f>Inputs!AQ167</f>
        <v>0</v>
      </c>
      <c r="AR13" s="19">
        <f>Inputs!AR167</f>
        <v>0</v>
      </c>
      <c r="AS13" s="19">
        <f>Inputs!AS167</f>
        <v>0</v>
      </c>
      <c r="AT13" s="19">
        <f>Inputs!AT167</f>
        <v>0</v>
      </c>
      <c r="AU13" s="19">
        <f>Inputs!AU167</f>
        <v>0</v>
      </c>
      <c r="AV13" s="19">
        <f>Inputs!AV167</f>
        <v>0</v>
      </c>
      <c r="AW13" s="19">
        <f>Inputs!AW167</f>
        <v>0</v>
      </c>
      <c r="AX13" s="19">
        <f>Inputs!AX167</f>
        <v>0</v>
      </c>
    </row>
    <row r="14" spans="1:50" ht="15" customHeight="1">
      <c r="A14" s="119"/>
      <c r="B14" s="16"/>
      <c r="C14" s="16"/>
      <c r="D14" s="16"/>
      <c r="E14" s="16" t="s">
        <v>257</v>
      </c>
      <c r="F14" s="16"/>
      <c r="G14" s="16" t="s">
        <v>247</v>
      </c>
      <c r="H14" s="16"/>
      <c r="I14" s="120"/>
      <c r="J14" s="16"/>
      <c r="K14" s="19">
        <f>Inputs!K168</f>
        <v>0</v>
      </c>
      <c r="L14" s="19">
        <f>Inputs!L168</f>
        <v>0</v>
      </c>
      <c r="M14" s="19">
        <f>Inputs!M168</f>
        <v>0</v>
      </c>
      <c r="N14" s="19">
        <f>Inputs!N168</f>
        <v>0</v>
      </c>
      <c r="O14" s="19">
        <f>Inputs!O168</f>
        <v>0</v>
      </c>
      <c r="P14" s="19">
        <f>Inputs!P168</f>
        <v>0</v>
      </c>
      <c r="Q14" s="19">
        <f>Inputs!Q168</f>
        <v>0</v>
      </c>
      <c r="R14" s="19">
        <f>Inputs!R168</f>
        <v>0</v>
      </c>
      <c r="S14" s="19">
        <f>Inputs!S168</f>
        <v>0</v>
      </c>
      <c r="T14" s="19">
        <f>Inputs!T168</f>
        <v>1</v>
      </c>
      <c r="U14" s="19">
        <f>Inputs!U168</f>
        <v>0</v>
      </c>
      <c r="V14" s="19">
        <f>Inputs!V168</f>
        <v>0</v>
      </c>
      <c r="W14" s="19">
        <f>Inputs!W168</f>
        <v>0</v>
      </c>
      <c r="X14" s="19">
        <f>Inputs!X168</f>
        <v>0</v>
      </c>
      <c r="Y14" s="19">
        <f>Inputs!Y168</f>
        <v>0</v>
      </c>
      <c r="Z14" s="19">
        <f>Inputs!Z168</f>
        <v>0</v>
      </c>
      <c r="AA14" s="19">
        <f>Inputs!AA168</f>
        <v>0</v>
      </c>
      <c r="AB14" s="19">
        <f>Inputs!AB168</f>
        <v>0</v>
      </c>
      <c r="AC14" s="19">
        <f>Inputs!AC168</f>
        <v>0</v>
      </c>
      <c r="AD14" s="19">
        <f>Inputs!AD168</f>
        <v>0</v>
      </c>
      <c r="AE14" s="19">
        <f>Inputs!AE168</f>
        <v>0</v>
      </c>
      <c r="AF14" s="19">
        <f>Inputs!AF168</f>
        <v>0</v>
      </c>
      <c r="AG14" s="19">
        <f>Inputs!AG168</f>
        <v>0</v>
      </c>
      <c r="AH14" s="19">
        <f>Inputs!AH168</f>
        <v>0</v>
      </c>
      <c r="AI14" s="19">
        <f>Inputs!AI168</f>
        <v>0</v>
      </c>
      <c r="AJ14" s="19">
        <f>Inputs!AJ168</f>
        <v>0</v>
      </c>
      <c r="AK14" s="19">
        <f>Inputs!AK168</f>
        <v>0</v>
      </c>
      <c r="AL14" s="19">
        <f>Inputs!AL168</f>
        <v>0</v>
      </c>
      <c r="AM14" s="19">
        <f>Inputs!AM168</f>
        <v>0</v>
      </c>
      <c r="AN14" s="19">
        <f>Inputs!AN168</f>
        <v>0</v>
      </c>
      <c r="AO14" s="19">
        <f>Inputs!AO168</f>
        <v>0</v>
      </c>
      <c r="AP14" s="19">
        <f>Inputs!AP168</f>
        <v>0</v>
      </c>
      <c r="AQ14" s="19">
        <f>Inputs!AQ168</f>
        <v>0</v>
      </c>
      <c r="AR14" s="19">
        <f>Inputs!AR168</f>
        <v>0</v>
      </c>
      <c r="AS14" s="19">
        <f>Inputs!AS168</f>
        <v>0</v>
      </c>
      <c r="AT14" s="19">
        <f>Inputs!AT168</f>
        <v>0</v>
      </c>
      <c r="AU14" s="19">
        <f>Inputs!AU168</f>
        <v>0</v>
      </c>
      <c r="AV14" s="19">
        <f>Inputs!AV168</f>
        <v>0</v>
      </c>
      <c r="AW14" s="19">
        <f>Inputs!AW168</f>
        <v>0</v>
      </c>
      <c r="AX14" s="19">
        <f>Inputs!AX168</f>
        <v>0</v>
      </c>
    </row>
    <row r="15" spans="1:50" ht="15" customHeight="1">
      <c r="A15" s="119"/>
      <c r="B15" s="16"/>
      <c r="C15" s="16"/>
      <c r="D15" s="16"/>
      <c r="E15" s="16" t="s">
        <v>258</v>
      </c>
      <c r="F15" s="16"/>
      <c r="G15" s="16" t="s">
        <v>247</v>
      </c>
      <c r="H15" s="16"/>
      <c r="I15" s="120"/>
      <c r="J15" s="16"/>
      <c r="K15" s="19">
        <f>Inputs!K169</f>
        <v>0</v>
      </c>
      <c r="L15" s="19">
        <f>Inputs!L169</f>
        <v>0</v>
      </c>
      <c r="M15" s="19">
        <f>Inputs!M169</f>
        <v>0</v>
      </c>
      <c r="N15" s="19">
        <f>Inputs!N169</f>
        <v>0</v>
      </c>
      <c r="O15" s="19">
        <f>Inputs!O169</f>
        <v>0</v>
      </c>
      <c r="P15" s="19">
        <f>Inputs!P169</f>
        <v>0</v>
      </c>
      <c r="Q15" s="19">
        <f>Inputs!Q169</f>
        <v>0</v>
      </c>
      <c r="R15" s="19">
        <f>Inputs!R169</f>
        <v>0</v>
      </c>
      <c r="S15" s="19">
        <f>Inputs!S169</f>
        <v>0</v>
      </c>
      <c r="T15" s="19">
        <f>Inputs!T169</f>
        <v>1</v>
      </c>
      <c r="U15" s="19">
        <f>Inputs!U169</f>
        <v>1</v>
      </c>
      <c r="V15" s="19">
        <f>Inputs!V169</f>
        <v>1</v>
      </c>
      <c r="W15" s="19">
        <f>Inputs!W169</f>
        <v>1</v>
      </c>
      <c r="X15" s="19">
        <f>Inputs!X169</f>
        <v>1</v>
      </c>
      <c r="Y15" s="19">
        <f>Inputs!Y169</f>
        <v>1</v>
      </c>
      <c r="Z15" s="19">
        <f>Inputs!Z169</f>
        <v>0</v>
      </c>
      <c r="AA15" s="19">
        <f>Inputs!AA169</f>
        <v>0</v>
      </c>
      <c r="AB15" s="19">
        <f>Inputs!AB169</f>
        <v>0</v>
      </c>
      <c r="AC15" s="19">
        <f>Inputs!AC169</f>
        <v>0</v>
      </c>
      <c r="AD15" s="19">
        <f>Inputs!AD169</f>
        <v>0</v>
      </c>
      <c r="AE15" s="19">
        <f>Inputs!AE169</f>
        <v>0</v>
      </c>
      <c r="AF15" s="19">
        <f>Inputs!AF169</f>
        <v>0</v>
      </c>
      <c r="AG15" s="19">
        <f>Inputs!AG169</f>
        <v>0</v>
      </c>
      <c r="AH15" s="19">
        <f>Inputs!AH169</f>
        <v>0</v>
      </c>
      <c r="AI15" s="19">
        <f>Inputs!AI169</f>
        <v>0</v>
      </c>
      <c r="AJ15" s="19">
        <f>Inputs!AJ169</f>
        <v>0</v>
      </c>
      <c r="AK15" s="19">
        <f>Inputs!AK169</f>
        <v>0</v>
      </c>
      <c r="AL15" s="19">
        <f>Inputs!AL169</f>
        <v>0</v>
      </c>
      <c r="AM15" s="19">
        <f>Inputs!AM169</f>
        <v>0</v>
      </c>
      <c r="AN15" s="19">
        <f>Inputs!AN169</f>
        <v>0</v>
      </c>
      <c r="AO15" s="19">
        <f>Inputs!AO169</f>
        <v>0</v>
      </c>
      <c r="AP15" s="19">
        <f>Inputs!AP169</f>
        <v>0</v>
      </c>
      <c r="AQ15" s="19">
        <f>Inputs!AQ169</f>
        <v>0</v>
      </c>
      <c r="AR15" s="19">
        <f>Inputs!AR169</f>
        <v>0</v>
      </c>
      <c r="AS15" s="19">
        <f>Inputs!AS169</f>
        <v>0</v>
      </c>
      <c r="AT15" s="19">
        <f>Inputs!AT169</f>
        <v>0</v>
      </c>
      <c r="AU15" s="19">
        <f>Inputs!AU169</f>
        <v>0</v>
      </c>
      <c r="AV15" s="19">
        <f>Inputs!AV169</f>
        <v>0</v>
      </c>
      <c r="AW15" s="19">
        <f>Inputs!AW169</f>
        <v>0</v>
      </c>
      <c r="AX15" s="19">
        <f>Inputs!AX169</f>
        <v>0</v>
      </c>
    </row>
    <row r="16" spans="1:50" ht="15" customHeight="1">
      <c r="A16" s="119"/>
      <c r="B16" s="16"/>
      <c r="C16" s="16"/>
      <c r="D16" s="16"/>
      <c r="E16" s="16" t="s">
        <v>318</v>
      </c>
      <c r="F16" s="16"/>
      <c r="G16" s="16" t="s">
        <v>252</v>
      </c>
      <c r="H16" s="16"/>
      <c r="I16" s="120"/>
      <c r="J16" s="16"/>
      <c r="K16" s="19">
        <f>Inputs!K171</f>
        <v>0</v>
      </c>
      <c r="L16" s="19">
        <f>Inputs!L171</f>
        <v>0</v>
      </c>
      <c r="M16" s="19">
        <f>Inputs!M171</f>
        <v>0</v>
      </c>
      <c r="N16" s="19">
        <f>Inputs!N171</f>
        <v>0</v>
      </c>
      <c r="O16" s="19">
        <f>Inputs!O171</f>
        <v>0</v>
      </c>
      <c r="P16" s="19">
        <f>Inputs!P171</f>
        <v>0</v>
      </c>
      <c r="Q16" s="19">
        <f>Inputs!Q171</f>
        <v>0</v>
      </c>
      <c r="R16" s="19">
        <f>Inputs!R171</f>
        <v>0</v>
      </c>
      <c r="S16" s="19">
        <f>Inputs!S171</f>
        <v>0</v>
      </c>
      <c r="T16" s="19">
        <f>Inputs!T171</f>
        <v>0</v>
      </c>
      <c r="U16" s="19">
        <f>Inputs!U171</f>
        <v>0</v>
      </c>
      <c r="V16" s="19">
        <f>Inputs!V171</f>
        <v>0</v>
      </c>
      <c r="W16" s="19">
        <f>Inputs!W171</f>
        <v>0</v>
      </c>
      <c r="X16" s="19">
        <f>Inputs!X171</f>
        <v>0</v>
      </c>
      <c r="Y16" s="19">
        <f>Inputs!Y171</f>
        <v>0</v>
      </c>
      <c r="Z16" s="19">
        <f>Inputs!Z171</f>
        <v>0.75136612021857918</v>
      </c>
      <c r="AA16" s="19">
        <f>Inputs!AA171</f>
        <v>1.7513661202185791</v>
      </c>
      <c r="AB16" s="19">
        <f>Inputs!AB171</f>
        <v>2.7513661202185791</v>
      </c>
      <c r="AC16" s="19">
        <f>Inputs!AC171</f>
        <v>3.7513661202185791</v>
      </c>
      <c r="AD16" s="19">
        <f>Inputs!AD171</f>
        <v>4.7513661202185791</v>
      </c>
      <c r="AE16" s="19">
        <f>Inputs!AE171</f>
        <v>5.7513661202185791</v>
      </c>
      <c r="AF16" s="19">
        <f>Inputs!AF171</f>
        <v>6.7513661202185791</v>
      </c>
      <c r="AG16" s="19">
        <f>Inputs!AG171</f>
        <v>7.7513661202185791</v>
      </c>
      <c r="AH16" s="19">
        <f>Inputs!AH171</f>
        <v>8.7513661202185791</v>
      </c>
      <c r="AI16" s="19">
        <f>Inputs!AI171</f>
        <v>9.7513661202185791</v>
      </c>
      <c r="AJ16" s="19">
        <f>Inputs!AJ171</f>
        <v>10.751366120218579</v>
      </c>
      <c r="AK16" s="19">
        <f>Inputs!AK171</f>
        <v>11.751366120218579</v>
      </c>
      <c r="AL16" s="19">
        <f>Inputs!AL171</f>
        <v>12.751366120218579</v>
      </c>
      <c r="AM16" s="19">
        <f>Inputs!AM171</f>
        <v>13.751366120218579</v>
      </c>
      <c r="AN16" s="19">
        <f>Inputs!AN171</f>
        <v>14.751366120218579</v>
      </c>
      <c r="AO16" s="19">
        <f>Inputs!AO171</f>
        <v>15.751366120218579</v>
      </c>
      <c r="AP16" s="19">
        <f>Inputs!AP171</f>
        <v>16.751366120218577</v>
      </c>
      <c r="AQ16" s="19">
        <f>Inputs!AQ171</f>
        <v>17.751366120218577</v>
      </c>
      <c r="AR16" s="19">
        <f>Inputs!AR171</f>
        <v>18.751366120218577</v>
      </c>
      <c r="AS16" s="19">
        <f>Inputs!AS171</f>
        <v>19.751366120218577</v>
      </c>
      <c r="AT16" s="19">
        <f>Inputs!AT171</f>
        <v>20.751366120218577</v>
      </c>
      <c r="AU16" s="19">
        <f>Inputs!AU171</f>
        <v>21.751366120218577</v>
      </c>
      <c r="AV16" s="19">
        <f>Inputs!AV171</f>
        <v>22.751366120218577</v>
      </c>
      <c r="AW16" s="19">
        <f>Inputs!AW171</f>
        <v>23.247256531177481</v>
      </c>
      <c r="AX16" s="19">
        <f>Inputs!AX171</f>
        <v>0</v>
      </c>
    </row>
    <row r="17" spans="1:50" ht="15" customHeight="1">
      <c r="A17" s="26"/>
      <c r="B17" s="26"/>
      <c r="C17" s="26"/>
      <c r="D17" s="26"/>
      <c r="E17" s="26"/>
      <c r="F17" s="26"/>
      <c r="G17" s="26"/>
      <c r="H17" s="26"/>
      <c r="I17" s="66"/>
      <c r="J17" s="107"/>
      <c r="K17" s="107"/>
      <c r="L17" s="107"/>
      <c r="M17" s="107"/>
      <c r="N17" s="107"/>
      <c r="O17" s="107"/>
      <c r="P17" s="107"/>
      <c r="Q17" s="107"/>
      <c r="R17" s="107"/>
      <c r="S17" s="26"/>
      <c r="T17" s="26"/>
      <c r="U17" s="26"/>
      <c r="V17" s="26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  <c r="AX17" s="108"/>
    </row>
    <row r="18" spans="1:50" ht="15" customHeight="1">
      <c r="A18" s="26"/>
      <c r="B18" s="14" t="s">
        <v>319</v>
      </c>
      <c r="C18" s="58"/>
      <c r="D18" s="58"/>
      <c r="E18" s="58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</row>
    <row r="19" spans="1:50" ht="15" customHeight="1">
      <c r="A19" s="26"/>
      <c r="B19" s="26"/>
      <c r="C19" s="26"/>
      <c r="D19" s="26"/>
      <c r="E19" s="26"/>
      <c r="F19" s="26"/>
      <c r="G19" s="26"/>
      <c r="H19" s="26"/>
      <c r="I19" s="66"/>
      <c r="J19" s="107"/>
      <c r="K19" s="107"/>
      <c r="L19" s="107"/>
      <c r="M19" s="107"/>
      <c r="N19" s="107"/>
      <c r="O19" s="107"/>
      <c r="P19" s="107"/>
      <c r="Q19" s="107"/>
      <c r="R19" s="107"/>
      <c r="S19" s="26"/>
      <c r="T19" s="26"/>
      <c r="U19" s="26"/>
      <c r="V19" s="26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</row>
    <row r="20" spans="1:50" ht="15" customHeight="1">
      <c r="A20" s="26"/>
      <c r="B20" s="26"/>
      <c r="C20" s="67" t="s">
        <v>319</v>
      </c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</row>
    <row r="21" spans="1:50" ht="15" customHeight="1">
      <c r="A21" s="128"/>
      <c r="B21" s="128"/>
      <c r="C21" s="128"/>
      <c r="D21" s="122"/>
      <c r="E21" s="16"/>
      <c r="F21" s="16"/>
      <c r="G21" s="16"/>
      <c r="H21" s="16"/>
      <c r="I21" s="193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</row>
    <row r="22" spans="1:50" ht="15" customHeight="1">
      <c r="A22" s="26"/>
      <c r="B22" s="26"/>
      <c r="C22" s="26"/>
      <c r="D22" s="26"/>
      <c r="E22" s="102" t="s">
        <v>320</v>
      </c>
      <c r="F22" s="26"/>
      <c r="G22" s="102" t="str">
        <f>Inputs!G70</f>
        <v>real annual %</v>
      </c>
      <c r="H22" s="16"/>
      <c r="I22" s="194">
        <f>Inputs!I70</f>
        <v>3.0599999999999999E-2</v>
      </c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</row>
    <row r="23" spans="1:50" ht="15" customHeight="1">
      <c r="A23" s="128"/>
      <c r="B23" s="128"/>
      <c r="C23" s="128"/>
      <c r="D23" s="122"/>
      <c r="E23" s="16"/>
      <c r="F23" s="16"/>
      <c r="G23" s="16"/>
      <c r="H23" s="16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6"/>
      <c r="T23" s="16"/>
      <c r="U23" s="16"/>
      <c r="V23" s="16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O23" s="193"/>
      <c r="AP23" s="193"/>
      <c r="AQ23" s="193"/>
      <c r="AR23" s="193"/>
      <c r="AS23" s="193"/>
      <c r="AT23" s="193"/>
      <c r="AU23" s="193"/>
      <c r="AV23" s="193"/>
      <c r="AW23" s="193"/>
      <c r="AX23" s="193"/>
    </row>
    <row r="24" spans="1:50" ht="15" customHeight="1">
      <c r="A24"/>
      <c r="B24" s="128"/>
      <c r="C24" s="128"/>
      <c r="D24" s="122"/>
      <c r="E24" s="26" t="s">
        <v>296</v>
      </c>
      <c r="F24" s="16"/>
      <c r="G24" s="26" t="str">
        <f>Inputs!$I$11</f>
        <v>£m 20/21 prices</v>
      </c>
      <c r="H24" s="16"/>
      <c r="I24" s="193"/>
      <c r="J24" s="193"/>
      <c r="K24" s="19">
        <f>Pre_Op_RAV!K19</f>
        <v>0</v>
      </c>
      <c r="L24" s="19">
        <f>Pre_Op_RAV!L19</f>
        <v>0</v>
      </c>
      <c r="M24" s="19">
        <f>Pre_Op_RAV!M19</f>
        <v>0</v>
      </c>
      <c r="N24" s="19">
        <f>Pre_Op_RAV!N19</f>
        <v>0</v>
      </c>
      <c r="O24" s="19">
        <f>Pre_Op_RAV!O19</f>
        <v>0</v>
      </c>
      <c r="P24" s="19">
        <f>Pre_Op_RAV!P19</f>
        <v>1.5454797938683831</v>
      </c>
      <c r="Q24" s="19">
        <f>Pre_Op_RAV!Q19</f>
        <v>8.1850209333375474</v>
      </c>
      <c r="R24" s="19">
        <f>Pre_Op_RAV!R19</f>
        <v>12.666606142524822</v>
      </c>
      <c r="S24" s="19">
        <f>Pre_Op_RAV!S19</f>
        <v>18.491532199811452</v>
      </c>
      <c r="T24" s="19">
        <f>Pre_Op_RAV!T19</f>
        <v>25.706675533561796</v>
      </c>
      <c r="U24" s="19">
        <f>Pre_Op_RAV!U19</f>
        <v>189.56950580745593</v>
      </c>
      <c r="V24" s="19">
        <f>Pre_Op_RAV!V19</f>
        <v>290.90029672783123</v>
      </c>
      <c r="W24" s="19">
        <f>Pre_Op_RAV!W19</f>
        <v>419.62854707211505</v>
      </c>
      <c r="X24" s="19">
        <f>Pre_Op_RAV!X19</f>
        <v>614.58824996741691</v>
      </c>
      <c r="Y24" s="19">
        <f>Pre_Op_RAV!Y19</f>
        <v>772.95124583458983</v>
      </c>
      <c r="Z24" s="19">
        <f>Pre_Op_RAV!Z19</f>
        <v>853.85177556026565</v>
      </c>
      <c r="AA24" s="19">
        <f>Pre_Op_RAV!AA19</f>
        <v>0</v>
      </c>
      <c r="AB24" s="19">
        <f>Pre_Op_RAV!AB19</f>
        <v>0</v>
      </c>
      <c r="AC24" s="19">
        <f>Pre_Op_RAV!AC19</f>
        <v>0</v>
      </c>
      <c r="AD24" s="19">
        <f>Pre_Op_RAV!AD19</f>
        <v>0</v>
      </c>
      <c r="AE24" s="19">
        <f>Pre_Op_RAV!AE19</f>
        <v>0</v>
      </c>
      <c r="AF24" s="19">
        <f>Pre_Op_RAV!AF19</f>
        <v>0</v>
      </c>
      <c r="AG24" s="19">
        <f>Pre_Op_RAV!AG19</f>
        <v>0</v>
      </c>
      <c r="AH24" s="19">
        <f>Pre_Op_RAV!AH19</f>
        <v>0</v>
      </c>
      <c r="AI24" s="19">
        <f>Pre_Op_RAV!AI19</f>
        <v>0</v>
      </c>
      <c r="AJ24" s="19">
        <f>Pre_Op_RAV!AJ19</f>
        <v>0</v>
      </c>
      <c r="AK24" s="19">
        <f>Pre_Op_RAV!AK19</f>
        <v>0</v>
      </c>
      <c r="AL24" s="19">
        <f>Pre_Op_RAV!AL19</f>
        <v>0</v>
      </c>
      <c r="AM24" s="19">
        <f>Pre_Op_RAV!AM19</f>
        <v>0</v>
      </c>
      <c r="AN24" s="19">
        <f>Pre_Op_RAV!AN19</f>
        <v>0</v>
      </c>
      <c r="AO24" s="19">
        <f>Pre_Op_RAV!AO19</f>
        <v>0</v>
      </c>
      <c r="AP24" s="19">
        <f>Pre_Op_RAV!AP19</f>
        <v>0</v>
      </c>
      <c r="AQ24" s="19">
        <f>Pre_Op_RAV!AQ19</f>
        <v>0</v>
      </c>
      <c r="AR24" s="19">
        <f>Pre_Op_RAV!AR19</f>
        <v>0</v>
      </c>
      <c r="AS24" s="19">
        <f>Pre_Op_RAV!AS19</f>
        <v>0</v>
      </c>
      <c r="AT24" s="19">
        <f>Pre_Op_RAV!AT19</f>
        <v>0</v>
      </c>
      <c r="AU24" s="19">
        <f>Pre_Op_RAV!AU19</f>
        <v>0</v>
      </c>
      <c r="AV24" s="19">
        <f>Pre_Op_RAV!AV19</f>
        <v>0</v>
      </c>
      <c r="AW24" s="19">
        <f>Pre_Op_RAV!AW19</f>
        <v>0</v>
      </c>
      <c r="AX24" s="19">
        <f>Pre_Op_RAV!AX19</f>
        <v>0</v>
      </c>
    </row>
    <row r="25" spans="1:50" ht="15" customHeight="1">
      <c r="A25"/>
      <c r="B25" s="128"/>
      <c r="C25" s="128"/>
      <c r="D25" s="122"/>
      <c r="E25" s="26" t="s">
        <v>121</v>
      </c>
      <c r="F25" s="16"/>
      <c r="G25" s="26" t="str">
        <f>Inputs!$I$11</f>
        <v>£m 20/21 prices</v>
      </c>
      <c r="H25" s="16"/>
      <c r="I25" s="193"/>
      <c r="J25" s="193"/>
      <c r="K25" s="19">
        <f>Inputs!K34</f>
        <v>0</v>
      </c>
      <c r="L25" s="19">
        <f>Inputs!L34</f>
        <v>0</v>
      </c>
      <c r="M25" s="19">
        <f>Inputs!M34</f>
        <v>0</v>
      </c>
      <c r="N25" s="19">
        <f>Inputs!N34</f>
        <v>0</v>
      </c>
      <c r="O25" s="19">
        <f>Inputs!O34</f>
        <v>1.5225360321313501</v>
      </c>
      <c r="P25" s="19">
        <f>Inputs!P34</f>
        <v>6.4943827619646584</v>
      </c>
      <c r="Q25" s="19">
        <f>Inputs!Q34</f>
        <v>4.1683094888677878</v>
      </c>
      <c r="R25" s="19">
        <f>Inputs!R34</f>
        <v>5.3566068565282814</v>
      </c>
      <c r="S25" s="19">
        <f>Inputs!S34</f>
        <v>6.5505887598459003</v>
      </c>
      <c r="T25" s="19">
        <f>Inputs!T34</f>
        <v>6.9589865362737378</v>
      </c>
      <c r="U25" s="19">
        <f>Inputs!U34</f>
        <v>0</v>
      </c>
      <c r="V25" s="19">
        <f>Inputs!V34</f>
        <v>0</v>
      </c>
      <c r="W25" s="19">
        <f>Inputs!W34</f>
        <v>0</v>
      </c>
      <c r="X25" s="19">
        <f>Inputs!X34</f>
        <v>0</v>
      </c>
      <c r="Y25" s="19">
        <f>Inputs!Y34</f>
        <v>0</v>
      </c>
      <c r="Z25" s="19">
        <f>Inputs!Z34</f>
        <v>0</v>
      </c>
      <c r="AA25" s="19">
        <f>Inputs!AA34</f>
        <v>0</v>
      </c>
      <c r="AB25" s="19">
        <f>Inputs!AB34</f>
        <v>0</v>
      </c>
      <c r="AC25" s="19">
        <f>Inputs!AC34</f>
        <v>0</v>
      </c>
      <c r="AD25" s="19">
        <f>Inputs!AD34</f>
        <v>0</v>
      </c>
      <c r="AE25" s="19">
        <f>Inputs!AE34</f>
        <v>0</v>
      </c>
      <c r="AF25" s="19">
        <f>Inputs!AF34</f>
        <v>0</v>
      </c>
      <c r="AG25" s="19">
        <f>Inputs!AG34</f>
        <v>0</v>
      </c>
      <c r="AH25" s="19">
        <f>Inputs!AH34</f>
        <v>0</v>
      </c>
      <c r="AI25" s="19">
        <f>Inputs!AI34</f>
        <v>0</v>
      </c>
      <c r="AJ25" s="19">
        <f>Inputs!AJ34</f>
        <v>0</v>
      </c>
      <c r="AK25" s="19">
        <f>Inputs!AK34</f>
        <v>0</v>
      </c>
      <c r="AL25" s="19">
        <f>Inputs!AL34</f>
        <v>0</v>
      </c>
      <c r="AM25" s="19">
        <f>Inputs!AM34</f>
        <v>0</v>
      </c>
      <c r="AN25" s="19">
        <f>Inputs!AN34</f>
        <v>0</v>
      </c>
      <c r="AO25" s="19">
        <f>Inputs!AO34</f>
        <v>0</v>
      </c>
      <c r="AP25" s="19">
        <f>Inputs!AP34</f>
        <v>0</v>
      </c>
      <c r="AQ25" s="19">
        <f>Inputs!AQ34</f>
        <v>0</v>
      </c>
      <c r="AR25" s="19">
        <f>Inputs!AR34</f>
        <v>0</v>
      </c>
      <c r="AS25" s="19">
        <f>Inputs!AS34</f>
        <v>0</v>
      </c>
      <c r="AT25" s="19">
        <f>Inputs!AT34</f>
        <v>0</v>
      </c>
      <c r="AU25" s="19">
        <f>Inputs!AU34</f>
        <v>0</v>
      </c>
      <c r="AV25" s="19">
        <f>Inputs!AV34</f>
        <v>0</v>
      </c>
      <c r="AW25" s="19">
        <f>Inputs!AW34</f>
        <v>0</v>
      </c>
      <c r="AX25" s="19">
        <f>Inputs!AX34</f>
        <v>0</v>
      </c>
    </row>
    <row r="26" spans="1:50" ht="15" customHeight="1">
      <c r="A26"/>
      <c r="B26" s="128"/>
      <c r="C26" s="128"/>
      <c r="D26" s="122"/>
      <c r="E26" s="26" t="s">
        <v>123</v>
      </c>
      <c r="F26" s="16"/>
      <c r="G26" s="26" t="str">
        <f>Inputs!$I$11</f>
        <v>£m 20/21 prices</v>
      </c>
      <c r="H26" s="16"/>
      <c r="I26" s="193"/>
      <c r="J26" s="193"/>
      <c r="K26" s="19">
        <f>Inputs!K35</f>
        <v>0</v>
      </c>
      <c r="L26" s="19">
        <f>Inputs!L35</f>
        <v>0</v>
      </c>
      <c r="M26" s="19">
        <f>Inputs!M35</f>
        <v>0</v>
      </c>
      <c r="N26" s="19">
        <f>Inputs!N35</f>
        <v>0</v>
      </c>
      <c r="O26" s="19">
        <f>Inputs!O35</f>
        <v>0</v>
      </c>
      <c r="P26" s="19">
        <f>Inputs!P35</f>
        <v>0</v>
      </c>
      <c r="Q26" s="19">
        <f>Inputs!Q35</f>
        <v>0</v>
      </c>
      <c r="R26" s="19">
        <f>Inputs!R35</f>
        <v>0</v>
      </c>
      <c r="S26" s="19">
        <f>Inputs!S35</f>
        <v>0</v>
      </c>
      <c r="T26" s="19">
        <f>Inputs!T35</f>
        <v>144.34688638365125</v>
      </c>
      <c r="U26" s="19">
        <f>Inputs!U35</f>
        <v>78.31159344295267</v>
      </c>
      <c r="V26" s="19">
        <f>Inputs!V35</f>
        <v>97.207776511701084</v>
      </c>
      <c r="W26" s="19">
        <f>Inputs!W35</f>
        <v>170.95894984879433</v>
      </c>
      <c r="X26" s="19">
        <f>Inputs!X35</f>
        <v>124.23475936173823</v>
      </c>
      <c r="Y26" s="19">
        <f>Inputs!Y35</f>
        <v>48.17252629490212</v>
      </c>
      <c r="Z26" s="19">
        <f>Inputs!Z35</f>
        <v>20.492718625532937</v>
      </c>
      <c r="AA26" s="19">
        <f>Inputs!AA35</f>
        <v>0</v>
      </c>
      <c r="AB26" s="19">
        <f>Inputs!AB35</f>
        <v>0</v>
      </c>
      <c r="AC26" s="19">
        <f>Inputs!AC35</f>
        <v>0</v>
      </c>
      <c r="AD26" s="19">
        <f>Inputs!AD35</f>
        <v>0</v>
      </c>
      <c r="AE26" s="19">
        <f>Inputs!AE35</f>
        <v>0</v>
      </c>
      <c r="AF26" s="19">
        <f>Inputs!AF35</f>
        <v>0</v>
      </c>
      <c r="AG26" s="19">
        <f>Inputs!AG35</f>
        <v>0</v>
      </c>
      <c r="AH26" s="19">
        <f>Inputs!AH35</f>
        <v>0</v>
      </c>
      <c r="AI26" s="19">
        <f>Inputs!AI35</f>
        <v>0</v>
      </c>
      <c r="AJ26" s="19">
        <f>Inputs!AJ35</f>
        <v>0</v>
      </c>
      <c r="AK26" s="19">
        <f>Inputs!AK35</f>
        <v>0</v>
      </c>
      <c r="AL26" s="19">
        <f>Inputs!AL35</f>
        <v>0</v>
      </c>
      <c r="AM26" s="19">
        <f>Inputs!AM35</f>
        <v>0</v>
      </c>
      <c r="AN26" s="19">
        <f>Inputs!AN35</f>
        <v>0</v>
      </c>
      <c r="AO26" s="19">
        <f>Inputs!AO35</f>
        <v>0</v>
      </c>
      <c r="AP26" s="19">
        <f>Inputs!AP35</f>
        <v>0</v>
      </c>
      <c r="AQ26" s="19">
        <f>Inputs!AQ35</f>
        <v>0</v>
      </c>
      <c r="AR26" s="19">
        <f>Inputs!AR35</f>
        <v>0</v>
      </c>
      <c r="AS26" s="19">
        <f>Inputs!AS35</f>
        <v>0</v>
      </c>
      <c r="AT26" s="19">
        <f>Inputs!AT35</f>
        <v>0</v>
      </c>
      <c r="AU26" s="19">
        <f>Inputs!AU35</f>
        <v>0</v>
      </c>
      <c r="AV26" s="19">
        <f>Inputs!AV35</f>
        <v>0</v>
      </c>
      <c r="AW26" s="19">
        <f>Inputs!AW35</f>
        <v>0</v>
      </c>
      <c r="AX26" s="19">
        <f>Inputs!AX35</f>
        <v>0</v>
      </c>
    </row>
    <row r="27" spans="1:50" ht="15" customHeight="1">
      <c r="A27"/>
      <c r="B27" s="128"/>
      <c r="C27" s="128"/>
      <c r="D27" s="122"/>
      <c r="E27" s="26" t="s">
        <v>124</v>
      </c>
      <c r="F27" s="16"/>
      <c r="G27" s="26" t="str">
        <f>Inputs!$I$11</f>
        <v>£m 20/21 prices</v>
      </c>
      <c r="H27" s="16"/>
      <c r="I27" s="193"/>
      <c r="J27" s="193"/>
      <c r="K27" s="19">
        <f>Inputs!K36</f>
        <v>0</v>
      </c>
      <c r="L27" s="19">
        <f>Inputs!L36</f>
        <v>0</v>
      </c>
      <c r="M27" s="19">
        <f>Inputs!M36</f>
        <v>0</v>
      </c>
      <c r="N27" s="19">
        <f>Inputs!N36</f>
        <v>0</v>
      </c>
      <c r="O27" s="19">
        <f>Inputs!O36</f>
        <v>0</v>
      </c>
      <c r="P27" s="19">
        <f>Inputs!P36</f>
        <v>0</v>
      </c>
      <c r="Q27" s="19">
        <f>Inputs!Q36</f>
        <v>0</v>
      </c>
      <c r="R27" s="19">
        <f>Inputs!R36</f>
        <v>0</v>
      </c>
      <c r="S27" s="19">
        <f>Inputs!S36</f>
        <v>0</v>
      </c>
      <c r="T27" s="19">
        <f>Inputs!T36</f>
        <v>9.3493492364949979</v>
      </c>
      <c r="U27" s="19">
        <f>Inputs!U36</f>
        <v>15.800159412199609</v>
      </c>
      <c r="V27" s="19">
        <f>Inputs!V36</f>
        <v>20.840010984667764</v>
      </c>
      <c r="W27" s="19">
        <f>Inputs!W36</f>
        <v>8.4564306247405447</v>
      </c>
      <c r="X27" s="19">
        <f>Inputs!X36</f>
        <v>13.250017785620548</v>
      </c>
      <c r="Y27" s="19">
        <f>Inputs!Y36</f>
        <v>8.2258041860463234</v>
      </c>
      <c r="Z27" s="19">
        <f>Inputs!Z36</f>
        <v>2.0282151106573325</v>
      </c>
      <c r="AA27" s="19">
        <f>Inputs!AA36</f>
        <v>0</v>
      </c>
      <c r="AB27" s="19">
        <f>Inputs!AB36</f>
        <v>0</v>
      </c>
      <c r="AC27" s="19">
        <f>Inputs!AC36</f>
        <v>0</v>
      </c>
      <c r="AD27" s="19">
        <f>Inputs!AD36</f>
        <v>0</v>
      </c>
      <c r="AE27" s="19">
        <f>Inputs!AE36</f>
        <v>0</v>
      </c>
      <c r="AF27" s="19">
        <f>Inputs!AF36</f>
        <v>0</v>
      </c>
      <c r="AG27" s="19">
        <f>Inputs!AG36</f>
        <v>0</v>
      </c>
      <c r="AH27" s="19">
        <f>Inputs!AH36</f>
        <v>0</v>
      </c>
      <c r="AI27" s="19">
        <f>Inputs!AI36</f>
        <v>0</v>
      </c>
      <c r="AJ27" s="19">
        <f>Inputs!AJ36</f>
        <v>0</v>
      </c>
      <c r="AK27" s="19">
        <f>Inputs!AK36</f>
        <v>0</v>
      </c>
      <c r="AL27" s="19">
        <f>Inputs!AL36</f>
        <v>0</v>
      </c>
      <c r="AM27" s="19">
        <f>Inputs!AM36</f>
        <v>0</v>
      </c>
      <c r="AN27" s="19">
        <f>Inputs!AN36</f>
        <v>0</v>
      </c>
      <c r="AO27" s="19">
        <f>Inputs!AO36</f>
        <v>0</v>
      </c>
      <c r="AP27" s="19">
        <f>Inputs!AP36</f>
        <v>0</v>
      </c>
      <c r="AQ27" s="19">
        <f>Inputs!AQ36</f>
        <v>0</v>
      </c>
      <c r="AR27" s="19">
        <f>Inputs!AR36</f>
        <v>0</v>
      </c>
      <c r="AS27" s="19">
        <f>Inputs!AS36</f>
        <v>0</v>
      </c>
      <c r="AT27" s="19">
        <f>Inputs!AT36</f>
        <v>0</v>
      </c>
      <c r="AU27" s="19">
        <f>Inputs!AU36</f>
        <v>0</v>
      </c>
      <c r="AV27" s="19">
        <f>Inputs!AV36</f>
        <v>0</v>
      </c>
      <c r="AW27" s="19">
        <f>Inputs!AW36</f>
        <v>0</v>
      </c>
      <c r="AX27" s="19">
        <f>Inputs!AX36</f>
        <v>0</v>
      </c>
    </row>
    <row r="28" spans="1:50" ht="15" customHeight="1">
      <c r="A28"/>
      <c r="B28" s="26"/>
      <c r="C28" s="26"/>
      <c r="D28" s="26"/>
      <c r="E28" s="102" t="s">
        <v>297</v>
      </c>
      <c r="F28" s="26"/>
      <c r="G28" s="26" t="str">
        <f>Inputs!$I$11</f>
        <v>£m 20/21 prices</v>
      </c>
      <c r="H28" s="26"/>
      <c r="I28" s="107"/>
      <c r="J28" s="107"/>
      <c r="K28" s="195">
        <f t="shared" ref="K28:AX28" si="2">((1+$I22)^(1-K8-K9)-1)*(K24+(K25+K26+K27)/(2+$I22))</f>
        <v>0</v>
      </c>
      <c r="L28" s="195">
        <f t="shared" si="2"/>
        <v>0</v>
      </c>
      <c r="M28" s="195">
        <f t="shared" si="2"/>
        <v>0</v>
      </c>
      <c r="N28" s="195">
        <f t="shared" si="2"/>
        <v>0</v>
      </c>
      <c r="O28" s="195">
        <f t="shared" si="2"/>
        <v>2.2943761737033021E-2</v>
      </c>
      <c r="P28" s="195">
        <f t="shared" si="2"/>
        <v>0.14515837750450597</v>
      </c>
      <c r="Q28" s="195">
        <f t="shared" si="2"/>
        <v>0.31327572031948753</v>
      </c>
      <c r="R28" s="195">
        <f t="shared" si="2"/>
        <v>0.46831920075834621</v>
      </c>
      <c r="S28" s="195">
        <f t="shared" si="2"/>
        <v>0.66455457390444161</v>
      </c>
      <c r="T28" s="195">
        <f t="shared" si="2"/>
        <v>3.2076081174741602</v>
      </c>
      <c r="U28" s="195">
        <f t="shared" si="2"/>
        <v>7.2190380652229944</v>
      </c>
      <c r="V28" s="195">
        <f t="shared" si="2"/>
        <v>10.680462847915001</v>
      </c>
      <c r="W28" s="195">
        <f t="shared" si="2"/>
        <v>15.544322421766973</v>
      </c>
      <c r="X28" s="195">
        <f t="shared" si="2"/>
        <v>20.878218719814111</v>
      </c>
      <c r="Y28" s="195">
        <f t="shared" si="2"/>
        <v>24.502199244727436</v>
      </c>
      <c r="Z28" s="195">
        <f t="shared" si="2"/>
        <v>6.5063261684559492</v>
      </c>
      <c r="AA28" s="195">
        <f t="shared" si="2"/>
        <v>0</v>
      </c>
      <c r="AB28" s="195">
        <f t="shared" si="2"/>
        <v>0</v>
      </c>
      <c r="AC28" s="195">
        <f t="shared" si="2"/>
        <v>0</v>
      </c>
      <c r="AD28" s="195">
        <f t="shared" si="2"/>
        <v>0</v>
      </c>
      <c r="AE28" s="195">
        <f t="shared" si="2"/>
        <v>0</v>
      </c>
      <c r="AF28" s="195">
        <f t="shared" si="2"/>
        <v>0</v>
      </c>
      <c r="AG28" s="195">
        <f t="shared" si="2"/>
        <v>0</v>
      </c>
      <c r="AH28" s="195">
        <f t="shared" si="2"/>
        <v>0</v>
      </c>
      <c r="AI28" s="195">
        <f t="shared" si="2"/>
        <v>0</v>
      </c>
      <c r="AJ28" s="195">
        <f t="shared" si="2"/>
        <v>0</v>
      </c>
      <c r="AK28" s="195">
        <f t="shared" si="2"/>
        <v>0</v>
      </c>
      <c r="AL28" s="195">
        <f t="shared" si="2"/>
        <v>0</v>
      </c>
      <c r="AM28" s="195">
        <f t="shared" si="2"/>
        <v>0</v>
      </c>
      <c r="AN28" s="195">
        <f t="shared" si="2"/>
        <v>0</v>
      </c>
      <c r="AO28" s="195">
        <f t="shared" si="2"/>
        <v>0</v>
      </c>
      <c r="AP28" s="195">
        <f t="shared" si="2"/>
        <v>0</v>
      </c>
      <c r="AQ28" s="195">
        <f t="shared" si="2"/>
        <v>0</v>
      </c>
      <c r="AR28" s="195">
        <f t="shared" si="2"/>
        <v>0</v>
      </c>
      <c r="AS28" s="195">
        <f t="shared" si="2"/>
        <v>0</v>
      </c>
      <c r="AT28" s="195">
        <f t="shared" si="2"/>
        <v>0</v>
      </c>
      <c r="AU28" s="195">
        <f t="shared" si="2"/>
        <v>0</v>
      </c>
      <c r="AV28" s="195">
        <f t="shared" si="2"/>
        <v>0</v>
      </c>
      <c r="AW28" s="195">
        <f t="shared" si="2"/>
        <v>0</v>
      </c>
      <c r="AX28" s="195">
        <f t="shared" si="2"/>
        <v>0</v>
      </c>
    </row>
    <row r="29" spans="1:50" ht="15" customHeight="1">
      <c r="A29" s="26"/>
      <c r="B29" s="26"/>
      <c r="C29" s="26"/>
      <c r="D29" s="26"/>
      <c r="E29" s="26"/>
      <c r="F29" s="26"/>
      <c r="G29" s="26"/>
      <c r="H29" s="26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26"/>
      <c r="T29" s="26"/>
      <c r="U29" s="26"/>
      <c r="V29" s="26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108"/>
      <c r="AV29" s="108"/>
      <c r="AW29" s="108"/>
      <c r="AX29" s="108"/>
    </row>
    <row r="30" spans="1:50" ht="15" customHeight="1">
      <c r="A30" s="26"/>
      <c r="B30" s="14" t="s">
        <v>321</v>
      </c>
      <c r="C30" s="58"/>
      <c r="D30" s="58"/>
      <c r="E30" s="58"/>
      <c r="F30" s="59"/>
      <c r="G30" s="59"/>
      <c r="H30" s="59"/>
      <c r="I30" s="178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</row>
    <row r="31" spans="1:50" ht="15" customHeight="1">
      <c r="A31" s="26"/>
      <c r="B31" s="26"/>
      <c r="C31" s="26"/>
      <c r="D31" s="26"/>
      <c r="E31" s="26"/>
      <c r="F31" s="26"/>
      <c r="G31" s="26"/>
      <c r="H31" s="26"/>
      <c r="I31" s="66"/>
      <c r="J31" s="107"/>
      <c r="K31" s="107"/>
      <c r="L31" s="107"/>
      <c r="M31" s="107"/>
      <c r="N31" s="107"/>
      <c r="O31" s="107"/>
      <c r="P31" s="107"/>
      <c r="Q31" s="107"/>
      <c r="R31" s="107"/>
      <c r="S31" s="26"/>
      <c r="T31" s="26"/>
      <c r="U31" s="26"/>
      <c r="V31" s="26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08"/>
      <c r="AP31" s="108"/>
      <c r="AQ31" s="108"/>
      <c r="AR31" s="108"/>
      <c r="AS31" s="108"/>
      <c r="AT31" s="108"/>
      <c r="AU31" s="108"/>
      <c r="AV31" s="108"/>
      <c r="AW31" s="108"/>
      <c r="AX31" s="108"/>
    </row>
    <row r="32" spans="1:50" ht="15" customHeight="1">
      <c r="A32" s="26"/>
      <c r="B32" s="26"/>
      <c r="C32" s="67" t="s">
        <v>322</v>
      </c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</row>
    <row r="33" spans="1:50" ht="15" customHeight="1">
      <c r="A33" s="16"/>
      <c r="B33" s="16"/>
      <c r="C33" s="16"/>
      <c r="D33" s="16"/>
      <c r="E33" s="102"/>
      <c r="F33" s="16"/>
      <c r="G33" s="102"/>
      <c r="H33" s="16"/>
      <c r="I33" s="102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</row>
    <row r="34" spans="1:50" ht="15" customHeight="1">
      <c r="A34" s="16"/>
      <c r="B34" s="16"/>
      <c r="C34" s="16"/>
      <c r="D34" s="16"/>
      <c r="E34" s="102" t="s">
        <v>173</v>
      </c>
      <c r="F34" s="16"/>
      <c r="G34" s="102" t="str">
        <f>Inputs!G73</f>
        <v>%</v>
      </c>
      <c r="H34" s="16"/>
      <c r="I34" s="102">
        <f>Inputs!I73</f>
        <v>0.375</v>
      </c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</row>
    <row r="35" spans="1:50" ht="15" customHeight="1">
      <c r="A35" s="16"/>
      <c r="B35" s="16"/>
      <c r="C35" s="16"/>
      <c r="D35" s="16"/>
      <c r="E35" s="102" t="s">
        <v>174</v>
      </c>
      <c r="F35" s="16"/>
      <c r="G35" s="102" t="str">
        <f>Inputs!G74</f>
        <v>%</v>
      </c>
      <c r="H35" s="16"/>
      <c r="I35" s="102">
        <f>Inputs!I74</f>
        <v>0.5</v>
      </c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</row>
    <row r="36" spans="1:50" ht="15" customHeight="1">
      <c r="A36" s="16"/>
      <c r="B36" s="16"/>
      <c r="C36" s="16"/>
      <c r="D36" s="16"/>
      <c r="E36" s="112"/>
      <c r="F36" s="16"/>
      <c r="G36" s="2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</row>
    <row r="37" spans="1:50" ht="15" customHeight="1">
      <c r="A37" s="16"/>
      <c r="B37" s="16"/>
      <c r="C37" s="16"/>
      <c r="D37" s="16"/>
      <c r="E37" s="102" t="s">
        <v>176</v>
      </c>
      <c r="F37" s="16"/>
      <c r="G37" s="102" t="str">
        <f>Inputs!G77</f>
        <v>%</v>
      </c>
      <c r="H37" s="16"/>
      <c r="I37" s="102">
        <f>Inputs!I77</f>
        <v>2.5000000000000001E-2</v>
      </c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</row>
    <row r="38" spans="1:50" ht="15" customHeight="1">
      <c r="A38" s="16"/>
      <c r="B38" s="16"/>
      <c r="C38" s="16"/>
      <c r="D38" s="16"/>
      <c r="E38" s="102" t="s">
        <v>175</v>
      </c>
      <c r="F38" s="16"/>
      <c r="G38" s="102" t="str">
        <f>Inputs!G76</f>
        <v>%</v>
      </c>
      <c r="H38" s="16"/>
      <c r="I38" s="102">
        <f>Inputs!I76</f>
        <v>0.05</v>
      </c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</row>
    <row r="39" spans="1:50" ht="15" customHeight="1">
      <c r="A39" s="16"/>
      <c r="B39" s="16"/>
      <c r="C39" s="16"/>
      <c r="D39" s="16"/>
      <c r="E39" s="102"/>
      <c r="F39" s="16"/>
      <c r="G39" s="102"/>
      <c r="H39" s="16"/>
      <c r="I39" s="102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</row>
    <row r="40" spans="1:50" ht="15" customHeight="1">
      <c r="A40" s="26"/>
      <c r="B40" s="26"/>
      <c r="C40" s="67" t="s">
        <v>323</v>
      </c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</row>
    <row r="41" spans="1:50" ht="15" customHeight="1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</row>
    <row r="42" spans="1:50" ht="15" customHeight="1">
      <c r="A42"/>
      <c r="B42" s="26"/>
      <c r="C42" s="26"/>
      <c r="D42" s="26"/>
      <c r="E42" s="26" t="s">
        <v>324</v>
      </c>
      <c r="F42" s="26"/>
      <c r="G42" s="26" t="str">
        <f>Inputs!$I$11</f>
        <v>£m 20/21 prices</v>
      </c>
      <c r="H42" s="26"/>
      <c r="I42" s="66"/>
      <c r="J42" s="107"/>
      <c r="K42" s="184">
        <f t="shared" ref="K42:AX42" si="3">J50</f>
        <v>0</v>
      </c>
      <c r="L42" s="184">
        <f t="shared" si="3"/>
        <v>0</v>
      </c>
      <c r="M42" s="184">
        <f t="shared" si="3"/>
        <v>0</v>
      </c>
      <c r="N42" s="184">
        <f t="shared" si="3"/>
        <v>0</v>
      </c>
      <c r="O42" s="184">
        <f t="shared" si="3"/>
        <v>0</v>
      </c>
      <c r="P42" s="184">
        <f t="shared" si="3"/>
        <v>0</v>
      </c>
      <c r="Q42" s="184">
        <f t="shared" si="3"/>
        <v>0</v>
      </c>
      <c r="R42" s="184">
        <f t="shared" si="3"/>
        <v>0</v>
      </c>
      <c r="S42" s="184">
        <f t="shared" si="3"/>
        <v>0</v>
      </c>
      <c r="T42" s="184">
        <f t="shared" si="3"/>
        <v>36.407455743843563</v>
      </c>
      <c r="U42" s="184">
        <f t="shared" si="3"/>
        <v>37.521523889605177</v>
      </c>
      <c r="V42" s="184">
        <f t="shared" si="3"/>
        <v>38.669682520627092</v>
      </c>
      <c r="W42" s="184">
        <f t="shared" si="3"/>
        <v>39.852974805758279</v>
      </c>
      <c r="X42" s="184">
        <f t="shared" si="3"/>
        <v>41.072475834814483</v>
      </c>
      <c r="Y42" s="184">
        <f t="shared" si="3"/>
        <v>42.329293595359808</v>
      </c>
      <c r="Z42" s="184">
        <f t="shared" si="3"/>
        <v>43.624569979377817</v>
      </c>
      <c r="AA42" s="184">
        <f t="shared" si="3"/>
        <v>0</v>
      </c>
      <c r="AB42" s="184">
        <f t="shared" si="3"/>
        <v>0</v>
      </c>
      <c r="AC42" s="184">
        <f t="shared" si="3"/>
        <v>0</v>
      </c>
      <c r="AD42" s="184">
        <f t="shared" si="3"/>
        <v>0</v>
      </c>
      <c r="AE42" s="184">
        <f t="shared" si="3"/>
        <v>0</v>
      </c>
      <c r="AF42" s="184">
        <f t="shared" si="3"/>
        <v>0</v>
      </c>
      <c r="AG42" s="184">
        <f t="shared" si="3"/>
        <v>0</v>
      </c>
      <c r="AH42" s="184">
        <f t="shared" si="3"/>
        <v>0</v>
      </c>
      <c r="AI42" s="184">
        <f t="shared" si="3"/>
        <v>0</v>
      </c>
      <c r="AJ42" s="184">
        <f t="shared" si="3"/>
        <v>0</v>
      </c>
      <c r="AK42" s="184">
        <f t="shared" si="3"/>
        <v>0</v>
      </c>
      <c r="AL42" s="184">
        <f t="shared" si="3"/>
        <v>0</v>
      </c>
      <c r="AM42" s="184">
        <f t="shared" si="3"/>
        <v>0</v>
      </c>
      <c r="AN42" s="184">
        <f t="shared" si="3"/>
        <v>0</v>
      </c>
      <c r="AO42" s="184">
        <f t="shared" si="3"/>
        <v>0</v>
      </c>
      <c r="AP42" s="184">
        <f t="shared" si="3"/>
        <v>0</v>
      </c>
      <c r="AQ42" s="184">
        <f t="shared" si="3"/>
        <v>0</v>
      </c>
      <c r="AR42" s="184">
        <f t="shared" si="3"/>
        <v>0</v>
      </c>
      <c r="AS42" s="184">
        <f t="shared" si="3"/>
        <v>0</v>
      </c>
      <c r="AT42" s="184">
        <f t="shared" si="3"/>
        <v>0</v>
      </c>
      <c r="AU42" s="184">
        <f t="shared" si="3"/>
        <v>0</v>
      </c>
      <c r="AV42" s="184">
        <f t="shared" si="3"/>
        <v>0</v>
      </c>
      <c r="AW42" s="184">
        <f t="shared" si="3"/>
        <v>0</v>
      </c>
      <c r="AX42" s="184">
        <f t="shared" si="3"/>
        <v>0</v>
      </c>
    </row>
    <row r="43" spans="1:50" ht="15" customHeight="1">
      <c r="A43"/>
      <c r="B43" s="26"/>
      <c r="C43" s="26"/>
      <c r="D43" s="26"/>
      <c r="E43" s="26" t="s">
        <v>325</v>
      </c>
      <c r="F43" s="26"/>
      <c r="G43" s="26" t="str">
        <f>Inputs!$I$11</f>
        <v>£m 20/21 prices</v>
      </c>
      <c r="H43" s="26"/>
      <c r="I43" s="66"/>
      <c r="J43" s="107"/>
      <c r="K43" s="20">
        <f>$I34*K$13*$I37*Op_Rav!$K$11</f>
        <v>0</v>
      </c>
      <c r="L43" s="20">
        <f>$I34*L$13*$I37*Op_Rav!$K$11</f>
        <v>0</v>
      </c>
      <c r="M43" s="20">
        <f>$I34*M$13*$I37*Op_Rav!$K$11</f>
        <v>0</v>
      </c>
      <c r="N43" s="20">
        <f>$I34*N$13*$I37*Op_Rav!$K$11</f>
        <v>0</v>
      </c>
      <c r="O43" s="20">
        <f>$I34*O$13*$I37*Op_Rav!$K$11</f>
        <v>0</v>
      </c>
      <c r="P43" s="20">
        <f>$I34*P$13*$I37*Op_Rav!$K$11</f>
        <v>0</v>
      </c>
      <c r="Q43" s="20">
        <f>$I34*Q$13*$I37*Op_Rav!$K$11</f>
        <v>0</v>
      </c>
      <c r="R43" s="20">
        <f>$I34*R$13*$I37*Op_Rav!$K$11</f>
        <v>0</v>
      </c>
      <c r="S43" s="20">
        <f>$I34*S$13*$I37*Op_Rav!$K$11</f>
        <v>8.2769909574835498</v>
      </c>
      <c r="T43" s="20">
        <f>$I34*T$13*$I37*Op_Rav!$K$11</f>
        <v>0</v>
      </c>
      <c r="U43" s="20">
        <f>$I34*U$13*$I37*Op_Rav!$K$11</f>
        <v>0</v>
      </c>
      <c r="V43" s="20">
        <f>$I34*V$13*$I37*Op_Rav!$K$11</f>
        <v>0</v>
      </c>
      <c r="W43" s="20">
        <f>$I34*W$13*$I37*Op_Rav!$K$11</f>
        <v>0</v>
      </c>
      <c r="X43" s="20">
        <f>$I34*X$13*$I37*Op_Rav!$K$11</f>
        <v>0</v>
      </c>
      <c r="Y43" s="20">
        <f>$I34*Y$13*$I37*Op_Rav!$K$11</f>
        <v>0</v>
      </c>
      <c r="Z43" s="20">
        <f>$I34*Z$13*$I37*Op_Rav!$K$11</f>
        <v>0</v>
      </c>
      <c r="AA43" s="20">
        <f>$I34*AA$13*$I37*Op_Rav!$K$11</f>
        <v>0</v>
      </c>
      <c r="AB43" s="20">
        <f>$I34*AB$13*$I37*Op_Rav!$K$11</f>
        <v>0</v>
      </c>
      <c r="AC43" s="20">
        <f>$I34*AC$13*$I37*Op_Rav!$K$11</f>
        <v>0</v>
      </c>
      <c r="AD43" s="20">
        <f>$I34*AD$13*$I37*Op_Rav!$K$11</f>
        <v>0</v>
      </c>
      <c r="AE43" s="20">
        <f>$I34*AE$13*$I37*Op_Rav!$K$11</f>
        <v>0</v>
      </c>
      <c r="AF43" s="20">
        <f>$I34*AF$13*$I37*Op_Rav!$K$11</f>
        <v>0</v>
      </c>
      <c r="AG43" s="20">
        <f>$I34*AG$13*$I37*Op_Rav!$K$11</f>
        <v>0</v>
      </c>
      <c r="AH43" s="20">
        <f>$I34*AH$13*$I37*Op_Rav!$K$11</f>
        <v>0</v>
      </c>
      <c r="AI43" s="20">
        <f>$I34*AI$13*$I37*Op_Rav!$K$11</f>
        <v>0</v>
      </c>
      <c r="AJ43" s="20">
        <f>$I34*AJ$13*$I37*Op_Rav!$K$11</f>
        <v>0</v>
      </c>
      <c r="AK43" s="20">
        <f>$I34*AK$13*$I37*Op_Rav!$K$11</f>
        <v>0</v>
      </c>
      <c r="AL43" s="20">
        <f>$I34*AL$13*$I37*Op_Rav!$K$11</f>
        <v>0</v>
      </c>
      <c r="AM43" s="20">
        <f>$I34*AM$13*$I37*Op_Rav!$K$11</f>
        <v>0</v>
      </c>
      <c r="AN43" s="20">
        <f>$I34*AN$13*$I37*Op_Rav!$K$11</f>
        <v>0</v>
      </c>
      <c r="AO43" s="20">
        <f>$I34*AO$13*$I37*Op_Rav!$K$11</f>
        <v>0</v>
      </c>
      <c r="AP43" s="20">
        <f>$I34*AP$13*$I37*Op_Rav!$K$11</f>
        <v>0</v>
      </c>
      <c r="AQ43" s="20">
        <f>$I34*AQ$13*$I37*Op_Rav!$K$11</f>
        <v>0</v>
      </c>
      <c r="AR43" s="20">
        <f>$I34*AR$13*$I37*Op_Rav!$K$11</f>
        <v>0</v>
      </c>
      <c r="AS43" s="20">
        <f>$I34*AS$13*$I37*Op_Rav!$K$11</f>
        <v>0</v>
      </c>
      <c r="AT43" s="20">
        <f>$I34*AT$13*$I37*Op_Rav!$K$11</f>
        <v>0</v>
      </c>
      <c r="AU43" s="20">
        <f>$I34*AU$13*$I37*Op_Rav!$K$11</f>
        <v>0</v>
      </c>
      <c r="AV43" s="20">
        <f>$I34*AV$13*$I37*Op_Rav!$K$11</f>
        <v>0</v>
      </c>
      <c r="AW43" s="20">
        <f>$I34*AW$13*$I37*Op_Rav!$K$11</f>
        <v>0</v>
      </c>
      <c r="AX43" s="20">
        <f>$I34*AX$13*$I37*Op_Rav!$K$11</f>
        <v>0</v>
      </c>
    </row>
    <row r="44" spans="1:50" ht="15" customHeight="1">
      <c r="A44"/>
      <c r="B44" s="26"/>
      <c r="C44" s="26"/>
      <c r="D44" s="26"/>
      <c r="E44" s="26" t="s">
        <v>326</v>
      </c>
      <c r="F44" s="26"/>
      <c r="G44" s="26" t="str">
        <f>Inputs!$I$11</f>
        <v>£m 20/21 prices</v>
      </c>
      <c r="H44" s="26"/>
      <c r="I44" s="66"/>
      <c r="J44" s="107"/>
      <c r="K44" s="20">
        <f>(1-$I34)*K$13*$I38*Op_Rav!$K$11</f>
        <v>0</v>
      </c>
      <c r="L44" s="20">
        <f>(1-$I34)*L$13*$I38*Op_Rav!$K$11</f>
        <v>0</v>
      </c>
      <c r="M44" s="20">
        <f>(1-$I34)*M$13*$I38*Op_Rav!$K$11</f>
        <v>0</v>
      </c>
      <c r="N44" s="20">
        <f>(1-$I34)*N$13*$I38*Op_Rav!$K$11</f>
        <v>0</v>
      </c>
      <c r="O44" s="20">
        <f>(1-$I34)*O$13*$I38*Op_Rav!$K$11</f>
        <v>0</v>
      </c>
      <c r="P44" s="20">
        <f>(1-$I34)*P$13*$I38*Op_Rav!$K$11</f>
        <v>0</v>
      </c>
      <c r="Q44" s="20">
        <f>(1-$I34)*Q$13*$I38*Op_Rav!$K$11</f>
        <v>0</v>
      </c>
      <c r="R44" s="20">
        <f>(1-$I34)*R$13*$I38*Op_Rav!$K$11</f>
        <v>0</v>
      </c>
      <c r="S44" s="20">
        <f>(1-$I34)*S$13*$I38*Op_Rav!$K$11</f>
        <v>27.589969858278497</v>
      </c>
      <c r="T44" s="20">
        <f>(1-$I34)*T$13*$I38*Op_Rav!$K$11</f>
        <v>0</v>
      </c>
      <c r="U44" s="20">
        <f>(1-$I34)*U$13*$I38*Op_Rav!$K$11</f>
        <v>0</v>
      </c>
      <c r="V44" s="20">
        <f>(1-$I34)*V$13*$I38*Op_Rav!$K$11</f>
        <v>0</v>
      </c>
      <c r="W44" s="20">
        <f>(1-$I34)*W$13*$I38*Op_Rav!$K$11</f>
        <v>0</v>
      </c>
      <c r="X44" s="20">
        <f>(1-$I34)*X$13*$I38*Op_Rav!$K$11</f>
        <v>0</v>
      </c>
      <c r="Y44" s="20">
        <f>(1-$I34)*Y$13*$I38*Op_Rav!$K$11</f>
        <v>0</v>
      </c>
      <c r="Z44" s="20">
        <f>(1-$I34)*Z$13*$I38*Op_Rav!$K$11</f>
        <v>0</v>
      </c>
      <c r="AA44" s="20">
        <f>(1-$I34)*AA$13*$I38*Op_Rav!$K$11</f>
        <v>0</v>
      </c>
      <c r="AB44" s="20">
        <f>(1-$I34)*AB$13*$I38*Op_Rav!$K$11</f>
        <v>0</v>
      </c>
      <c r="AC44" s="20">
        <f>(1-$I34)*AC$13*$I38*Op_Rav!$K$11</f>
        <v>0</v>
      </c>
      <c r="AD44" s="20">
        <f>(1-$I34)*AD$13*$I38*Op_Rav!$K$11</f>
        <v>0</v>
      </c>
      <c r="AE44" s="20">
        <f>(1-$I34)*AE$13*$I38*Op_Rav!$K$11</f>
        <v>0</v>
      </c>
      <c r="AF44" s="20">
        <f>(1-$I34)*AF$13*$I38*Op_Rav!$K$11</f>
        <v>0</v>
      </c>
      <c r="AG44" s="20">
        <f>(1-$I34)*AG$13*$I38*Op_Rav!$K$11</f>
        <v>0</v>
      </c>
      <c r="AH44" s="20">
        <f>(1-$I34)*AH$13*$I38*Op_Rav!$K$11</f>
        <v>0</v>
      </c>
      <c r="AI44" s="20">
        <f>(1-$I34)*AI$13*$I38*Op_Rav!$K$11</f>
        <v>0</v>
      </c>
      <c r="AJ44" s="20">
        <f>(1-$I34)*AJ$13*$I38*Op_Rav!$K$11</f>
        <v>0</v>
      </c>
      <c r="AK44" s="20">
        <f>(1-$I34)*AK$13*$I38*Op_Rav!$K$11</f>
        <v>0</v>
      </c>
      <c r="AL44" s="20">
        <f>(1-$I34)*AL$13*$I38*Op_Rav!$K$11</f>
        <v>0</v>
      </c>
      <c r="AM44" s="20">
        <f>(1-$I34)*AM$13*$I38*Op_Rav!$K$11</f>
        <v>0</v>
      </c>
      <c r="AN44" s="20">
        <f>(1-$I34)*AN$13*$I38*Op_Rav!$K$11</f>
        <v>0</v>
      </c>
      <c r="AO44" s="20">
        <f>(1-$I34)*AO$13*$I38*Op_Rav!$K$11</f>
        <v>0</v>
      </c>
      <c r="AP44" s="20">
        <f>(1-$I34)*AP$13*$I38*Op_Rav!$K$11</f>
        <v>0</v>
      </c>
      <c r="AQ44" s="20">
        <f>(1-$I34)*AQ$13*$I38*Op_Rav!$K$11</f>
        <v>0</v>
      </c>
      <c r="AR44" s="20">
        <f>(1-$I34)*AR$13*$I38*Op_Rav!$K$11</f>
        <v>0</v>
      </c>
      <c r="AS44" s="20">
        <f>(1-$I34)*AS$13*$I38*Op_Rav!$K$11</f>
        <v>0</v>
      </c>
      <c r="AT44" s="20">
        <f>(1-$I34)*AT$13*$I38*Op_Rav!$K$11</f>
        <v>0</v>
      </c>
      <c r="AU44" s="20">
        <f>(1-$I34)*AU$13*$I38*Op_Rav!$K$11</f>
        <v>0</v>
      </c>
      <c r="AV44" s="20">
        <f>(1-$I34)*AV$13*$I38*Op_Rav!$K$11</f>
        <v>0</v>
      </c>
      <c r="AW44" s="20">
        <f>(1-$I34)*AW$13*$I38*Op_Rav!$K$11</f>
        <v>0</v>
      </c>
      <c r="AX44" s="20">
        <f>(1-$I34)*AX$13*$I38*Op_Rav!$K$11</f>
        <v>0</v>
      </c>
    </row>
    <row r="45" spans="1:50" ht="15" customHeight="1">
      <c r="A45"/>
      <c r="B45" s="26"/>
      <c r="C45" s="26"/>
      <c r="D45" s="26"/>
      <c r="E45" s="26" t="s">
        <v>327</v>
      </c>
      <c r="F45" s="26"/>
      <c r="G45" s="26" t="str">
        <f>Inputs!$I$11</f>
        <v>£m 20/21 prices</v>
      </c>
      <c r="H45" s="26"/>
      <c r="I45" s="66"/>
      <c r="J45" s="107"/>
      <c r="K45" s="20">
        <f>($I35-$I34)*Op_Rav!$K$11*$I37*K$11</f>
        <v>0</v>
      </c>
      <c r="L45" s="20">
        <f>($I35-$I34)*Op_Rav!$K$11*$I37*L$11</f>
        <v>0</v>
      </c>
      <c r="M45" s="20">
        <f>($I35-$I34)*Op_Rav!$K$11*$I37*M$11</f>
        <v>0</v>
      </c>
      <c r="N45" s="20">
        <f>($I35-$I34)*Op_Rav!$K$11*$I37*N$11</f>
        <v>0</v>
      </c>
      <c r="O45" s="20">
        <f>($I35-$I34)*Op_Rav!$K$11*$I37*O$11</f>
        <v>0</v>
      </c>
      <c r="P45" s="20">
        <f>($I35-$I34)*Op_Rav!$K$11*$I37*P$11</f>
        <v>0</v>
      </c>
      <c r="Q45" s="20">
        <f>($I35-$I34)*Op_Rav!$K$11*$I37*Q$11</f>
        <v>0</v>
      </c>
      <c r="R45" s="20">
        <f>($I35-$I34)*Op_Rav!$K$11*$I37*R$11</f>
        <v>0</v>
      </c>
      <c r="S45" s="20">
        <f>($I35-$I34)*Op_Rav!$K$11*$I37*S$11</f>
        <v>0</v>
      </c>
      <c r="T45" s="20">
        <f>($I35-$I34)*Op_Rav!$K$11*$I37*T$11</f>
        <v>0</v>
      </c>
      <c r="U45" s="20">
        <f>($I35-$I34)*Op_Rav!$K$11*$I37*U$11</f>
        <v>0</v>
      </c>
      <c r="V45" s="20">
        <f>($I35-$I34)*Op_Rav!$K$11*$I37*V$11</f>
        <v>0</v>
      </c>
      <c r="W45" s="20">
        <f>($I35-$I34)*Op_Rav!$K$11*$I37*W$11</f>
        <v>0</v>
      </c>
      <c r="X45" s="20">
        <f>($I35-$I34)*Op_Rav!$K$11*$I37*X$11</f>
        <v>0</v>
      </c>
      <c r="Y45" s="20">
        <f>($I35-$I34)*Op_Rav!$K$11*$I37*Y$11</f>
        <v>0</v>
      </c>
      <c r="Z45" s="20">
        <f>($I35-$I34)*Op_Rav!$K$11*$I37*Z$11</f>
        <v>2.7589969858278498</v>
      </c>
      <c r="AA45" s="20">
        <f>($I35-$I34)*Op_Rav!$K$11*$I37*AA$11</f>
        <v>0</v>
      </c>
      <c r="AB45" s="20">
        <f>($I35-$I34)*Op_Rav!$K$11*$I37*AB$11</f>
        <v>0</v>
      </c>
      <c r="AC45" s="20">
        <f>($I35-$I34)*Op_Rav!$K$11*$I37*AC$11</f>
        <v>0</v>
      </c>
      <c r="AD45" s="20">
        <f>($I35-$I34)*Op_Rav!$K$11*$I37*AD$11</f>
        <v>0</v>
      </c>
      <c r="AE45" s="20">
        <f>($I35-$I34)*Op_Rav!$K$11*$I37*AE$11</f>
        <v>0</v>
      </c>
      <c r="AF45" s="20">
        <f>($I35-$I34)*Op_Rav!$K$11*$I37*AF$11</f>
        <v>0</v>
      </c>
      <c r="AG45" s="20">
        <f>($I35-$I34)*Op_Rav!$K$11*$I37*AG$11</f>
        <v>0</v>
      </c>
      <c r="AH45" s="20">
        <f>($I35-$I34)*Op_Rav!$K$11*$I37*AH$11</f>
        <v>0</v>
      </c>
      <c r="AI45" s="20">
        <f>($I35-$I34)*Op_Rav!$K$11*$I37*AI$11</f>
        <v>0</v>
      </c>
      <c r="AJ45" s="20">
        <f>($I35-$I34)*Op_Rav!$K$11*$I37*AJ$11</f>
        <v>0</v>
      </c>
      <c r="AK45" s="20">
        <f>($I35-$I34)*Op_Rav!$K$11*$I37*AK$11</f>
        <v>0</v>
      </c>
      <c r="AL45" s="20">
        <f>($I35-$I34)*Op_Rav!$K$11*$I37*AL$11</f>
        <v>0</v>
      </c>
      <c r="AM45" s="20">
        <f>($I35-$I34)*Op_Rav!$K$11*$I37*AM$11</f>
        <v>0</v>
      </c>
      <c r="AN45" s="20">
        <f>($I35-$I34)*Op_Rav!$K$11*$I37*AN$11</f>
        <v>0</v>
      </c>
      <c r="AO45" s="20">
        <f>($I35-$I34)*Op_Rav!$K$11*$I37*AO$11</f>
        <v>0</v>
      </c>
      <c r="AP45" s="20">
        <f>($I35-$I34)*Op_Rav!$K$11*$I37*AP$11</f>
        <v>0</v>
      </c>
      <c r="AQ45" s="20">
        <f>($I35-$I34)*Op_Rav!$K$11*$I37*AQ$11</f>
        <v>0</v>
      </c>
      <c r="AR45" s="20">
        <f>($I35-$I34)*Op_Rav!$K$11*$I37*AR$11</f>
        <v>0</v>
      </c>
      <c r="AS45" s="20">
        <f>($I35-$I34)*Op_Rav!$K$11*$I37*AS$11</f>
        <v>0</v>
      </c>
      <c r="AT45" s="20">
        <f>($I35-$I34)*Op_Rav!$K$11*$I37*AT$11</f>
        <v>0</v>
      </c>
      <c r="AU45" s="20">
        <f>($I35-$I34)*Op_Rav!$K$11*$I37*AU$11</f>
        <v>0</v>
      </c>
      <c r="AV45" s="20">
        <f>($I35-$I34)*Op_Rav!$K$11*$I37*AV$11</f>
        <v>0</v>
      </c>
      <c r="AW45" s="20">
        <f>($I35-$I34)*Op_Rav!$K$11*$I37*AW$11</f>
        <v>0</v>
      </c>
      <c r="AX45" s="20">
        <f>($I35-$I34)*Op_Rav!$K$11*$I37*AX$11</f>
        <v>0</v>
      </c>
    </row>
    <row r="46" spans="1:50" ht="15" customHeight="1">
      <c r="A46"/>
      <c r="B46" s="26"/>
      <c r="C46" s="26"/>
      <c r="D46" s="26"/>
      <c r="E46" s="26" t="s">
        <v>328</v>
      </c>
      <c r="F46" s="26"/>
      <c r="G46" s="26" t="str">
        <f>Inputs!$I$11</f>
        <v>£m 20/21 prices</v>
      </c>
      <c r="H46" s="26"/>
      <c r="I46" s="66"/>
      <c r="J46" s="107"/>
      <c r="K46" s="20">
        <f>($I34-$I35)*Op_Rav!$K$11*$I38*K$11</f>
        <v>0</v>
      </c>
      <c r="L46" s="20">
        <f>($I34-$I35)*Op_Rav!$K$11*$I38*L$11</f>
        <v>0</v>
      </c>
      <c r="M46" s="20">
        <f>($I34-$I35)*Op_Rav!$K$11*$I38*M$11</f>
        <v>0</v>
      </c>
      <c r="N46" s="20">
        <f>($I34-$I35)*Op_Rav!$K$11*$I38*N$11</f>
        <v>0</v>
      </c>
      <c r="O46" s="20">
        <f>($I34-$I35)*Op_Rav!$K$11*$I38*O$11</f>
        <v>0</v>
      </c>
      <c r="P46" s="20">
        <f>($I34-$I35)*Op_Rav!$K$11*$I38*P$11</f>
        <v>0</v>
      </c>
      <c r="Q46" s="20">
        <f>($I34-$I35)*Op_Rav!$K$11*$I38*Q$11</f>
        <v>0</v>
      </c>
      <c r="R46" s="20">
        <f>($I34-$I35)*Op_Rav!$K$11*$I38*R$11</f>
        <v>0</v>
      </c>
      <c r="S46" s="20">
        <f>($I34-$I35)*Op_Rav!$K$11*$I38*S$11</f>
        <v>0</v>
      </c>
      <c r="T46" s="20">
        <f>($I34-$I35)*Op_Rav!$K$11*$I38*T$11</f>
        <v>0</v>
      </c>
      <c r="U46" s="20">
        <f>($I34-$I35)*Op_Rav!$K$11*$I38*U$11</f>
        <v>0</v>
      </c>
      <c r="V46" s="20">
        <f>($I34-$I35)*Op_Rav!$K$11*$I38*V$11</f>
        <v>0</v>
      </c>
      <c r="W46" s="20">
        <f>($I34-$I35)*Op_Rav!$K$11*$I38*W$11</f>
        <v>0</v>
      </c>
      <c r="X46" s="20">
        <f>($I34-$I35)*Op_Rav!$K$11*$I38*X$11</f>
        <v>0</v>
      </c>
      <c r="Y46" s="20">
        <f>($I34-$I35)*Op_Rav!$K$11*$I38*Y$11</f>
        <v>0</v>
      </c>
      <c r="Z46" s="20">
        <f>($I34-$I35)*Op_Rav!$K$11*$I38*Z$11</f>
        <v>-5.5179939716556996</v>
      </c>
      <c r="AA46" s="20">
        <f>($I34-$I35)*Op_Rav!$K$11*$I38*AA$11</f>
        <v>0</v>
      </c>
      <c r="AB46" s="20">
        <f>($I34-$I35)*Op_Rav!$K$11*$I38*AB$11</f>
        <v>0</v>
      </c>
      <c r="AC46" s="20">
        <f>($I34-$I35)*Op_Rav!$K$11*$I38*AC$11</f>
        <v>0</v>
      </c>
      <c r="AD46" s="20">
        <f>($I34-$I35)*Op_Rav!$K$11*$I38*AD$11</f>
        <v>0</v>
      </c>
      <c r="AE46" s="20">
        <f>($I34-$I35)*Op_Rav!$K$11*$I38*AE$11</f>
        <v>0</v>
      </c>
      <c r="AF46" s="20">
        <f>($I34-$I35)*Op_Rav!$K$11*$I38*AF$11</f>
        <v>0</v>
      </c>
      <c r="AG46" s="20">
        <f>($I34-$I35)*Op_Rav!$K$11*$I38*AG$11</f>
        <v>0</v>
      </c>
      <c r="AH46" s="20">
        <f>($I34-$I35)*Op_Rav!$K$11*$I38*AH$11</f>
        <v>0</v>
      </c>
      <c r="AI46" s="20">
        <f>($I34-$I35)*Op_Rav!$K$11*$I38*AI$11</f>
        <v>0</v>
      </c>
      <c r="AJ46" s="20">
        <f>($I34-$I35)*Op_Rav!$K$11*$I38*AJ$11</f>
        <v>0</v>
      </c>
      <c r="AK46" s="20">
        <f>($I34-$I35)*Op_Rav!$K$11*$I38*AK$11</f>
        <v>0</v>
      </c>
      <c r="AL46" s="20">
        <f>($I34-$I35)*Op_Rav!$K$11*$I38*AL$11</f>
        <v>0</v>
      </c>
      <c r="AM46" s="20">
        <f>($I34-$I35)*Op_Rav!$K$11*$I38*AM$11</f>
        <v>0</v>
      </c>
      <c r="AN46" s="20">
        <f>($I34-$I35)*Op_Rav!$K$11*$I38*AN$11</f>
        <v>0</v>
      </c>
      <c r="AO46" s="20">
        <f>($I34-$I35)*Op_Rav!$K$11*$I38*AO$11</f>
        <v>0</v>
      </c>
      <c r="AP46" s="20">
        <f>($I34-$I35)*Op_Rav!$K$11*$I38*AP$11</f>
        <v>0</v>
      </c>
      <c r="AQ46" s="20">
        <f>($I34-$I35)*Op_Rav!$K$11*$I38*AQ$11</f>
        <v>0</v>
      </c>
      <c r="AR46" s="20">
        <f>($I34-$I35)*Op_Rav!$K$11*$I38*AR$11</f>
        <v>0</v>
      </c>
      <c r="AS46" s="20">
        <f>($I34-$I35)*Op_Rav!$K$11*$I38*AS$11</f>
        <v>0</v>
      </c>
      <c r="AT46" s="20">
        <f>($I34-$I35)*Op_Rav!$K$11*$I38*AT$11</f>
        <v>0</v>
      </c>
      <c r="AU46" s="20">
        <f>($I34-$I35)*Op_Rav!$K$11*$I38*AU$11</f>
        <v>0</v>
      </c>
      <c r="AV46" s="20">
        <f>($I34-$I35)*Op_Rav!$K$11*$I38*AV$11</f>
        <v>0</v>
      </c>
      <c r="AW46" s="20">
        <f>($I34-$I35)*Op_Rav!$K$11*$I38*AW$11</f>
        <v>0</v>
      </c>
      <c r="AX46" s="20">
        <f>($I34-$I35)*Op_Rav!$K$11*$I38*AX$11</f>
        <v>0</v>
      </c>
    </row>
    <row r="47" spans="1:50" ht="15" customHeight="1">
      <c r="A47"/>
      <c r="B47" s="26"/>
      <c r="C47" s="26"/>
      <c r="D47" s="26"/>
      <c r="E47" s="26" t="s">
        <v>329</v>
      </c>
      <c r="F47" s="26"/>
      <c r="G47" s="26" t="str">
        <f>Inputs!$I$11</f>
        <v>£m 20/21 prices</v>
      </c>
      <c r="H47" s="26"/>
      <c r="I47" s="66"/>
      <c r="J47" s="107"/>
      <c r="K47" s="196">
        <f t="shared" ref="K47:AX47" si="4">SUM(K43:K46)</f>
        <v>0</v>
      </c>
      <c r="L47" s="196">
        <f t="shared" si="4"/>
        <v>0</v>
      </c>
      <c r="M47" s="196">
        <f t="shared" si="4"/>
        <v>0</v>
      </c>
      <c r="N47" s="196">
        <f t="shared" si="4"/>
        <v>0</v>
      </c>
      <c r="O47" s="196">
        <f t="shared" si="4"/>
        <v>0</v>
      </c>
      <c r="P47" s="196">
        <f t="shared" si="4"/>
        <v>0</v>
      </c>
      <c r="Q47" s="196">
        <f t="shared" si="4"/>
        <v>0</v>
      </c>
      <c r="R47" s="196">
        <f t="shared" si="4"/>
        <v>0</v>
      </c>
      <c r="S47" s="196">
        <f t="shared" si="4"/>
        <v>35.866960815762049</v>
      </c>
      <c r="T47" s="196">
        <f t="shared" si="4"/>
        <v>0</v>
      </c>
      <c r="U47" s="196">
        <f t="shared" si="4"/>
        <v>0</v>
      </c>
      <c r="V47" s="196">
        <f t="shared" si="4"/>
        <v>0</v>
      </c>
      <c r="W47" s="196">
        <f t="shared" si="4"/>
        <v>0</v>
      </c>
      <c r="X47" s="196">
        <f t="shared" si="4"/>
        <v>0</v>
      </c>
      <c r="Y47" s="196">
        <f t="shared" si="4"/>
        <v>0</v>
      </c>
      <c r="Z47" s="196">
        <f t="shared" si="4"/>
        <v>-2.7589969858278498</v>
      </c>
      <c r="AA47" s="196">
        <f t="shared" si="4"/>
        <v>0</v>
      </c>
      <c r="AB47" s="196">
        <f t="shared" si="4"/>
        <v>0</v>
      </c>
      <c r="AC47" s="196">
        <f t="shared" si="4"/>
        <v>0</v>
      </c>
      <c r="AD47" s="196">
        <f t="shared" si="4"/>
        <v>0</v>
      </c>
      <c r="AE47" s="196">
        <f t="shared" si="4"/>
        <v>0</v>
      </c>
      <c r="AF47" s="196">
        <f t="shared" si="4"/>
        <v>0</v>
      </c>
      <c r="AG47" s="196">
        <f t="shared" si="4"/>
        <v>0</v>
      </c>
      <c r="AH47" s="196">
        <f t="shared" si="4"/>
        <v>0</v>
      </c>
      <c r="AI47" s="196">
        <f t="shared" si="4"/>
        <v>0</v>
      </c>
      <c r="AJ47" s="196">
        <f t="shared" si="4"/>
        <v>0</v>
      </c>
      <c r="AK47" s="196">
        <f t="shared" si="4"/>
        <v>0</v>
      </c>
      <c r="AL47" s="196">
        <f t="shared" si="4"/>
        <v>0</v>
      </c>
      <c r="AM47" s="196">
        <f t="shared" si="4"/>
        <v>0</v>
      </c>
      <c r="AN47" s="196">
        <f t="shared" si="4"/>
        <v>0</v>
      </c>
      <c r="AO47" s="196">
        <f t="shared" si="4"/>
        <v>0</v>
      </c>
      <c r="AP47" s="196">
        <f t="shared" si="4"/>
        <v>0</v>
      </c>
      <c r="AQ47" s="196">
        <f t="shared" si="4"/>
        <v>0</v>
      </c>
      <c r="AR47" s="196">
        <f t="shared" si="4"/>
        <v>0</v>
      </c>
      <c r="AS47" s="196">
        <f t="shared" si="4"/>
        <v>0</v>
      </c>
      <c r="AT47" s="196">
        <f t="shared" si="4"/>
        <v>0</v>
      </c>
      <c r="AU47" s="196">
        <f t="shared" si="4"/>
        <v>0</v>
      </c>
      <c r="AV47" s="196">
        <f t="shared" si="4"/>
        <v>0</v>
      </c>
      <c r="AW47" s="196">
        <f t="shared" si="4"/>
        <v>0</v>
      </c>
      <c r="AX47" s="196">
        <f t="shared" si="4"/>
        <v>0</v>
      </c>
    </row>
    <row r="48" spans="1:50" ht="15" customHeight="1">
      <c r="A48"/>
      <c r="B48" s="26"/>
      <c r="C48" s="26"/>
      <c r="D48" s="26"/>
      <c r="E48" s="102" t="s">
        <v>330</v>
      </c>
      <c r="F48" s="26"/>
      <c r="G48" s="26" t="str">
        <f>Inputs!$I$11</f>
        <v>£m 20/21 prices</v>
      </c>
      <c r="H48" s="26"/>
      <c r="I48" s="66"/>
      <c r="J48" s="107"/>
      <c r="K48" s="197">
        <f t="shared" ref="K48:AX48" si="5">((1+$I22)^(1-K$9-K$8)-1)*(K42+(K43+K44+K45+K46)/(2+$I22))</f>
        <v>0</v>
      </c>
      <c r="L48" s="197">
        <f t="shared" si="5"/>
        <v>0</v>
      </c>
      <c r="M48" s="197">
        <f t="shared" si="5"/>
        <v>0</v>
      </c>
      <c r="N48" s="197">
        <f t="shared" si="5"/>
        <v>0</v>
      </c>
      <c r="O48" s="197">
        <f t="shared" si="5"/>
        <v>0</v>
      </c>
      <c r="P48" s="197">
        <f t="shared" si="5"/>
        <v>0</v>
      </c>
      <c r="Q48" s="197">
        <f t="shared" si="5"/>
        <v>0</v>
      </c>
      <c r="R48" s="197">
        <f t="shared" si="5"/>
        <v>0</v>
      </c>
      <c r="S48" s="197">
        <f t="shared" si="5"/>
        <v>0.54049492808151145</v>
      </c>
      <c r="T48" s="197">
        <f t="shared" si="5"/>
        <v>1.1140681457616115</v>
      </c>
      <c r="U48" s="197">
        <f t="shared" si="5"/>
        <v>1.148158631021917</v>
      </c>
      <c r="V48" s="197">
        <f t="shared" si="5"/>
        <v>1.1832922851311876</v>
      </c>
      <c r="W48" s="197">
        <f t="shared" si="5"/>
        <v>1.2195010290562018</v>
      </c>
      <c r="X48" s="197">
        <f t="shared" si="5"/>
        <v>1.2568177605453215</v>
      </c>
      <c r="Y48" s="197">
        <f t="shared" si="5"/>
        <v>1.2952763840180084</v>
      </c>
      <c r="Z48" s="197">
        <f t="shared" si="5"/>
        <v>0.31793495212126033</v>
      </c>
      <c r="AA48" s="197">
        <f t="shared" si="5"/>
        <v>0</v>
      </c>
      <c r="AB48" s="197">
        <f t="shared" si="5"/>
        <v>0</v>
      </c>
      <c r="AC48" s="197">
        <f t="shared" si="5"/>
        <v>0</v>
      </c>
      <c r="AD48" s="197">
        <f t="shared" si="5"/>
        <v>0</v>
      </c>
      <c r="AE48" s="197">
        <f t="shared" si="5"/>
        <v>0</v>
      </c>
      <c r="AF48" s="197">
        <f t="shared" si="5"/>
        <v>0</v>
      </c>
      <c r="AG48" s="197">
        <f t="shared" si="5"/>
        <v>0</v>
      </c>
      <c r="AH48" s="197">
        <f t="shared" si="5"/>
        <v>0</v>
      </c>
      <c r="AI48" s="197">
        <f t="shared" si="5"/>
        <v>0</v>
      </c>
      <c r="AJ48" s="197">
        <f t="shared" si="5"/>
        <v>0</v>
      </c>
      <c r="AK48" s="197">
        <f t="shared" si="5"/>
        <v>0</v>
      </c>
      <c r="AL48" s="197">
        <f t="shared" si="5"/>
        <v>0</v>
      </c>
      <c r="AM48" s="197">
        <f t="shared" si="5"/>
        <v>0</v>
      </c>
      <c r="AN48" s="197">
        <f t="shared" si="5"/>
        <v>0</v>
      </c>
      <c r="AO48" s="197">
        <f t="shared" si="5"/>
        <v>0</v>
      </c>
      <c r="AP48" s="197">
        <f t="shared" si="5"/>
        <v>0</v>
      </c>
      <c r="AQ48" s="197">
        <f t="shared" si="5"/>
        <v>0</v>
      </c>
      <c r="AR48" s="197">
        <f t="shared" si="5"/>
        <v>0</v>
      </c>
      <c r="AS48" s="197">
        <f t="shared" si="5"/>
        <v>0</v>
      </c>
      <c r="AT48" s="197">
        <f t="shared" si="5"/>
        <v>0</v>
      </c>
      <c r="AU48" s="197">
        <f t="shared" si="5"/>
        <v>0</v>
      </c>
      <c r="AV48" s="197">
        <f t="shared" si="5"/>
        <v>0</v>
      </c>
      <c r="AW48" s="197">
        <f t="shared" si="5"/>
        <v>0</v>
      </c>
      <c r="AX48" s="197">
        <f t="shared" si="5"/>
        <v>0</v>
      </c>
    </row>
    <row r="49" spans="1:50" ht="15" customHeight="1">
      <c r="A49"/>
      <c r="B49" s="26"/>
      <c r="C49" s="26"/>
      <c r="D49" s="26"/>
      <c r="E49" s="102" t="s">
        <v>331</v>
      </c>
      <c r="F49" s="26"/>
      <c r="G49" s="26" t="str">
        <f>Inputs!$I$11</f>
        <v>£m 20/21 prices</v>
      </c>
      <c r="H49" s="26"/>
      <c r="I49" s="66"/>
      <c r="J49" s="107"/>
      <c r="K49" s="20">
        <f t="shared" ref="K49:AX49" si="6">-SUM(K42,K47,K48)*K$11</f>
        <v>0</v>
      </c>
      <c r="L49" s="20">
        <f t="shared" si="6"/>
        <v>0</v>
      </c>
      <c r="M49" s="20">
        <f t="shared" si="6"/>
        <v>0</v>
      </c>
      <c r="N49" s="20">
        <f t="shared" si="6"/>
        <v>0</v>
      </c>
      <c r="O49" s="20">
        <f t="shared" si="6"/>
        <v>0</v>
      </c>
      <c r="P49" s="20">
        <f t="shared" si="6"/>
        <v>0</v>
      </c>
      <c r="Q49" s="20">
        <f t="shared" si="6"/>
        <v>0</v>
      </c>
      <c r="R49" s="20">
        <f t="shared" si="6"/>
        <v>0</v>
      </c>
      <c r="S49" s="20">
        <f t="shared" si="6"/>
        <v>0</v>
      </c>
      <c r="T49" s="20">
        <f t="shared" si="6"/>
        <v>0</v>
      </c>
      <c r="U49" s="20">
        <f t="shared" si="6"/>
        <v>0</v>
      </c>
      <c r="V49" s="20">
        <f t="shared" si="6"/>
        <v>0</v>
      </c>
      <c r="W49" s="20">
        <f t="shared" si="6"/>
        <v>0</v>
      </c>
      <c r="X49" s="20">
        <f t="shared" si="6"/>
        <v>0</v>
      </c>
      <c r="Y49" s="20">
        <f t="shared" si="6"/>
        <v>0</v>
      </c>
      <c r="Z49" s="20">
        <f t="shared" si="6"/>
        <v>-41.183507945671231</v>
      </c>
      <c r="AA49" s="20">
        <f t="shared" si="6"/>
        <v>0</v>
      </c>
      <c r="AB49" s="20">
        <f t="shared" si="6"/>
        <v>0</v>
      </c>
      <c r="AC49" s="20">
        <f t="shared" si="6"/>
        <v>0</v>
      </c>
      <c r="AD49" s="20">
        <f t="shared" si="6"/>
        <v>0</v>
      </c>
      <c r="AE49" s="20">
        <f t="shared" si="6"/>
        <v>0</v>
      </c>
      <c r="AF49" s="20">
        <f t="shared" si="6"/>
        <v>0</v>
      </c>
      <c r="AG49" s="20">
        <f t="shared" si="6"/>
        <v>0</v>
      </c>
      <c r="AH49" s="20">
        <f t="shared" si="6"/>
        <v>0</v>
      </c>
      <c r="AI49" s="20">
        <f t="shared" si="6"/>
        <v>0</v>
      </c>
      <c r="AJ49" s="20">
        <f t="shared" si="6"/>
        <v>0</v>
      </c>
      <c r="AK49" s="20">
        <f t="shared" si="6"/>
        <v>0</v>
      </c>
      <c r="AL49" s="20">
        <f t="shared" si="6"/>
        <v>0</v>
      </c>
      <c r="AM49" s="20">
        <f t="shared" si="6"/>
        <v>0</v>
      </c>
      <c r="AN49" s="20">
        <f t="shared" si="6"/>
        <v>0</v>
      </c>
      <c r="AO49" s="20">
        <f t="shared" si="6"/>
        <v>0</v>
      </c>
      <c r="AP49" s="20">
        <f t="shared" si="6"/>
        <v>0</v>
      </c>
      <c r="AQ49" s="20">
        <f t="shared" si="6"/>
        <v>0</v>
      </c>
      <c r="AR49" s="20">
        <f t="shared" si="6"/>
        <v>0</v>
      </c>
      <c r="AS49" s="20">
        <f t="shared" si="6"/>
        <v>0</v>
      </c>
      <c r="AT49" s="20">
        <f t="shared" si="6"/>
        <v>0</v>
      </c>
      <c r="AU49" s="20">
        <f t="shared" si="6"/>
        <v>0</v>
      </c>
      <c r="AV49" s="20">
        <f t="shared" si="6"/>
        <v>0</v>
      </c>
      <c r="AW49" s="20">
        <f t="shared" si="6"/>
        <v>0</v>
      </c>
      <c r="AX49" s="20">
        <f t="shared" si="6"/>
        <v>0</v>
      </c>
    </row>
    <row r="50" spans="1:50" ht="15" customHeight="1">
      <c r="A50"/>
      <c r="B50" s="26"/>
      <c r="C50" s="26"/>
      <c r="D50" s="26"/>
      <c r="E50" s="26" t="s">
        <v>332</v>
      </c>
      <c r="F50" s="26"/>
      <c r="G50" s="26" t="str">
        <f>Inputs!$I$11</f>
        <v>£m 20/21 prices</v>
      </c>
      <c r="H50" s="26"/>
      <c r="I50" s="66"/>
      <c r="J50" s="107"/>
      <c r="K50" s="181">
        <f t="shared" ref="K50:AX50" si="7">SUM(K49,K48,K47,K42)</f>
        <v>0</v>
      </c>
      <c r="L50" s="181">
        <f t="shared" si="7"/>
        <v>0</v>
      </c>
      <c r="M50" s="181">
        <f t="shared" si="7"/>
        <v>0</v>
      </c>
      <c r="N50" s="181">
        <f t="shared" si="7"/>
        <v>0</v>
      </c>
      <c r="O50" s="181">
        <f t="shared" si="7"/>
        <v>0</v>
      </c>
      <c r="P50" s="181">
        <f t="shared" si="7"/>
        <v>0</v>
      </c>
      <c r="Q50" s="181">
        <f t="shared" si="7"/>
        <v>0</v>
      </c>
      <c r="R50" s="181">
        <f t="shared" si="7"/>
        <v>0</v>
      </c>
      <c r="S50" s="181">
        <f t="shared" si="7"/>
        <v>36.407455743843563</v>
      </c>
      <c r="T50" s="181">
        <f t="shared" si="7"/>
        <v>37.521523889605177</v>
      </c>
      <c r="U50" s="181">
        <f t="shared" si="7"/>
        <v>38.669682520627092</v>
      </c>
      <c r="V50" s="181">
        <f t="shared" si="7"/>
        <v>39.852974805758279</v>
      </c>
      <c r="W50" s="181">
        <f t="shared" si="7"/>
        <v>41.072475834814483</v>
      </c>
      <c r="X50" s="181">
        <f t="shared" si="7"/>
        <v>42.329293595359808</v>
      </c>
      <c r="Y50" s="181">
        <f t="shared" si="7"/>
        <v>43.624569979377817</v>
      </c>
      <c r="Z50" s="181">
        <f t="shared" si="7"/>
        <v>0</v>
      </c>
      <c r="AA50" s="181">
        <f t="shared" si="7"/>
        <v>0</v>
      </c>
      <c r="AB50" s="181">
        <f t="shared" si="7"/>
        <v>0</v>
      </c>
      <c r="AC50" s="181">
        <f t="shared" si="7"/>
        <v>0</v>
      </c>
      <c r="AD50" s="181">
        <f t="shared" si="7"/>
        <v>0</v>
      </c>
      <c r="AE50" s="181">
        <f t="shared" si="7"/>
        <v>0</v>
      </c>
      <c r="AF50" s="181">
        <f t="shared" si="7"/>
        <v>0</v>
      </c>
      <c r="AG50" s="181">
        <f t="shared" si="7"/>
        <v>0</v>
      </c>
      <c r="AH50" s="181">
        <f t="shared" si="7"/>
        <v>0</v>
      </c>
      <c r="AI50" s="181">
        <f t="shared" si="7"/>
        <v>0</v>
      </c>
      <c r="AJ50" s="181">
        <f t="shared" si="7"/>
        <v>0</v>
      </c>
      <c r="AK50" s="181">
        <f t="shared" si="7"/>
        <v>0</v>
      </c>
      <c r="AL50" s="181">
        <f t="shared" si="7"/>
        <v>0</v>
      </c>
      <c r="AM50" s="181">
        <f t="shared" si="7"/>
        <v>0</v>
      </c>
      <c r="AN50" s="181">
        <f t="shared" si="7"/>
        <v>0</v>
      </c>
      <c r="AO50" s="181">
        <f t="shared" si="7"/>
        <v>0</v>
      </c>
      <c r="AP50" s="181">
        <f t="shared" si="7"/>
        <v>0</v>
      </c>
      <c r="AQ50" s="181">
        <f t="shared" si="7"/>
        <v>0</v>
      </c>
      <c r="AR50" s="181">
        <f t="shared" si="7"/>
        <v>0</v>
      </c>
      <c r="AS50" s="181">
        <f t="shared" si="7"/>
        <v>0</v>
      </c>
      <c r="AT50" s="181">
        <f t="shared" si="7"/>
        <v>0</v>
      </c>
      <c r="AU50" s="181">
        <f t="shared" si="7"/>
        <v>0</v>
      </c>
      <c r="AV50" s="181">
        <f t="shared" si="7"/>
        <v>0</v>
      </c>
      <c r="AW50" s="181">
        <f t="shared" si="7"/>
        <v>0</v>
      </c>
      <c r="AX50" s="181">
        <f t="shared" si="7"/>
        <v>0</v>
      </c>
    </row>
    <row r="51" spans="1:50" ht="15" customHeight="1">
      <c r="A51"/>
      <c r="B51" s="26"/>
      <c r="C51" s="26"/>
      <c r="D51" s="26"/>
      <c r="E51" s="26"/>
      <c r="F51" s="26"/>
      <c r="G51" s="26"/>
      <c r="H51" s="26"/>
      <c r="I51" s="66"/>
      <c r="J51" s="107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</row>
    <row r="52" spans="1:50" ht="15" customHeight="1">
      <c r="A52" s="27"/>
      <c r="B52" s="14" t="s">
        <v>288</v>
      </c>
      <c r="C52" s="58"/>
      <c r="D52" s="58"/>
      <c r="E52" s="58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</row>
    <row r="53" spans="1:50" ht="15" customHeight="1">
      <c r="A53" s="27"/>
      <c r="B53" s="26"/>
      <c r="C53" s="26"/>
      <c r="D53" s="26"/>
      <c r="E53" s="26"/>
      <c r="F53" s="26"/>
      <c r="G53" s="26"/>
      <c r="H53" s="26"/>
      <c r="I53" s="66"/>
      <c r="J53" s="107"/>
      <c r="K53" s="107"/>
      <c r="L53" s="107"/>
      <c r="M53" s="107"/>
      <c r="N53" s="107"/>
      <c r="O53" s="107"/>
      <c r="P53" s="107"/>
      <c r="Q53" s="107"/>
      <c r="R53" s="107"/>
      <c r="S53" s="26"/>
      <c r="T53" s="26"/>
      <c r="U53" s="26"/>
      <c r="V53" s="26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8"/>
      <c r="AT53" s="108"/>
      <c r="AU53" s="108"/>
      <c r="AV53" s="108"/>
      <c r="AW53" s="108"/>
      <c r="AX53" s="108"/>
    </row>
    <row r="54" spans="1:50" ht="15" customHeight="1">
      <c r="A54" s="27"/>
      <c r="B54" s="26"/>
      <c r="C54" s="67" t="s">
        <v>333</v>
      </c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</row>
    <row r="55" spans="1:50" ht="15" customHeight="1">
      <c r="A55" s="198"/>
      <c r="B55" s="128"/>
      <c r="C55" s="128"/>
      <c r="D55" s="122"/>
      <c r="E55" s="16"/>
      <c r="F55" s="16"/>
      <c r="G55" s="16"/>
      <c r="H55" s="16"/>
      <c r="I55" s="193"/>
      <c r="J55" s="193"/>
      <c r="K55" s="193"/>
      <c r="L55" s="193"/>
      <c r="M55" s="193"/>
      <c r="N55" s="193"/>
      <c r="O55" s="193"/>
      <c r="P55" s="193"/>
      <c r="Q55" s="193"/>
      <c r="R55" s="193"/>
      <c r="S55" s="193"/>
      <c r="T55" s="193"/>
      <c r="U55" s="193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3"/>
      <c r="AI55" s="193"/>
      <c r="AJ55" s="193"/>
      <c r="AK55" s="193"/>
      <c r="AL55" s="193"/>
      <c r="AM55" s="193"/>
      <c r="AN55" s="193"/>
      <c r="AO55" s="193"/>
      <c r="AP55" s="193"/>
      <c r="AQ55" s="193"/>
      <c r="AR55" s="193"/>
      <c r="AS55" s="193"/>
      <c r="AT55" s="193"/>
      <c r="AU55" s="193"/>
      <c r="AV55" s="193"/>
      <c r="AW55" s="193"/>
      <c r="AX55" s="193"/>
    </row>
    <row r="56" spans="1:50" ht="15" customHeight="1">
      <c r="A56" s="125"/>
      <c r="B56" s="128"/>
      <c r="C56" s="128"/>
      <c r="D56" s="122"/>
      <c r="E56" s="26" t="s">
        <v>312</v>
      </c>
      <c r="F56" s="16"/>
      <c r="G56" s="13" t="str">
        <f>CONCATENATE(Inputs!$I$9,"m nominal prices")</f>
        <v>£m nominal prices</v>
      </c>
      <c r="H56" s="16"/>
      <c r="I56" s="193"/>
      <c r="J56" s="193"/>
      <c r="K56" s="21">
        <f>Pre_Op_RAV!K54</f>
        <v>0</v>
      </c>
      <c r="L56" s="21">
        <f>Pre_Op_RAV!L54</f>
        <v>0</v>
      </c>
      <c r="M56" s="21">
        <f>Pre_Op_RAV!M54</f>
        <v>0</v>
      </c>
      <c r="N56" s="21">
        <f>Pre_Op_RAV!N54</f>
        <v>0</v>
      </c>
      <c r="O56" s="21">
        <f>Pre_Op_RAV!O54</f>
        <v>0</v>
      </c>
      <c r="P56" s="21">
        <f>Pre_Op_RAV!P54</f>
        <v>0</v>
      </c>
      <c r="Q56" s="21">
        <f>Pre_Op_RAV!Q54</f>
        <v>0</v>
      </c>
      <c r="R56" s="21">
        <f>Pre_Op_RAV!R54</f>
        <v>0</v>
      </c>
      <c r="S56" s="21">
        <f>Pre_Op_RAV!S54</f>
        <v>0</v>
      </c>
      <c r="T56" s="21">
        <f>Pre_Op_RAV!T54</f>
        <v>244.95640690109127</v>
      </c>
      <c r="U56" s="21">
        <f>Pre_Op_RAV!U54</f>
        <v>135.37421280575344</v>
      </c>
      <c r="V56" s="21">
        <f>Pre_Op_RAV!V54</f>
        <v>174.31057252819559</v>
      </c>
      <c r="W56" s="21">
        <f>Pre_Op_RAV!W54</f>
        <v>264.82961391644</v>
      </c>
      <c r="X56" s="21">
        <f>Pre_Op_RAV!X54</f>
        <v>227.65526409121244</v>
      </c>
      <c r="Y56" s="21">
        <f>Pre_Op_RAV!Y54</f>
        <v>132.0038679868959</v>
      </c>
      <c r="Z56" s="21">
        <f>Pre_Op_RAV!Z54</f>
        <v>31.880428263202361</v>
      </c>
      <c r="AA56" s="21">
        <f>Pre_Op_RAV!AA54</f>
        <v>0</v>
      </c>
      <c r="AB56" s="21">
        <f>Pre_Op_RAV!AB54</f>
        <v>0</v>
      </c>
      <c r="AC56" s="21">
        <f>Pre_Op_RAV!AC54</f>
        <v>0</v>
      </c>
      <c r="AD56" s="21">
        <f>Pre_Op_RAV!AD54</f>
        <v>0</v>
      </c>
      <c r="AE56" s="21">
        <f>Pre_Op_RAV!AE54</f>
        <v>0</v>
      </c>
      <c r="AF56" s="21">
        <f>Pre_Op_RAV!AF54</f>
        <v>0</v>
      </c>
      <c r="AG56" s="21">
        <f>Pre_Op_RAV!AG54</f>
        <v>0</v>
      </c>
      <c r="AH56" s="21">
        <f>Pre_Op_RAV!AH54</f>
        <v>0</v>
      </c>
      <c r="AI56" s="21">
        <f>Pre_Op_RAV!AI54</f>
        <v>0</v>
      </c>
      <c r="AJ56" s="21">
        <f>Pre_Op_RAV!AJ54</f>
        <v>0</v>
      </c>
      <c r="AK56" s="21">
        <f>Pre_Op_RAV!AK54</f>
        <v>0</v>
      </c>
      <c r="AL56" s="21">
        <f>Pre_Op_RAV!AL54</f>
        <v>0</v>
      </c>
      <c r="AM56" s="21">
        <f>Pre_Op_RAV!AM54</f>
        <v>0</v>
      </c>
      <c r="AN56" s="21">
        <f>Pre_Op_RAV!AN54</f>
        <v>0</v>
      </c>
      <c r="AO56" s="21">
        <f>Pre_Op_RAV!AO54</f>
        <v>0</v>
      </c>
      <c r="AP56" s="21">
        <f>Pre_Op_RAV!AP54</f>
        <v>0</v>
      </c>
      <c r="AQ56" s="21">
        <f>Pre_Op_RAV!AQ54</f>
        <v>0</v>
      </c>
      <c r="AR56" s="21">
        <f>Pre_Op_RAV!AR54</f>
        <v>0</v>
      </c>
      <c r="AS56" s="21">
        <f>Pre_Op_RAV!AS54</f>
        <v>0</v>
      </c>
      <c r="AT56" s="21">
        <f>Pre_Op_RAV!AT54</f>
        <v>0</v>
      </c>
      <c r="AU56" s="21">
        <f>Pre_Op_RAV!AU54</f>
        <v>0</v>
      </c>
      <c r="AV56" s="21">
        <f>Pre_Op_RAV!AV54</f>
        <v>0</v>
      </c>
      <c r="AW56" s="21">
        <f>Pre_Op_RAV!AW54</f>
        <v>0</v>
      </c>
      <c r="AX56" s="21">
        <f>Pre_Op_RAV!AX54</f>
        <v>0</v>
      </c>
    </row>
    <row r="57" spans="1:50" ht="15" customHeight="1">
      <c r="A57" s="198"/>
      <c r="B57" s="128"/>
      <c r="C57" s="128"/>
      <c r="D57" s="122"/>
      <c r="E57" s="16"/>
      <c r="F57" s="16"/>
      <c r="G57" s="16"/>
      <c r="H57" s="16"/>
      <c r="I57" s="193"/>
      <c r="J57" s="193"/>
      <c r="K57" s="193"/>
      <c r="L57" s="193"/>
      <c r="M57" s="193"/>
      <c r="N57" s="193"/>
      <c r="O57" s="193"/>
      <c r="P57" s="193"/>
      <c r="Q57" s="193"/>
      <c r="R57" s="193"/>
      <c r="S57" s="193"/>
      <c r="T57" s="193"/>
      <c r="U57" s="193"/>
      <c r="V57" s="193"/>
      <c r="W57" s="193"/>
      <c r="X57" s="193"/>
      <c r="Y57" s="193"/>
      <c r="Z57" s="193"/>
      <c r="AA57" s="193"/>
      <c r="AB57" s="193"/>
      <c r="AC57" s="193"/>
      <c r="AD57" s="193"/>
      <c r="AE57" s="193"/>
      <c r="AF57" s="193"/>
      <c r="AG57" s="193"/>
      <c r="AH57" s="193"/>
      <c r="AI57" s="193"/>
      <c r="AJ57" s="193"/>
      <c r="AK57" s="193"/>
      <c r="AL57" s="193"/>
      <c r="AM57" s="193"/>
      <c r="AN57" s="193"/>
      <c r="AO57" s="193"/>
      <c r="AP57" s="193"/>
      <c r="AQ57" s="193"/>
      <c r="AR57" s="193"/>
      <c r="AS57" s="193"/>
      <c r="AT57" s="193"/>
      <c r="AU57" s="193"/>
      <c r="AV57" s="193"/>
      <c r="AW57" s="193"/>
      <c r="AX57" s="193"/>
    </row>
    <row r="58" spans="1:50" ht="15" customHeight="1">
      <c r="A58" s="198"/>
      <c r="B58" s="128"/>
      <c r="C58" s="128"/>
      <c r="D58" s="122"/>
      <c r="E58" s="13" t="s">
        <v>334</v>
      </c>
      <c r="F58" s="16"/>
      <c r="G58" s="13" t="str">
        <f>CONCATENATE(Inputs!$I$9,"m nominal prices")</f>
        <v>£m nominal prices</v>
      </c>
      <c r="H58" s="16"/>
      <c r="I58" s="193">
        <f>IF(Inputs!I81=1,Inputs!I82,I59*SUM(K56:AX56))</f>
        <v>1504</v>
      </c>
      <c r="J58" s="193"/>
      <c r="K58" s="193"/>
      <c r="L58" s="193"/>
      <c r="M58" s="193"/>
      <c r="N58" s="193"/>
      <c r="O58" s="193"/>
      <c r="P58" s="193"/>
      <c r="Q58" s="193"/>
      <c r="R58" s="193"/>
      <c r="S58" s="193"/>
      <c r="T58" s="193"/>
      <c r="U58" s="193"/>
      <c r="V58" s="193"/>
      <c r="W58" s="193"/>
      <c r="X58" s="193"/>
      <c r="Y58" s="193"/>
      <c r="Z58" s="193"/>
      <c r="AA58" s="193"/>
      <c r="AB58" s="193"/>
      <c r="AC58" s="193"/>
      <c r="AD58" s="193"/>
      <c r="AE58" s="193"/>
      <c r="AF58" s="193"/>
      <c r="AG58" s="193"/>
      <c r="AH58" s="193"/>
      <c r="AI58" s="193"/>
      <c r="AJ58" s="193"/>
      <c r="AK58" s="193"/>
      <c r="AL58" s="193"/>
      <c r="AM58" s="193"/>
      <c r="AN58" s="193"/>
      <c r="AO58" s="193"/>
      <c r="AP58" s="193"/>
      <c r="AQ58" s="193"/>
      <c r="AR58" s="193"/>
      <c r="AS58" s="193"/>
      <c r="AT58" s="193"/>
      <c r="AU58" s="193"/>
      <c r="AV58" s="193"/>
      <c r="AW58" s="193"/>
      <c r="AX58" s="193"/>
    </row>
    <row r="59" spans="1:50" ht="15" customHeight="1">
      <c r="A59" s="198"/>
      <c r="B59" s="128"/>
      <c r="C59" s="128"/>
      <c r="D59" s="122"/>
      <c r="E59" s="13" t="s">
        <v>335</v>
      </c>
      <c r="F59" s="26"/>
      <c r="G59" s="13" t="s">
        <v>111</v>
      </c>
      <c r="H59" s="16"/>
      <c r="I59" s="102">
        <f>IF(Inputs!I81=2,Inputs!I83,Finance!I58/SUM(Finance!K56:AX56))</f>
        <v>1.2419381713104047</v>
      </c>
      <c r="J59" s="193"/>
      <c r="K59" s="193"/>
      <c r="L59" s="193"/>
      <c r="M59" s="193"/>
      <c r="N59" s="193"/>
      <c r="O59" s="193"/>
      <c r="P59" s="193"/>
      <c r="Q59" s="193"/>
      <c r="R59" s="193"/>
      <c r="S59" s="16"/>
      <c r="T59" s="16"/>
      <c r="U59" s="16"/>
      <c r="V59" s="16"/>
      <c r="W59" s="193"/>
      <c r="X59" s="193"/>
      <c r="Y59" s="193"/>
      <c r="Z59" s="193"/>
      <c r="AA59" s="193"/>
      <c r="AB59" s="193"/>
      <c r="AC59" s="193"/>
      <c r="AD59" s="193"/>
      <c r="AE59" s="193"/>
      <c r="AF59" s="193"/>
      <c r="AG59" s="193"/>
      <c r="AH59" s="193"/>
      <c r="AI59" s="193"/>
      <c r="AJ59" s="193"/>
      <c r="AK59" s="193"/>
      <c r="AL59" s="193"/>
      <c r="AM59" s="193"/>
      <c r="AN59" s="193"/>
      <c r="AO59" s="193"/>
      <c r="AP59" s="193"/>
      <c r="AQ59" s="193"/>
      <c r="AR59" s="193"/>
      <c r="AS59" s="193"/>
      <c r="AT59" s="193"/>
      <c r="AU59" s="193"/>
      <c r="AV59" s="193"/>
      <c r="AW59" s="193"/>
      <c r="AX59" s="193"/>
    </row>
    <row r="60" spans="1:50" ht="15" customHeight="1">
      <c r="A60" s="198"/>
      <c r="B60" s="128"/>
      <c r="C60" s="128"/>
      <c r="D60" s="122"/>
      <c r="E60" s="16" t="s">
        <v>336</v>
      </c>
      <c r="F60" s="16"/>
      <c r="G60" s="13" t="s">
        <v>111</v>
      </c>
      <c r="H60" s="16"/>
      <c r="I60" s="193"/>
      <c r="J60" s="193"/>
      <c r="K60" s="199">
        <f>IF(Finance!K15&gt;0,INDEX(Inputs!$K$98:$T$98,1,SUM(Finance!$K$15:K15)),0)</f>
        <v>0</v>
      </c>
      <c r="L60" s="199">
        <f>IF(Finance!L15&gt;0,INDEX(Inputs!$K$98:$T$98,1,SUM(Finance!$K$15:L15)),0)</f>
        <v>0</v>
      </c>
      <c r="M60" s="199">
        <f>IF(Finance!M15&gt;0,INDEX(Inputs!$K$98:$T$98,1,SUM(Finance!$K$15:M15)),0)</f>
        <v>0</v>
      </c>
      <c r="N60" s="199">
        <f>IF(Finance!N15&gt;0,INDEX(Inputs!$K$98:$T$98,1,SUM(Finance!$K$15:N15)),0)</f>
        <v>0</v>
      </c>
      <c r="O60" s="199">
        <f>IF(Finance!O15&gt;0,INDEX(Inputs!$K$98:$T$98,1,SUM(Finance!$K$15:O15)),0)</f>
        <v>0</v>
      </c>
      <c r="P60" s="199">
        <f>IF(Finance!P15&gt;0,INDEX(Inputs!$K$98:$T$98,1,SUM(Finance!$K$15:P15)),0)</f>
        <v>0</v>
      </c>
      <c r="Q60" s="199">
        <f>IF(Finance!Q15&gt;0,INDEX(Inputs!$K$98:$T$98,1,SUM(Finance!$K$15:Q15)),0)</f>
        <v>0</v>
      </c>
      <c r="R60" s="199">
        <f>IF(Finance!R15&gt;0,INDEX(Inputs!$K$98:$T$98,1,SUM(Finance!$K$15:R15)),0)</f>
        <v>0</v>
      </c>
      <c r="S60" s="199">
        <f>IF(Finance!S15&gt;0,INDEX(Inputs!$K$98:$T$98,1,SUM(Finance!$K$15:S15)),0)</f>
        <v>0</v>
      </c>
      <c r="T60" s="199">
        <f>IF(Finance!T15&gt;0,INDEX(Inputs!$K$98:$T$98,1,SUM(Finance!$K$15:T15)),0)</f>
        <v>0</v>
      </c>
      <c r="U60" s="199">
        <f>IF(Finance!U15&gt;0,INDEX(Inputs!$K$98:$T$98,1,SUM(Finance!$K$15:U15)),0)</f>
        <v>0.25390127597904438</v>
      </c>
      <c r="V60" s="199">
        <f>IF(Finance!V15&gt;0,INDEX(Inputs!$K$98:$T$98,1,SUM(Finance!$K$15:V15)),0)</f>
        <v>0.10658107550180575</v>
      </c>
      <c r="W60" s="199">
        <f>IF(Finance!W15&gt;0,INDEX(Inputs!$K$98:$T$98,1,SUM(Finance!$K$15:W15)),0)</f>
        <v>0.13625949877216686</v>
      </c>
      <c r="X60" s="199">
        <f>IF(Finance!X15&gt;0,INDEX(Inputs!$K$98:$T$98,1,SUM(Finance!$K$15:X15)),0)</f>
        <v>0.20412572677858212</v>
      </c>
      <c r="Y60" s="199">
        <f>IF(Finance!Y15&gt;0,INDEX(Inputs!$K$98:$T$98,1,SUM(Finance!$K$15:Y15)),0)</f>
        <v>0.17772475281649658</v>
      </c>
      <c r="Z60" s="199">
        <f>IF(Finance!Z15&gt;0,INDEX(Inputs!$K$98:$T$98,1,SUM(Finance!$K$15:Z15)),0)</f>
        <v>0</v>
      </c>
      <c r="AA60" s="199">
        <f>IF(Finance!AA15&gt;0,INDEX(Inputs!$K$98:$T$98,1,SUM(Finance!$K$15:AA15)),0)</f>
        <v>0</v>
      </c>
      <c r="AB60" s="199">
        <f>IF(Finance!AB15&gt;0,INDEX(Inputs!$K$98:$T$98,1,SUM(Finance!$K$15:AB15)),0)</f>
        <v>0</v>
      </c>
      <c r="AC60" s="199">
        <f>IF(Finance!AC15&gt;0,INDEX(Inputs!$K$98:$T$98,1,SUM(Finance!$K$15:AC15)),0)</f>
        <v>0</v>
      </c>
      <c r="AD60" s="199">
        <f>IF(Finance!AD15&gt;0,INDEX(Inputs!$K$98:$T$98,1,SUM(Finance!$K$15:AD15)),0)</f>
        <v>0</v>
      </c>
      <c r="AE60" s="199">
        <f>IF(Finance!AE15&gt;0,INDEX(Inputs!$K$98:$T$98,1,SUM(Finance!$K$15:AE15)),0)</f>
        <v>0</v>
      </c>
      <c r="AF60" s="199">
        <f>IF(Finance!AF15&gt;0,INDEX(Inputs!$K$98:$T$98,1,SUM(Finance!$K$15:AF15)),0)</f>
        <v>0</v>
      </c>
      <c r="AG60" s="199">
        <f>IF(Finance!AG15&gt;0,INDEX(Inputs!$K$98:$T$98,1,SUM(Finance!$K$15:AG15)),0)</f>
        <v>0</v>
      </c>
      <c r="AH60" s="199">
        <f>IF(Finance!AH15&gt;0,INDEX(Inputs!$K$98:$T$98,1,SUM(Finance!$K$15:AH15)),0)</f>
        <v>0</v>
      </c>
      <c r="AI60" s="199">
        <f>IF(Finance!AI15&gt;0,INDEX(Inputs!$K$98:$T$98,1,SUM(Finance!$K$15:AI15)),0)</f>
        <v>0</v>
      </c>
      <c r="AJ60" s="199">
        <f>IF(Finance!AJ15&gt;0,INDEX(Inputs!$K$98:$T$98,1,SUM(Finance!$K$15:AJ15)),0)</f>
        <v>0</v>
      </c>
      <c r="AK60" s="199">
        <f>IF(Finance!AK15&gt;0,INDEX(Inputs!$K$98:$T$98,1,SUM(Finance!$K$15:AK15)),0)</f>
        <v>0</v>
      </c>
      <c r="AL60" s="199">
        <f>IF(Finance!AL15&gt;0,INDEX(Inputs!$K$98:$T$98,1,SUM(Finance!$K$15:AL15)),0)</f>
        <v>0</v>
      </c>
      <c r="AM60" s="199">
        <f>IF(Finance!AM15&gt;0,INDEX(Inputs!$K$98:$T$98,1,SUM(Finance!$K$15:AM15)),0)</f>
        <v>0</v>
      </c>
      <c r="AN60" s="199">
        <f>IF(Finance!AN15&gt;0,INDEX(Inputs!$K$98:$T$98,1,SUM(Finance!$K$15:AN15)),0)</f>
        <v>0</v>
      </c>
      <c r="AO60" s="199">
        <f>IF(Finance!AO15&gt;0,INDEX(Inputs!$K$98:$T$98,1,SUM(Finance!$K$15:AO15)),0)</f>
        <v>0</v>
      </c>
      <c r="AP60" s="199">
        <f>IF(Finance!AP15&gt;0,INDEX(Inputs!$K$98:$T$98,1,SUM(Finance!$K$15:AP15)),0)</f>
        <v>0</v>
      </c>
      <c r="AQ60" s="199">
        <f>IF(Finance!AQ15&gt;0,INDEX(Inputs!$K$98:$T$98,1,SUM(Finance!$K$15:AQ15)),0)</f>
        <v>0</v>
      </c>
      <c r="AR60" s="199">
        <f>IF(Finance!AR15&gt;0,INDEX(Inputs!$K$98:$T$98,1,SUM(Finance!$K$15:AR15)),0)</f>
        <v>0</v>
      </c>
      <c r="AS60" s="199">
        <f>IF(Finance!AS15&gt;0,INDEX(Inputs!$K$98:$T$98,1,SUM(Finance!$K$15:AS15)),0)</f>
        <v>0</v>
      </c>
      <c r="AT60" s="199">
        <f>IF(Finance!AT15&gt;0,INDEX(Inputs!$K$98:$T$98,1,SUM(Finance!$K$15:AT15)),0)</f>
        <v>0</v>
      </c>
      <c r="AU60" s="199">
        <f>IF(Finance!AU15&gt;0,INDEX(Inputs!$K$98:$T$98,1,SUM(Finance!$K$15:AU15)),0)</f>
        <v>0</v>
      </c>
      <c r="AV60" s="199">
        <f>IF(Finance!AV15&gt;0,INDEX(Inputs!$K$98:$T$98,1,SUM(Finance!$K$15:AV15)),0)</f>
        <v>0</v>
      </c>
      <c r="AW60" s="199">
        <f>IF(Finance!AW15&gt;0,INDEX(Inputs!$K$98:$T$98,1,SUM(Finance!$K$15:AW15)),0)</f>
        <v>0</v>
      </c>
      <c r="AX60" s="199">
        <f>IF(Finance!AX15&gt;0,INDEX(Inputs!$K$98:$T$98,1,SUM(Finance!$K$15:AX15)),0)</f>
        <v>0</v>
      </c>
    </row>
    <row r="61" spans="1:50" s="185" customFormat="1" ht="15" customHeight="1">
      <c r="A61" s="198"/>
      <c r="B61" s="128"/>
      <c r="C61" s="128"/>
      <c r="D61" s="122"/>
      <c r="E61" s="16" t="s">
        <v>337</v>
      </c>
      <c r="F61" s="16"/>
      <c r="G61" s="13" t="s">
        <v>111</v>
      </c>
      <c r="H61" s="16"/>
      <c r="I61" s="193"/>
      <c r="J61" s="193"/>
      <c r="K61" s="199">
        <f>SUMIF(Inputs!133:133,Finance!K16,Inputs!134:134)*(K16&lt;&gt;0)</f>
        <v>0</v>
      </c>
      <c r="L61" s="199">
        <f>SUMIF(Inputs!133:133,Finance!L16,Inputs!134:134)*(L16&lt;&gt;0)</f>
        <v>0</v>
      </c>
      <c r="M61" s="199">
        <f>SUMIF(Inputs!133:133,Finance!M16,Inputs!134:134)*(M16&lt;&gt;0)</f>
        <v>0</v>
      </c>
      <c r="N61" s="199">
        <f>SUMIF(Inputs!133:133,Finance!N16,Inputs!134:134)*(N16&lt;&gt;0)</f>
        <v>0</v>
      </c>
      <c r="O61" s="199">
        <f>SUMIF(Inputs!133:133,Finance!O16,Inputs!134:134)*(O16&lt;&gt;0)</f>
        <v>0</v>
      </c>
      <c r="P61" s="199">
        <f>SUMIF(Inputs!133:133,Finance!P16,Inputs!134:134)*(P16&lt;&gt;0)</f>
        <v>0</v>
      </c>
      <c r="Q61" s="199">
        <f>SUMIF(Inputs!133:133,Finance!Q16,Inputs!134:134)*(Q16&lt;&gt;0)</f>
        <v>0</v>
      </c>
      <c r="R61" s="199">
        <f>SUMIF(Inputs!133:133,Finance!R16,Inputs!134:134)*(R16&lt;&gt;0)</f>
        <v>0</v>
      </c>
      <c r="S61" s="199">
        <f>SUMIF(Inputs!133:133,Finance!S16,Inputs!134:134)*(S16&lt;&gt;0)</f>
        <v>0</v>
      </c>
      <c r="T61" s="199">
        <f>SUMIF(Inputs!133:133,Finance!T16,Inputs!134:134)*(T16&lt;&gt;0)</f>
        <v>0</v>
      </c>
      <c r="U61" s="199">
        <f>SUMIF(Inputs!133:133,Finance!U16,Inputs!134:134)*(U16&lt;&gt;0)</f>
        <v>0</v>
      </c>
      <c r="V61" s="199">
        <f>SUMIF(Inputs!133:133,Finance!V16,Inputs!134:134)*(V16&lt;&gt;0)</f>
        <v>0</v>
      </c>
      <c r="W61" s="199">
        <f>SUMIF(Inputs!133:133,Finance!W16,Inputs!134:134)*(W16&lt;&gt;0)</f>
        <v>0</v>
      </c>
      <c r="X61" s="199">
        <f>SUMIF(Inputs!133:133,Finance!X16,Inputs!134:134)*(X16&lt;&gt;0)</f>
        <v>0</v>
      </c>
      <c r="Y61" s="199">
        <f>SUMIF(Inputs!133:133,Finance!Y16,Inputs!134:134)*(Y16&lt;&gt;0)</f>
        <v>0</v>
      </c>
      <c r="Z61" s="199">
        <f>SUMIF(Inputs!133:133,Finance!Z16,Inputs!134:134)*(Z16&lt;&gt;0)</f>
        <v>3.5504901307687353E-2</v>
      </c>
      <c r="AA61" s="199">
        <f>SUMIF(Inputs!133:133,Finance!AA16,Inputs!134:134)*(AA16&lt;&gt;0)</f>
        <v>3.6278363736629134E-2</v>
      </c>
      <c r="AB61" s="199">
        <f>SUMIF(Inputs!133:133,Finance!AB16,Inputs!134:134)*(AB16&lt;&gt;0)</f>
        <v>3.0181413338990971E-2</v>
      </c>
      <c r="AC61" s="199">
        <f>SUMIF(Inputs!133:133,Finance!AC16,Inputs!134:134)*(AC16&lt;&gt;0)</f>
        <v>4.1687961985932546E-2</v>
      </c>
      <c r="AD61" s="199">
        <f>SUMIF(Inputs!133:133,Finance!AD16,Inputs!134:134)*(AD16&lt;&gt;0)</f>
        <v>4.6001116676762835E-2</v>
      </c>
      <c r="AE61" s="199">
        <f>SUMIF(Inputs!133:133,Finance!AE16,Inputs!134:134)*(AE16&lt;&gt;0)</f>
        <v>4.96377340137387E-2</v>
      </c>
      <c r="AF61" s="199">
        <f>SUMIF(Inputs!133:133,Finance!AF16,Inputs!134:134)*(AF16&lt;&gt;0)</f>
        <v>5.2081453254757923E-2</v>
      </c>
      <c r="AG61" s="199">
        <f>SUMIF(Inputs!133:133,Finance!AG16,Inputs!134:134)*(AG16&lt;&gt;0)</f>
        <v>5.602175857356128E-2</v>
      </c>
      <c r="AH61" s="199">
        <f>SUMIF(Inputs!133:133,Finance!AH16,Inputs!134:134)*(AH16&lt;&gt;0)</f>
        <v>6.018952346268442E-2</v>
      </c>
      <c r="AI61" s="199">
        <f>SUMIF(Inputs!133:133,Finance!AI16,Inputs!134:134)*(AI16&lt;&gt;0)</f>
        <v>6.4553103902805012E-2</v>
      </c>
      <c r="AJ61" s="199">
        <f>SUMIF(Inputs!133:133,Finance!AJ16,Inputs!134:134)*(AJ16&lt;&gt;0)</f>
        <v>1.54908217126913E-2</v>
      </c>
      <c r="AK61" s="199">
        <f>SUMIF(Inputs!133:133,Finance!AK16,Inputs!134:134)*(AK16&lt;&gt;0)</f>
        <v>6.6385035153888564E-2</v>
      </c>
      <c r="AL61" s="199">
        <f>SUMIF(Inputs!133:133,Finance!AL16,Inputs!134:134)*(AL16&lt;&gt;0)</f>
        <v>7.6018678724294603E-2</v>
      </c>
      <c r="AM61" s="199">
        <f>SUMIF(Inputs!133:133,Finance!AM16,Inputs!134:134)*(AM16&lt;&gt;0)</f>
        <v>8.1115350233064293E-2</v>
      </c>
      <c r="AN61" s="199">
        <f>SUMIF(Inputs!133:133,Finance!AN16,Inputs!134:134)*(AN16&lt;&gt;0)</f>
        <v>8.6381958505597489E-2</v>
      </c>
      <c r="AO61" s="199">
        <f>SUMIF(Inputs!133:133,Finance!AO16,Inputs!134:134)*(AO16&lt;&gt;0)</f>
        <v>9.1858610050905704E-2</v>
      </c>
      <c r="AP61" s="199">
        <f>SUMIF(Inputs!133:133,Finance!AP16,Inputs!134:134)*(AP16&lt;&gt;0)</f>
        <v>0</v>
      </c>
      <c r="AQ61" s="199">
        <f>SUMIF(Inputs!133:133,Finance!AQ16,Inputs!134:134)*(AQ16&lt;&gt;0)</f>
        <v>0</v>
      </c>
      <c r="AR61" s="199">
        <f>SUMIF(Inputs!133:133,Finance!AR16,Inputs!134:134)*(AR16&lt;&gt;0)</f>
        <v>0</v>
      </c>
      <c r="AS61" s="199">
        <f>SUMIF(Inputs!133:133,Finance!AS16,Inputs!134:134)*(AS16&lt;&gt;0)</f>
        <v>0</v>
      </c>
      <c r="AT61" s="199">
        <f>SUMIF(Inputs!133:133,Finance!AT16,Inputs!134:134)*(AT16&lt;&gt;0)</f>
        <v>0</v>
      </c>
      <c r="AU61" s="199">
        <f>SUMIF(Inputs!133:133,Finance!AU16,Inputs!134:134)*(AU16&lt;&gt;0)</f>
        <v>0</v>
      </c>
      <c r="AV61" s="199">
        <f>SUMIF(Inputs!133:133,Finance!AV16,Inputs!134:134)*(AV16&lt;&gt;0)</f>
        <v>0</v>
      </c>
      <c r="AW61" s="199">
        <f>SUMIF(Inputs!133:133,Finance!AW16,Inputs!134:134)*(AW16&lt;&gt;0)</f>
        <v>0</v>
      </c>
      <c r="AX61" s="199">
        <f>SUMIF(Inputs!133:133,Finance!AX16,Inputs!134:134)*(AX16&lt;&gt;0)</f>
        <v>0</v>
      </c>
    </row>
    <row r="62" spans="1:50" ht="15" customHeight="1">
      <c r="A62" s="198"/>
      <c r="B62" s="128"/>
      <c r="C62" s="128"/>
      <c r="D62" s="122"/>
      <c r="E62" s="16"/>
      <c r="F62" s="16"/>
      <c r="G62" s="16"/>
      <c r="H62" s="16"/>
      <c r="I62" s="193"/>
      <c r="J62" s="193"/>
      <c r="K62" s="193"/>
      <c r="L62" s="193"/>
      <c r="M62" s="193"/>
      <c r="N62" s="193"/>
      <c r="O62" s="193"/>
      <c r="P62" s="193"/>
      <c r="Q62" s="193"/>
      <c r="R62" s="193"/>
      <c r="S62" s="16"/>
      <c r="T62" s="16"/>
      <c r="U62" s="16"/>
      <c r="V62" s="16"/>
      <c r="W62" s="193"/>
      <c r="X62" s="193"/>
      <c r="Y62" s="193"/>
      <c r="Z62" s="193"/>
      <c r="AA62" s="193"/>
      <c r="AB62" s="193"/>
      <c r="AC62" s="193"/>
      <c r="AD62" s="193"/>
      <c r="AE62" s="193"/>
      <c r="AF62" s="193"/>
      <c r="AG62" s="193"/>
      <c r="AH62" s="193"/>
      <c r="AI62" s="193"/>
      <c r="AJ62" s="193"/>
      <c r="AK62" s="193"/>
      <c r="AL62" s="193"/>
      <c r="AM62" s="193"/>
      <c r="AN62" s="193"/>
      <c r="AO62" s="193"/>
      <c r="AP62" s="193"/>
      <c r="AQ62" s="193"/>
      <c r="AR62" s="193"/>
      <c r="AS62" s="193"/>
      <c r="AT62" s="193"/>
      <c r="AU62" s="193"/>
      <c r="AV62" s="193"/>
      <c r="AW62" s="193"/>
      <c r="AX62" s="193"/>
    </row>
    <row r="63" spans="1:50" ht="15" customHeight="1">
      <c r="A63" s="198"/>
      <c r="B63" s="26"/>
      <c r="C63" s="26"/>
      <c r="D63" s="26"/>
      <c r="E63" s="26" t="s">
        <v>338</v>
      </c>
      <c r="F63" s="26"/>
      <c r="G63" s="13" t="str">
        <f>CONCATENATE(Inputs!$I$9,"m nominal prices")</f>
        <v>£m nominal prices</v>
      </c>
      <c r="H63" s="26"/>
      <c r="I63" s="66"/>
      <c r="J63" s="107"/>
      <c r="K63" s="179"/>
      <c r="L63" s="184">
        <f t="shared" ref="L63:AX63" si="8">K66</f>
        <v>0</v>
      </c>
      <c r="M63" s="184">
        <f t="shared" si="8"/>
        <v>0</v>
      </c>
      <c r="N63" s="184">
        <f t="shared" si="8"/>
        <v>0</v>
      </c>
      <c r="O63" s="184">
        <f t="shared" si="8"/>
        <v>0</v>
      </c>
      <c r="P63" s="184">
        <f t="shared" si="8"/>
        <v>0</v>
      </c>
      <c r="Q63" s="184">
        <f t="shared" si="8"/>
        <v>0</v>
      </c>
      <c r="R63" s="184">
        <f t="shared" si="8"/>
        <v>0</v>
      </c>
      <c r="S63" s="184">
        <f t="shared" si="8"/>
        <v>0</v>
      </c>
      <c r="T63" s="184">
        <f t="shared" si="8"/>
        <v>0</v>
      </c>
      <c r="U63" s="184">
        <f t="shared" si="8"/>
        <v>0</v>
      </c>
      <c r="V63" s="184">
        <f t="shared" si="8"/>
        <v>381.86751907248276</v>
      </c>
      <c r="W63" s="184">
        <f t="shared" si="8"/>
        <v>542.16545662719864</v>
      </c>
      <c r="X63" s="184">
        <f t="shared" si="8"/>
        <v>747.09974278053755</v>
      </c>
      <c r="Y63" s="184">
        <f t="shared" si="8"/>
        <v>1054.1048358555249</v>
      </c>
      <c r="Z63" s="184">
        <f t="shared" si="8"/>
        <v>1321.4028640915358</v>
      </c>
      <c r="AA63" s="184">
        <f t="shared" si="8"/>
        <v>1268.0034925247739</v>
      </c>
      <c r="AB63" s="184">
        <f t="shared" si="8"/>
        <v>1213.4408334648838</v>
      </c>
      <c r="AC63" s="184">
        <f t="shared" si="8"/>
        <v>1168.0479878030415</v>
      </c>
      <c r="AD63" s="184">
        <f t="shared" si="8"/>
        <v>1105.349292976199</v>
      </c>
      <c r="AE63" s="184">
        <f t="shared" si="8"/>
        <v>1036.1636134943476</v>
      </c>
      <c r="AF63" s="184">
        <f t="shared" si="8"/>
        <v>961.50846153768464</v>
      </c>
      <c r="AG63" s="184">
        <f t="shared" si="8"/>
        <v>883.17795584252872</v>
      </c>
      <c r="AH63" s="184">
        <f t="shared" si="8"/>
        <v>798.92123094789258</v>
      </c>
      <c r="AI63" s="184">
        <f t="shared" si="8"/>
        <v>708.39618766001524</v>
      </c>
      <c r="AJ63" s="184">
        <f t="shared" si="8"/>
        <v>611.30831939019652</v>
      </c>
      <c r="AK63" s="184">
        <f t="shared" si="8"/>
        <v>588.01012353430883</v>
      </c>
      <c r="AL63" s="184">
        <f t="shared" si="8"/>
        <v>488.16703066286044</v>
      </c>
      <c r="AM63" s="184">
        <f t="shared" si="8"/>
        <v>373.83493786152133</v>
      </c>
      <c r="AN63" s="184">
        <f t="shared" si="8"/>
        <v>251.83745111099262</v>
      </c>
      <c r="AO63" s="184">
        <f t="shared" si="8"/>
        <v>121.918985518574</v>
      </c>
      <c r="AP63" s="184">
        <f t="shared" si="8"/>
        <v>-16.236363997988178</v>
      </c>
      <c r="AQ63" s="184">
        <f t="shared" si="8"/>
        <v>-16.236363997988178</v>
      </c>
      <c r="AR63" s="184">
        <f t="shared" si="8"/>
        <v>-16.236363997988178</v>
      </c>
      <c r="AS63" s="184">
        <f t="shared" si="8"/>
        <v>-16.236363997988178</v>
      </c>
      <c r="AT63" s="184">
        <f t="shared" si="8"/>
        <v>-16.236363997988178</v>
      </c>
      <c r="AU63" s="184">
        <f t="shared" si="8"/>
        <v>-16.236363997988178</v>
      </c>
      <c r="AV63" s="184">
        <f t="shared" si="8"/>
        <v>-16.236363997988178</v>
      </c>
      <c r="AW63" s="184">
        <f t="shared" si="8"/>
        <v>-16.236363997988178</v>
      </c>
      <c r="AX63" s="184">
        <f t="shared" si="8"/>
        <v>-16.236363997988178</v>
      </c>
    </row>
    <row r="64" spans="1:50" ht="15" customHeight="1">
      <c r="A64" s="125"/>
      <c r="B64" s="128"/>
      <c r="C64" s="128"/>
      <c r="D64" s="122"/>
      <c r="E64" s="26" t="s">
        <v>339</v>
      </c>
      <c r="F64" s="16"/>
      <c r="G64" s="13" t="str">
        <f>CONCATENATE(Inputs!$I$9,"m nominal prices")</f>
        <v>£m nominal prices</v>
      </c>
      <c r="H64" s="16"/>
      <c r="I64" s="193"/>
      <c r="J64" s="193"/>
      <c r="K64" s="26">
        <f t="shared" ref="K64:AX64" si="9">K60*$I$58</f>
        <v>0</v>
      </c>
      <c r="L64" s="26">
        <f t="shared" si="9"/>
        <v>0</v>
      </c>
      <c r="M64" s="26">
        <f t="shared" si="9"/>
        <v>0</v>
      </c>
      <c r="N64" s="26">
        <f t="shared" si="9"/>
        <v>0</v>
      </c>
      <c r="O64" s="26">
        <f t="shared" si="9"/>
        <v>0</v>
      </c>
      <c r="P64" s="26">
        <f t="shared" si="9"/>
        <v>0</v>
      </c>
      <c r="Q64" s="26">
        <f t="shared" si="9"/>
        <v>0</v>
      </c>
      <c r="R64" s="26">
        <f t="shared" si="9"/>
        <v>0</v>
      </c>
      <c r="S64" s="26">
        <f t="shared" si="9"/>
        <v>0</v>
      </c>
      <c r="T64" s="26">
        <f t="shared" si="9"/>
        <v>0</v>
      </c>
      <c r="U64" s="26">
        <f t="shared" si="9"/>
        <v>381.86751907248276</v>
      </c>
      <c r="V64" s="26">
        <f t="shared" si="9"/>
        <v>160.29793755471584</v>
      </c>
      <c r="W64" s="26">
        <f t="shared" si="9"/>
        <v>204.93428615333897</v>
      </c>
      <c r="X64" s="26">
        <f t="shared" si="9"/>
        <v>307.00509307498749</v>
      </c>
      <c r="Y64" s="26">
        <f t="shared" si="9"/>
        <v>267.29802823601085</v>
      </c>
      <c r="Z64" s="26">
        <f t="shared" si="9"/>
        <v>0</v>
      </c>
      <c r="AA64" s="26">
        <f t="shared" si="9"/>
        <v>0</v>
      </c>
      <c r="AB64" s="26">
        <f t="shared" si="9"/>
        <v>0</v>
      </c>
      <c r="AC64" s="26">
        <f t="shared" si="9"/>
        <v>0</v>
      </c>
      <c r="AD64" s="26">
        <f t="shared" si="9"/>
        <v>0</v>
      </c>
      <c r="AE64" s="26">
        <f t="shared" si="9"/>
        <v>0</v>
      </c>
      <c r="AF64" s="26">
        <f t="shared" si="9"/>
        <v>0</v>
      </c>
      <c r="AG64" s="26">
        <f t="shared" si="9"/>
        <v>0</v>
      </c>
      <c r="AH64" s="26">
        <f t="shared" si="9"/>
        <v>0</v>
      </c>
      <c r="AI64" s="26">
        <f t="shared" si="9"/>
        <v>0</v>
      </c>
      <c r="AJ64" s="26">
        <f t="shared" si="9"/>
        <v>0</v>
      </c>
      <c r="AK64" s="26">
        <f t="shared" si="9"/>
        <v>0</v>
      </c>
      <c r="AL64" s="26">
        <f t="shared" si="9"/>
        <v>0</v>
      </c>
      <c r="AM64" s="26">
        <f t="shared" si="9"/>
        <v>0</v>
      </c>
      <c r="AN64" s="26">
        <f t="shared" si="9"/>
        <v>0</v>
      </c>
      <c r="AO64" s="26">
        <f t="shared" si="9"/>
        <v>0</v>
      </c>
      <c r="AP64" s="26">
        <f t="shared" si="9"/>
        <v>0</v>
      </c>
      <c r="AQ64" s="26">
        <f t="shared" si="9"/>
        <v>0</v>
      </c>
      <c r="AR64" s="26">
        <f t="shared" si="9"/>
        <v>0</v>
      </c>
      <c r="AS64" s="26">
        <f t="shared" si="9"/>
        <v>0</v>
      </c>
      <c r="AT64" s="26">
        <f t="shared" si="9"/>
        <v>0</v>
      </c>
      <c r="AU64" s="26">
        <f t="shared" si="9"/>
        <v>0</v>
      </c>
      <c r="AV64" s="26">
        <f t="shared" si="9"/>
        <v>0</v>
      </c>
      <c r="AW64" s="26">
        <f t="shared" si="9"/>
        <v>0</v>
      </c>
      <c r="AX64" s="26">
        <f t="shared" si="9"/>
        <v>0</v>
      </c>
    </row>
    <row r="65" spans="1:50" ht="15" customHeight="1">
      <c r="A65" s="125"/>
      <c r="B65" s="128"/>
      <c r="C65" s="128"/>
      <c r="D65" s="122"/>
      <c r="E65" s="26" t="s">
        <v>340</v>
      </c>
      <c r="F65" s="16"/>
      <c r="G65" s="13" t="str">
        <f>CONCATENATE(Inputs!$I$9,"m nominal prices")</f>
        <v>£m nominal prices</v>
      </c>
      <c r="H65" s="16"/>
      <c r="I65" s="193"/>
      <c r="J65" s="193"/>
      <c r="K65" s="26">
        <f t="shared" ref="K65:AX65" si="10">-$I$58*K61</f>
        <v>0</v>
      </c>
      <c r="L65" s="26">
        <f t="shared" si="10"/>
        <v>0</v>
      </c>
      <c r="M65" s="26">
        <f t="shared" si="10"/>
        <v>0</v>
      </c>
      <c r="N65" s="26">
        <f t="shared" si="10"/>
        <v>0</v>
      </c>
      <c r="O65" s="26">
        <f t="shared" si="10"/>
        <v>0</v>
      </c>
      <c r="P65" s="26">
        <f t="shared" si="10"/>
        <v>0</v>
      </c>
      <c r="Q65" s="26">
        <f t="shared" si="10"/>
        <v>0</v>
      </c>
      <c r="R65" s="26">
        <f t="shared" si="10"/>
        <v>0</v>
      </c>
      <c r="S65" s="26">
        <f t="shared" si="10"/>
        <v>0</v>
      </c>
      <c r="T65" s="26">
        <f t="shared" si="10"/>
        <v>0</v>
      </c>
      <c r="U65" s="26">
        <f t="shared" si="10"/>
        <v>0</v>
      </c>
      <c r="V65" s="26">
        <f t="shared" si="10"/>
        <v>0</v>
      </c>
      <c r="W65" s="26">
        <f t="shared" si="10"/>
        <v>0</v>
      </c>
      <c r="X65" s="26">
        <f t="shared" si="10"/>
        <v>0</v>
      </c>
      <c r="Y65" s="26">
        <f t="shared" si="10"/>
        <v>0</v>
      </c>
      <c r="Z65" s="26">
        <f t="shared" si="10"/>
        <v>-53.399371566761779</v>
      </c>
      <c r="AA65" s="26">
        <f t="shared" si="10"/>
        <v>-54.562659059890215</v>
      </c>
      <c r="AB65" s="26">
        <f t="shared" si="10"/>
        <v>-45.392845661842422</v>
      </c>
      <c r="AC65" s="26">
        <f t="shared" si="10"/>
        <v>-62.698694826842548</v>
      </c>
      <c r="AD65" s="26">
        <f t="shared" si="10"/>
        <v>-69.185679481851309</v>
      </c>
      <c r="AE65" s="26">
        <f t="shared" si="10"/>
        <v>-74.655151956663005</v>
      </c>
      <c r="AF65" s="26">
        <f t="shared" si="10"/>
        <v>-78.330505695155921</v>
      </c>
      <c r="AG65" s="26">
        <f t="shared" si="10"/>
        <v>-84.256724894636164</v>
      </c>
      <c r="AH65" s="26">
        <f t="shared" si="10"/>
        <v>-90.525043287877367</v>
      </c>
      <c r="AI65" s="26">
        <f t="shared" si="10"/>
        <v>-97.087868269818742</v>
      </c>
      <c r="AJ65" s="26">
        <f t="shared" si="10"/>
        <v>-23.298195855887716</v>
      </c>
      <c r="AK65" s="26">
        <f t="shared" si="10"/>
        <v>-99.843092871448405</v>
      </c>
      <c r="AL65" s="26">
        <f t="shared" si="10"/>
        <v>-114.33209280133909</v>
      </c>
      <c r="AM65" s="26">
        <f t="shared" si="10"/>
        <v>-121.99748675052869</v>
      </c>
      <c r="AN65" s="26">
        <f t="shared" si="10"/>
        <v>-129.91846559241861</v>
      </c>
      <c r="AO65" s="26">
        <f t="shared" si="10"/>
        <v>-138.15534951656218</v>
      </c>
      <c r="AP65" s="26">
        <f t="shared" si="10"/>
        <v>0</v>
      </c>
      <c r="AQ65" s="26">
        <f t="shared" si="10"/>
        <v>0</v>
      </c>
      <c r="AR65" s="26">
        <f t="shared" si="10"/>
        <v>0</v>
      </c>
      <c r="AS65" s="26">
        <f t="shared" si="10"/>
        <v>0</v>
      </c>
      <c r="AT65" s="26">
        <f t="shared" si="10"/>
        <v>0</v>
      </c>
      <c r="AU65" s="26">
        <f t="shared" si="10"/>
        <v>0</v>
      </c>
      <c r="AV65" s="26">
        <f t="shared" si="10"/>
        <v>0</v>
      </c>
      <c r="AW65" s="26">
        <f t="shared" si="10"/>
        <v>0</v>
      </c>
      <c r="AX65" s="26">
        <f t="shared" si="10"/>
        <v>0</v>
      </c>
    </row>
    <row r="66" spans="1:50" ht="15" customHeight="1">
      <c r="A66" s="125"/>
      <c r="B66" s="26"/>
      <c r="C66" s="26"/>
      <c r="D66" s="26"/>
      <c r="E66" s="102" t="s">
        <v>341</v>
      </c>
      <c r="F66" s="26"/>
      <c r="G66" s="13" t="str">
        <f>CONCATENATE(Inputs!$I$9,"m nominal prices")</f>
        <v>£m nominal prices</v>
      </c>
      <c r="H66" s="26"/>
      <c r="I66" s="107"/>
      <c r="J66" s="107"/>
      <c r="K66" s="181">
        <f t="shared" ref="K66:AX66" si="11">SUM(K63:K65)</f>
        <v>0</v>
      </c>
      <c r="L66" s="181">
        <f t="shared" si="11"/>
        <v>0</v>
      </c>
      <c r="M66" s="181">
        <f t="shared" si="11"/>
        <v>0</v>
      </c>
      <c r="N66" s="181">
        <f t="shared" si="11"/>
        <v>0</v>
      </c>
      <c r="O66" s="181">
        <f t="shared" si="11"/>
        <v>0</v>
      </c>
      <c r="P66" s="181">
        <f t="shared" si="11"/>
        <v>0</v>
      </c>
      <c r="Q66" s="181">
        <f t="shared" si="11"/>
        <v>0</v>
      </c>
      <c r="R66" s="181">
        <f t="shared" si="11"/>
        <v>0</v>
      </c>
      <c r="S66" s="181">
        <f t="shared" si="11"/>
        <v>0</v>
      </c>
      <c r="T66" s="181">
        <f t="shared" si="11"/>
        <v>0</v>
      </c>
      <c r="U66" s="181">
        <f t="shared" si="11"/>
        <v>381.86751907248276</v>
      </c>
      <c r="V66" s="181">
        <f t="shared" si="11"/>
        <v>542.16545662719864</v>
      </c>
      <c r="W66" s="181">
        <f t="shared" si="11"/>
        <v>747.09974278053755</v>
      </c>
      <c r="X66" s="181">
        <f t="shared" si="11"/>
        <v>1054.1048358555249</v>
      </c>
      <c r="Y66" s="181">
        <f t="shared" si="11"/>
        <v>1321.4028640915358</v>
      </c>
      <c r="Z66" s="181">
        <f t="shared" si="11"/>
        <v>1268.0034925247739</v>
      </c>
      <c r="AA66" s="181">
        <f t="shared" si="11"/>
        <v>1213.4408334648838</v>
      </c>
      <c r="AB66" s="181">
        <f t="shared" si="11"/>
        <v>1168.0479878030415</v>
      </c>
      <c r="AC66" s="181">
        <f t="shared" si="11"/>
        <v>1105.349292976199</v>
      </c>
      <c r="AD66" s="181">
        <f t="shared" si="11"/>
        <v>1036.1636134943476</v>
      </c>
      <c r="AE66" s="181">
        <f t="shared" si="11"/>
        <v>961.50846153768464</v>
      </c>
      <c r="AF66" s="181">
        <f t="shared" si="11"/>
        <v>883.17795584252872</v>
      </c>
      <c r="AG66" s="181">
        <f t="shared" si="11"/>
        <v>798.92123094789258</v>
      </c>
      <c r="AH66" s="181">
        <f t="shared" si="11"/>
        <v>708.39618766001524</v>
      </c>
      <c r="AI66" s="181">
        <f t="shared" si="11"/>
        <v>611.30831939019652</v>
      </c>
      <c r="AJ66" s="181">
        <f t="shared" si="11"/>
        <v>588.01012353430883</v>
      </c>
      <c r="AK66" s="181">
        <f t="shared" si="11"/>
        <v>488.16703066286044</v>
      </c>
      <c r="AL66" s="181">
        <f t="shared" si="11"/>
        <v>373.83493786152133</v>
      </c>
      <c r="AM66" s="181">
        <f t="shared" si="11"/>
        <v>251.83745111099262</v>
      </c>
      <c r="AN66" s="181">
        <f t="shared" si="11"/>
        <v>121.918985518574</v>
      </c>
      <c r="AO66" s="181">
        <f t="shared" si="11"/>
        <v>-16.236363997988178</v>
      </c>
      <c r="AP66" s="181">
        <f t="shared" si="11"/>
        <v>-16.236363997988178</v>
      </c>
      <c r="AQ66" s="181">
        <f t="shared" si="11"/>
        <v>-16.236363997988178</v>
      </c>
      <c r="AR66" s="181">
        <f t="shared" si="11"/>
        <v>-16.236363997988178</v>
      </c>
      <c r="AS66" s="181">
        <f t="shared" si="11"/>
        <v>-16.236363997988178</v>
      </c>
      <c r="AT66" s="181">
        <f t="shared" si="11"/>
        <v>-16.236363997988178</v>
      </c>
      <c r="AU66" s="181">
        <f t="shared" si="11"/>
        <v>-16.236363997988178</v>
      </c>
      <c r="AV66" s="181">
        <f t="shared" si="11"/>
        <v>-16.236363997988178</v>
      </c>
      <c r="AW66" s="181">
        <f t="shared" si="11"/>
        <v>-16.236363997988178</v>
      </c>
      <c r="AX66" s="181">
        <f t="shared" si="11"/>
        <v>-16.236363997988178</v>
      </c>
    </row>
    <row r="67" spans="1:50" ht="15" customHeight="1">
      <c r="A67" s="27"/>
      <c r="B67" s="26"/>
      <c r="C67" s="26"/>
      <c r="D67" s="26"/>
      <c r="E67" s="26"/>
      <c r="F67" s="26"/>
      <c r="G67" s="26"/>
      <c r="H67" s="26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26"/>
      <c r="T67" s="26"/>
      <c r="U67" s="26"/>
      <c r="V67" s="26"/>
      <c r="W67" s="108"/>
      <c r="X67" s="108"/>
      <c r="Y67" s="108"/>
      <c r="Z67" s="108"/>
      <c r="AA67" s="108"/>
      <c r="AB67" s="108"/>
      <c r="AC67" s="108"/>
      <c r="AD67" s="108"/>
      <c r="AE67" s="108"/>
      <c r="AF67" s="108"/>
      <c r="AG67" s="108"/>
      <c r="AH67" s="108"/>
      <c r="AI67" s="108"/>
      <c r="AJ67" s="108"/>
      <c r="AK67" s="108"/>
      <c r="AL67" s="108"/>
      <c r="AM67" s="108"/>
      <c r="AN67" s="108"/>
      <c r="AO67" s="108"/>
      <c r="AP67" s="108"/>
      <c r="AQ67" s="108"/>
      <c r="AR67" s="108"/>
      <c r="AS67" s="108"/>
      <c r="AT67" s="108"/>
      <c r="AU67" s="108"/>
      <c r="AV67" s="108"/>
      <c r="AW67" s="108"/>
      <c r="AX67" s="108"/>
    </row>
    <row r="68" spans="1:50" ht="15" customHeight="1">
      <c r="A68" s="198"/>
      <c r="B68" s="128"/>
      <c r="C68" s="128"/>
      <c r="D68" s="122"/>
      <c r="E68" s="26" t="s">
        <v>342</v>
      </c>
      <c r="F68" s="16"/>
      <c r="G68" s="13" t="str">
        <f>CONCATENATE(Inputs!$I$9,"m nominal prices")</f>
        <v>£m nominal prices</v>
      </c>
      <c r="H68" s="16"/>
      <c r="I68" s="200">
        <f>Inputs!I100*(Inputs!I127=1)</f>
        <v>73</v>
      </c>
      <c r="J68" s="193"/>
      <c r="K68" s="193"/>
      <c r="L68" s="193"/>
      <c r="M68" s="193"/>
      <c r="N68" s="193"/>
      <c r="O68" s="193"/>
      <c r="P68" s="193"/>
      <c r="Q68" s="193"/>
      <c r="R68" s="193"/>
      <c r="S68" s="193"/>
      <c r="T68" s="193"/>
      <c r="U68" s="193"/>
      <c r="V68" s="193"/>
      <c r="W68" s="193"/>
      <c r="X68" s="193"/>
      <c r="Y68" s="193"/>
      <c r="Z68" s="193"/>
      <c r="AA68" s="193"/>
      <c r="AB68" s="193"/>
      <c r="AC68" s="193"/>
      <c r="AD68" s="193"/>
      <c r="AE68" s="193"/>
      <c r="AF68" s="193"/>
      <c r="AG68" s="193"/>
      <c r="AH68" s="193"/>
      <c r="AI68" s="193"/>
      <c r="AJ68" s="193"/>
      <c r="AK68" s="193"/>
      <c r="AL68" s="193"/>
      <c r="AM68" s="193"/>
      <c r="AN68" s="193"/>
      <c r="AO68" s="193"/>
      <c r="AP68" s="193"/>
      <c r="AQ68" s="193"/>
      <c r="AR68" s="193"/>
      <c r="AS68" s="193"/>
      <c r="AT68" s="193"/>
      <c r="AU68" s="193"/>
      <c r="AV68" s="193"/>
      <c r="AW68" s="193"/>
      <c r="AX68" s="193"/>
    </row>
    <row r="69" spans="1:50" ht="15" customHeight="1">
      <c r="A69" s="198"/>
      <c r="B69" s="128"/>
      <c r="C69" s="128"/>
      <c r="D69" s="122"/>
      <c r="E69" s="16" t="s">
        <v>202</v>
      </c>
      <c r="F69" s="16"/>
      <c r="G69" s="13" t="str">
        <f>CONCATENATE(Inputs!$I$9,"m nominal prices")</f>
        <v>£m nominal prices</v>
      </c>
      <c r="H69" s="16"/>
      <c r="I69" s="200">
        <f>Inputs!I105</f>
        <v>50</v>
      </c>
      <c r="J69" s="193"/>
      <c r="K69" s="193"/>
      <c r="L69" s="193"/>
      <c r="M69" s="193"/>
      <c r="N69" s="193"/>
      <c r="O69" s="193"/>
      <c r="P69" s="193"/>
      <c r="Q69" s="193"/>
      <c r="R69" s="193"/>
      <c r="S69" s="193"/>
      <c r="T69" s="193"/>
      <c r="U69" s="193"/>
      <c r="V69" s="193"/>
      <c r="W69" s="193"/>
      <c r="X69" s="193"/>
      <c r="Y69" s="193"/>
      <c r="Z69" s="193"/>
      <c r="AA69" s="193"/>
      <c r="AB69" s="193"/>
      <c r="AC69" s="193"/>
      <c r="AD69" s="193"/>
      <c r="AE69" s="193"/>
      <c r="AF69" s="193"/>
      <c r="AG69" s="193"/>
      <c r="AH69" s="193"/>
      <c r="AI69" s="193"/>
      <c r="AJ69" s="193"/>
      <c r="AK69" s="193"/>
      <c r="AL69" s="193"/>
      <c r="AM69" s="193"/>
      <c r="AN69" s="193"/>
      <c r="AO69" s="193"/>
      <c r="AP69" s="193"/>
      <c r="AQ69" s="193"/>
      <c r="AR69" s="193"/>
      <c r="AS69" s="193"/>
      <c r="AT69" s="193"/>
      <c r="AU69" s="193"/>
      <c r="AV69" s="193"/>
      <c r="AW69" s="193"/>
      <c r="AX69" s="193"/>
    </row>
    <row r="70" spans="1:50" ht="15" customHeight="1">
      <c r="A70" s="198"/>
      <c r="B70" s="128"/>
      <c r="C70" s="128"/>
      <c r="D70" s="122"/>
      <c r="E70" s="16" t="s">
        <v>203</v>
      </c>
      <c r="F70" s="16"/>
      <c r="G70" s="13" t="str">
        <f>CONCATENATE(Inputs!$I$9,"m nominal prices")</f>
        <v>£m nominal prices</v>
      </c>
      <c r="H70" s="16"/>
      <c r="I70" s="200">
        <f>Inputs!I106</f>
        <v>5</v>
      </c>
      <c r="J70" s="193"/>
      <c r="K70" s="193"/>
      <c r="L70" s="193"/>
      <c r="M70" s="193"/>
      <c r="N70" s="193"/>
      <c r="O70" s="193"/>
      <c r="P70" s="193"/>
      <c r="Q70" s="193"/>
      <c r="R70" s="193"/>
      <c r="S70" s="193"/>
      <c r="T70" s="193"/>
      <c r="U70" s="193"/>
      <c r="V70" s="193"/>
      <c r="W70" s="193"/>
      <c r="X70" s="193"/>
      <c r="Y70" s="193"/>
      <c r="Z70" s="193"/>
      <c r="AA70" s="193"/>
      <c r="AB70" s="193"/>
      <c r="AC70" s="193"/>
      <c r="AD70" s="193"/>
      <c r="AE70" s="193"/>
      <c r="AF70" s="193"/>
      <c r="AG70" s="193"/>
      <c r="AH70" s="193"/>
      <c r="AI70" s="193"/>
      <c r="AJ70" s="193"/>
      <c r="AK70" s="193"/>
      <c r="AL70" s="193"/>
      <c r="AM70" s="193"/>
      <c r="AN70" s="193"/>
      <c r="AO70" s="193"/>
      <c r="AP70" s="193"/>
      <c r="AQ70" s="193"/>
      <c r="AR70" s="193"/>
      <c r="AS70" s="193"/>
      <c r="AT70" s="193"/>
      <c r="AU70" s="193"/>
      <c r="AV70" s="193"/>
      <c r="AW70" s="193"/>
      <c r="AX70" s="193"/>
    </row>
    <row r="71" spans="1:50" ht="15" customHeight="1">
      <c r="A71" s="198"/>
      <c r="B71" s="128"/>
      <c r="C71" s="128"/>
      <c r="D71" s="122"/>
      <c r="E71" s="16" t="s">
        <v>207</v>
      </c>
      <c r="F71" s="16"/>
      <c r="G71" s="13" t="str">
        <f>CONCATENATE(Inputs!$I$9,"m nominal prices")</f>
        <v>£m nominal prices</v>
      </c>
      <c r="H71" s="16"/>
      <c r="I71" s="200">
        <f>Inputs!I111</f>
        <v>60</v>
      </c>
      <c r="J71" s="193"/>
      <c r="K71" s="193"/>
      <c r="L71" s="193"/>
      <c r="M71" s="193"/>
      <c r="N71" s="193"/>
      <c r="O71" s="193"/>
      <c r="P71" s="193"/>
      <c r="Q71" s="193"/>
      <c r="R71" s="193"/>
      <c r="S71" s="193"/>
      <c r="T71" s="193"/>
      <c r="U71" s="193"/>
      <c r="V71" s="193"/>
      <c r="W71" s="193"/>
      <c r="X71" s="193"/>
      <c r="Y71" s="193"/>
      <c r="Z71" s="193"/>
      <c r="AA71" s="193"/>
      <c r="AB71" s="193"/>
      <c r="AC71" s="193"/>
      <c r="AD71" s="193"/>
      <c r="AE71" s="193"/>
      <c r="AF71" s="193"/>
      <c r="AG71" s="193"/>
      <c r="AH71" s="193"/>
      <c r="AI71" s="193"/>
      <c r="AJ71" s="193"/>
      <c r="AK71" s="193"/>
      <c r="AL71" s="193"/>
      <c r="AM71" s="193"/>
      <c r="AN71" s="193"/>
      <c r="AO71" s="193"/>
      <c r="AP71" s="193"/>
      <c r="AQ71" s="193"/>
      <c r="AR71" s="193"/>
      <c r="AS71" s="193"/>
      <c r="AT71" s="193"/>
      <c r="AU71" s="193"/>
      <c r="AV71" s="193"/>
      <c r="AW71" s="193"/>
      <c r="AX71" s="193"/>
    </row>
    <row r="72" spans="1:50" ht="15" customHeight="1">
      <c r="A72" s="198"/>
      <c r="B72" s="128"/>
      <c r="C72" s="128"/>
      <c r="D72" s="122"/>
      <c r="E72" s="16" t="s">
        <v>211</v>
      </c>
      <c r="F72" s="16"/>
      <c r="G72" s="13" t="str">
        <f>CONCATENATE(Inputs!$I$9,"m nominal prices")</f>
        <v>£m nominal prices</v>
      </c>
      <c r="H72" s="16"/>
      <c r="I72" s="200">
        <f>Inputs!I116</f>
        <v>17</v>
      </c>
      <c r="J72" s="193"/>
      <c r="K72" s="193"/>
      <c r="L72" s="193"/>
      <c r="M72" s="193"/>
      <c r="N72" s="193"/>
      <c r="O72" s="193"/>
      <c r="P72" s="193"/>
      <c r="Q72" s="193"/>
      <c r="R72" s="193"/>
      <c r="S72" s="193"/>
      <c r="T72" s="193"/>
      <c r="U72" s="193"/>
      <c r="V72" s="193"/>
      <c r="W72" s="193"/>
      <c r="X72" s="193"/>
      <c r="Y72" s="193"/>
      <c r="Z72" s="193"/>
      <c r="AA72" s="193"/>
      <c r="AB72" s="193"/>
      <c r="AC72" s="193"/>
      <c r="AD72" s="193"/>
      <c r="AE72" s="193"/>
      <c r="AF72" s="193"/>
      <c r="AG72" s="193"/>
      <c r="AH72" s="193"/>
      <c r="AI72" s="193"/>
      <c r="AJ72" s="193"/>
      <c r="AK72" s="193"/>
      <c r="AL72" s="193"/>
      <c r="AM72" s="193"/>
      <c r="AN72" s="193"/>
      <c r="AO72" s="193"/>
      <c r="AP72" s="193"/>
      <c r="AQ72" s="193"/>
      <c r="AR72" s="193"/>
      <c r="AS72" s="193"/>
      <c r="AT72" s="193"/>
      <c r="AU72" s="193"/>
      <c r="AV72" s="193"/>
      <c r="AW72" s="193"/>
      <c r="AX72" s="193"/>
    </row>
    <row r="73" spans="1:50" ht="15" customHeight="1">
      <c r="A73" s="198"/>
      <c r="B73" s="128"/>
      <c r="C73" s="128"/>
      <c r="D73" s="122"/>
      <c r="E73" s="16" t="s">
        <v>212</v>
      </c>
      <c r="F73" s="16"/>
      <c r="G73" s="13" t="str">
        <f>CONCATENATE(Inputs!$I$9,"m nominal prices")</f>
        <v>£m nominal prices</v>
      </c>
      <c r="H73" s="16"/>
      <c r="I73" s="200">
        <f>Inputs!I117</f>
        <v>5</v>
      </c>
      <c r="J73" s="193"/>
      <c r="K73" s="193"/>
      <c r="L73" s="193"/>
      <c r="M73" s="193"/>
      <c r="N73" s="193"/>
      <c r="O73" s="193"/>
      <c r="P73" s="193"/>
      <c r="Q73" s="193"/>
      <c r="R73" s="193"/>
      <c r="S73" s="193"/>
      <c r="T73" s="193"/>
      <c r="U73" s="193"/>
      <c r="V73" s="193"/>
      <c r="W73" s="193"/>
      <c r="X73" s="193"/>
      <c r="Y73" s="193"/>
      <c r="Z73" s="193"/>
      <c r="AA73" s="193"/>
      <c r="AB73" s="193"/>
      <c r="AC73" s="193"/>
      <c r="AD73" s="193"/>
      <c r="AE73" s="193"/>
      <c r="AF73" s="193"/>
      <c r="AG73" s="193"/>
      <c r="AH73" s="193"/>
      <c r="AI73" s="193"/>
      <c r="AJ73" s="193"/>
      <c r="AK73" s="193"/>
      <c r="AL73" s="193"/>
      <c r="AM73" s="193"/>
      <c r="AN73" s="193"/>
      <c r="AO73" s="193"/>
      <c r="AP73" s="193"/>
      <c r="AQ73" s="193"/>
      <c r="AR73" s="193"/>
      <c r="AS73" s="193"/>
      <c r="AT73" s="193"/>
      <c r="AU73" s="193"/>
      <c r="AV73" s="193"/>
      <c r="AW73" s="193"/>
      <c r="AX73" s="193"/>
    </row>
    <row r="74" spans="1:50" ht="15" customHeight="1">
      <c r="A74" s="198"/>
      <c r="B74" s="128"/>
      <c r="C74" s="128"/>
      <c r="D74" s="122"/>
      <c r="E74" s="16" t="s">
        <v>343</v>
      </c>
      <c r="F74" s="16"/>
      <c r="G74" s="13" t="str">
        <f>CONCATENATE(Inputs!$I$9,"m nominal prices")</f>
        <v>£m nominal prices</v>
      </c>
      <c r="H74" s="16"/>
      <c r="I74" s="200">
        <f>Inputs!I122</f>
        <v>0</v>
      </c>
      <c r="J74" s="193"/>
      <c r="K74" s="193"/>
      <c r="L74" s="193"/>
      <c r="M74" s="193"/>
      <c r="N74" s="193"/>
      <c r="O74" s="193"/>
      <c r="P74" s="193"/>
      <c r="Q74" s="193"/>
      <c r="R74" s="193"/>
      <c r="S74" s="193"/>
      <c r="T74" s="193"/>
      <c r="U74" s="193"/>
      <c r="V74" s="193"/>
      <c r="W74" s="193"/>
      <c r="X74" s="193"/>
      <c r="Y74" s="193"/>
      <c r="Z74" s="193"/>
      <c r="AA74" s="193"/>
      <c r="AB74" s="193"/>
      <c r="AC74" s="193"/>
      <c r="AD74" s="193"/>
      <c r="AE74" s="193"/>
      <c r="AF74" s="193"/>
      <c r="AG74" s="193"/>
      <c r="AH74" s="193"/>
      <c r="AI74" s="193"/>
      <c r="AJ74" s="193"/>
      <c r="AK74" s="193"/>
      <c r="AL74" s="193"/>
      <c r="AM74" s="193"/>
      <c r="AN74" s="193"/>
      <c r="AO74" s="193"/>
      <c r="AP74" s="193"/>
      <c r="AQ74" s="193"/>
      <c r="AR74" s="193"/>
      <c r="AS74" s="193"/>
      <c r="AT74" s="193"/>
      <c r="AU74" s="193"/>
      <c r="AV74" s="193"/>
      <c r="AW74" s="193"/>
      <c r="AX74" s="193"/>
    </row>
    <row r="75" spans="1:50" ht="15" customHeight="1">
      <c r="A75" s="198"/>
      <c r="B75" s="128"/>
      <c r="C75" s="128"/>
      <c r="D75" s="122"/>
      <c r="E75" s="16"/>
      <c r="F75" s="16"/>
      <c r="G75" s="16"/>
      <c r="H75" s="16"/>
      <c r="I75" s="193"/>
      <c r="J75" s="193"/>
      <c r="K75" s="193"/>
      <c r="L75" s="193"/>
      <c r="M75" s="193"/>
      <c r="N75" s="193"/>
      <c r="O75" s="193"/>
      <c r="P75" s="193"/>
      <c r="Q75" s="193"/>
      <c r="R75" s="193"/>
      <c r="S75" s="193"/>
      <c r="T75" s="193"/>
      <c r="U75" s="193"/>
      <c r="V75" s="193"/>
      <c r="W75" s="193"/>
      <c r="X75" s="193"/>
      <c r="Y75" s="193"/>
      <c r="Z75" s="193"/>
      <c r="AA75" s="193"/>
      <c r="AB75" s="193"/>
      <c r="AC75" s="193"/>
      <c r="AD75" s="193"/>
      <c r="AE75" s="193"/>
      <c r="AF75" s="193"/>
      <c r="AG75" s="193"/>
      <c r="AH75" s="193"/>
      <c r="AI75" s="193"/>
      <c r="AJ75" s="193"/>
      <c r="AK75" s="193"/>
      <c r="AL75" s="193"/>
      <c r="AM75" s="193"/>
      <c r="AN75" s="193"/>
      <c r="AO75" s="193"/>
      <c r="AP75" s="193"/>
      <c r="AQ75" s="193"/>
      <c r="AR75" s="193"/>
      <c r="AS75" s="193"/>
      <c r="AT75" s="193"/>
      <c r="AU75" s="193"/>
      <c r="AV75" s="193"/>
      <c r="AW75" s="193"/>
      <c r="AX75" s="193"/>
    </row>
    <row r="76" spans="1:50" ht="15" customHeight="1">
      <c r="A76" s="27"/>
      <c r="B76" s="26"/>
      <c r="C76" s="67" t="s">
        <v>308</v>
      </c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7"/>
      <c r="AV76" s="67"/>
      <c r="AW76" s="67"/>
      <c r="AX76" s="67"/>
    </row>
    <row r="77" spans="1:50" ht="15" customHeight="1">
      <c r="A77" s="198"/>
      <c r="B77" s="128"/>
      <c r="C77" s="128"/>
      <c r="D77" s="122"/>
      <c r="E77" s="16"/>
      <c r="F77" s="16"/>
      <c r="G77" s="16"/>
      <c r="H77" s="16"/>
      <c r="I77" s="193"/>
      <c r="J77" s="193"/>
      <c r="K77" s="193"/>
      <c r="L77" s="193"/>
      <c r="M77" s="193"/>
      <c r="N77" s="193"/>
      <c r="O77" s="193"/>
      <c r="P77" s="193"/>
      <c r="Q77" s="193"/>
      <c r="R77" s="193"/>
      <c r="S77" s="193"/>
      <c r="T77" s="193"/>
      <c r="U77" s="193"/>
      <c r="V77" s="193"/>
      <c r="W77" s="193"/>
      <c r="X77" s="193"/>
      <c r="Y77" s="193"/>
      <c r="Z77" s="193"/>
      <c r="AA77" s="193"/>
      <c r="AB77" s="193"/>
      <c r="AC77" s="193"/>
      <c r="AD77" s="193"/>
      <c r="AE77" s="193"/>
      <c r="AF77" s="193"/>
      <c r="AG77" s="193"/>
      <c r="AH77" s="193"/>
      <c r="AI77" s="193"/>
      <c r="AJ77" s="193"/>
      <c r="AK77" s="193"/>
      <c r="AL77" s="193"/>
      <c r="AM77" s="193"/>
      <c r="AN77" s="193"/>
      <c r="AO77" s="193"/>
      <c r="AP77" s="193"/>
      <c r="AQ77" s="193"/>
      <c r="AR77" s="193"/>
      <c r="AS77" s="193"/>
      <c r="AT77" s="193"/>
      <c r="AU77" s="193"/>
      <c r="AV77" s="193"/>
      <c r="AW77" s="193"/>
      <c r="AX77" s="193"/>
    </row>
    <row r="78" spans="1:50" ht="15" customHeight="1">
      <c r="A78" s="198"/>
      <c r="B78" s="128"/>
      <c r="C78" s="128"/>
      <c r="D78" s="122"/>
      <c r="E78" s="16" t="s">
        <v>344</v>
      </c>
      <c r="F78" s="16"/>
      <c r="G78" s="26" t="s">
        <v>188</v>
      </c>
      <c r="H78" s="16"/>
      <c r="I78" s="194">
        <f>Inputs!I94</f>
        <v>1.4999999999999999E-2</v>
      </c>
      <c r="J78" s="193"/>
      <c r="K78" s="193"/>
      <c r="L78" s="193"/>
      <c r="M78" s="193"/>
      <c r="N78" s="193"/>
      <c r="O78" s="193"/>
      <c r="P78" s="193"/>
      <c r="Q78" s="193"/>
      <c r="R78" s="193"/>
      <c r="S78" s="193"/>
      <c r="T78" s="193"/>
      <c r="U78" s="193"/>
      <c r="V78" s="193"/>
      <c r="W78" s="193"/>
      <c r="X78" s="193"/>
      <c r="Y78" s="193"/>
      <c r="Z78" s="193"/>
      <c r="AA78" s="193"/>
      <c r="AB78" s="193"/>
      <c r="AC78" s="193"/>
      <c r="AD78" s="193"/>
      <c r="AE78" s="193"/>
      <c r="AF78" s="193"/>
      <c r="AG78" s="193"/>
      <c r="AH78" s="193"/>
      <c r="AI78" s="193"/>
      <c r="AJ78" s="193"/>
      <c r="AK78" s="193"/>
      <c r="AL78" s="193"/>
      <c r="AM78" s="193"/>
      <c r="AN78" s="193"/>
      <c r="AO78" s="193"/>
      <c r="AP78" s="193"/>
      <c r="AQ78" s="193"/>
      <c r="AR78" s="193"/>
      <c r="AS78" s="193"/>
      <c r="AT78" s="193"/>
      <c r="AU78" s="193"/>
      <c r="AV78" s="193"/>
      <c r="AW78" s="193"/>
      <c r="AX78" s="193"/>
    </row>
    <row r="79" spans="1:50" ht="15" customHeight="1">
      <c r="A79" s="198"/>
      <c r="B79" s="128"/>
      <c r="C79" s="128"/>
      <c r="D79" s="122"/>
      <c r="E79" s="16" t="s">
        <v>345</v>
      </c>
      <c r="F79" s="16"/>
      <c r="G79" s="26" t="s">
        <v>188</v>
      </c>
      <c r="H79" s="16"/>
      <c r="I79" s="194">
        <f>Inputs!I101</f>
        <v>1.4999999999999999E-2</v>
      </c>
      <c r="J79" s="193"/>
      <c r="K79" s="193"/>
      <c r="L79" s="193"/>
      <c r="M79" s="193"/>
      <c r="N79" s="193"/>
      <c r="O79" s="193"/>
      <c r="P79" s="193"/>
      <c r="Q79" s="193"/>
      <c r="R79" s="193"/>
      <c r="S79" s="193"/>
      <c r="T79" s="193"/>
      <c r="U79" s="193"/>
      <c r="V79" s="193"/>
      <c r="W79" s="193"/>
      <c r="X79" s="193"/>
      <c r="Y79" s="193"/>
      <c r="Z79" s="193"/>
      <c r="AA79" s="193"/>
      <c r="AB79" s="193"/>
      <c r="AC79" s="193"/>
      <c r="AD79" s="193"/>
      <c r="AE79" s="193"/>
      <c r="AF79" s="193"/>
      <c r="AG79" s="193"/>
      <c r="AH79" s="193"/>
      <c r="AI79" s="193"/>
      <c r="AJ79" s="193"/>
      <c r="AK79" s="193"/>
      <c r="AL79" s="193"/>
      <c r="AM79" s="193"/>
      <c r="AN79" s="193"/>
      <c r="AO79" s="193"/>
      <c r="AP79" s="193"/>
      <c r="AQ79" s="193"/>
      <c r="AR79" s="193"/>
      <c r="AS79" s="193"/>
      <c r="AT79" s="193"/>
      <c r="AU79" s="193"/>
      <c r="AV79" s="193"/>
      <c r="AW79" s="193"/>
      <c r="AX79" s="193"/>
    </row>
    <row r="80" spans="1:50" ht="15" customHeight="1">
      <c r="A80" s="198"/>
      <c r="B80" s="128"/>
      <c r="C80" s="128"/>
      <c r="D80" s="122"/>
      <c r="E80" s="16" t="s">
        <v>346</v>
      </c>
      <c r="F80" s="16"/>
      <c r="G80" s="26" t="s">
        <v>188</v>
      </c>
      <c r="H80" s="16"/>
      <c r="I80" s="194">
        <f>Inputs!I107</f>
        <v>1.4999999999999999E-2</v>
      </c>
      <c r="J80" s="193"/>
      <c r="K80" s="193"/>
      <c r="L80" s="193"/>
      <c r="M80" s="193"/>
      <c r="N80" s="193"/>
      <c r="O80" s="193"/>
      <c r="P80" s="193"/>
      <c r="Q80" s="193"/>
      <c r="R80" s="193"/>
      <c r="S80" s="193"/>
      <c r="T80" s="193"/>
      <c r="U80" s="193"/>
      <c r="X80" s="193"/>
      <c r="Y80" s="193"/>
      <c r="Z80" s="193"/>
      <c r="AA80" s="193"/>
      <c r="AB80" s="193"/>
      <c r="AC80" s="193"/>
      <c r="AD80" s="193"/>
      <c r="AE80" s="193"/>
      <c r="AF80" s="193"/>
      <c r="AG80" s="193"/>
      <c r="AH80" s="193"/>
      <c r="AI80" s="193"/>
      <c r="AJ80" s="193"/>
      <c r="AK80" s="193"/>
      <c r="AL80" s="193"/>
      <c r="AM80" s="193"/>
      <c r="AN80" s="193"/>
      <c r="AO80" s="193"/>
      <c r="AP80" s="193"/>
      <c r="AQ80" s="193"/>
      <c r="AR80" s="193"/>
      <c r="AS80" s="193"/>
      <c r="AT80" s="193"/>
      <c r="AU80" s="193"/>
      <c r="AV80" s="193"/>
      <c r="AW80" s="193"/>
      <c r="AX80" s="193"/>
    </row>
    <row r="81" spans="1:50" ht="15" customHeight="1">
      <c r="A81" s="198"/>
      <c r="B81" s="128"/>
      <c r="C81" s="128"/>
      <c r="D81" s="122"/>
      <c r="E81" s="16" t="s">
        <v>347</v>
      </c>
      <c r="F81" s="16"/>
      <c r="G81" s="26" t="s">
        <v>188</v>
      </c>
      <c r="H81" s="16"/>
      <c r="I81" s="194">
        <f>Inputs!I112</f>
        <v>1.4999999999999999E-2</v>
      </c>
      <c r="J81" s="193"/>
      <c r="K81" s="193"/>
      <c r="L81" s="193"/>
      <c r="M81" s="193"/>
      <c r="N81" s="193"/>
      <c r="O81" s="193"/>
      <c r="P81" s="193"/>
      <c r="Q81" s="193"/>
      <c r="R81" s="193"/>
      <c r="S81" s="193"/>
      <c r="T81" s="193"/>
      <c r="U81" s="193"/>
      <c r="V81" s="193"/>
      <c r="W81" s="193"/>
      <c r="X81" s="193"/>
      <c r="Y81" s="193"/>
      <c r="Z81" s="193"/>
      <c r="AA81" s="193"/>
      <c r="AB81" s="193"/>
      <c r="AC81" s="193"/>
      <c r="AD81" s="193"/>
      <c r="AE81" s="193"/>
      <c r="AF81" s="193"/>
      <c r="AG81" s="193"/>
      <c r="AH81" s="193"/>
      <c r="AI81" s="193"/>
      <c r="AJ81" s="193"/>
      <c r="AK81" s="193"/>
      <c r="AL81" s="193"/>
      <c r="AM81" s="193"/>
      <c r="AN81" s="193"/>
      <c r="AO81" s="193"/>
      <c r="AP81" s="193"/>
      <c r="AQ81" s="193"/>
      <c r="AR81" s="193"/>
      <c r="AS81" s="193"/>
      <c r="AT81" s="193"/>
      <c r="AU81" s="193"/>
      <c r="AV81" s="193"/>
      <c r="AW81" s="193"/>
      <c r="AX81" s="193"/>
    </row>
    <row r="82" spans="1:50" ht="15" customHeight="1">
      <c r="A82" s="198"/>
      <c r="B82" s="128"/>
      <c r="C82" s="128"/>
      <c r="D82" s="122"/>
      <c r="E82" s="16" t="s">
        <v>348</v>
      </c>
      <c r="F82" s="16"/>
      <c r="G82" s="26" t="s">
        <v>188</v>
      </c>
      <c r="H82" s="16"/>
      <c r="I82" s="194">
        <f>Inputs!I118</f>
        <v>1.0999999999999999E-2</v>
      </c>
      <c r="J82" s="193"/>
      <c r="K82" s="193"/>
      <c r="L82" s="193"/>
      <c r="M82" s="193"/>
      <c r="N82" s="193"/>
      <c r="O82" s="193"/>
      <c r="P82" s="193"/>
      <c r="Q82" s="193"/>
      <c r="R82" s="193"/>
      <c r="S82" s="193"/>
      <c r="T82" s="193"/>
      <c r="U82" s="193"/>
      <c r="V82" s="193"/>
      <c r="W82" s="193"/>
      <c r="X82" s="193"/>
      <c r="Y82" s="193"/>
      <c r="Z82" s="193"/>
      <c r="AA82" s="193"/>
      <c r="AB82" s="193"/>
      <c r="AC82" s="193"/>
      <c r="AD82" s="193"/>
      <c r="AE82" s="193"/>
      <c r="AF82" s="193"/>
      <c r="AG82" s="193"/>
      <c r="AH82" s="193"/>
      <c r="AI82" s="193"/>
      <c r="AJ82" s="193"/>
      <c r="AK82" s="193"/>
      <c r="AL82" s="193"/>
      <c r="AM82" s="193"/>
      <c r="AN82" s="193"/>
      <c r="AO82" s="193"/>
      <c r="AP82" s="193"/>
      <c r="AQ82" s="193"/>
      <c r="AR82" s="193"/>
      <c r="AS82" s="193"/>
      <c r="AT82" s="193"/>
      <c r="AU82" s="193"/>
      <c r="AV82" s="193"/>
      <c r="AW82" s="193"/>
      <c r="AX82" s="193"/>
    </row>
    <row r="83" spans="1:50" ht="15" customHeight="1">
      <c r="A83" s="198"/>
      <c r="B83" s="128"/>
      <c r="C83" s="128"/>
      <c r="D83" s="122"/>
      <c r="E83" s="16" t="s">
        <v>349</v>
      </c>
      <c r="F83" s="16"/>
      <c r="G83" s="26" t="s">
        <v>188</v>
      </c>
      <c r="H83" s="16"/>
      <c r="I83" s="194">
        <f>Inputs!I123</f>
        <v>0</v>
      </c>
      <c r="J83" s="193"/>
      <c r="K83" s="193"/>
      <c r="L83" s="193"/>
      <c r="M83" s="193"/>
      <c r="N83" s="193"/>
      <c r="O83" s="193"/>
      <c r="P83" s="193"/>
      <c r="Q83" s="193"/>
      <c r="R83" s="193"/>
      <c r="S83" s="193"/>
      <c r="T83" s="193"/>
      <c r="U83" s="193"/>
      <c r="V83" s="193"/>
      <c r="W83" s="193"/>
      <c r="X83" s="193"/>
      <c r="Y83" s="193"/>
      <c r="Z83" s="193"/>
      <c r="AA83" s="193"/>
      <c r="AB83" s="193"/>
      <c r="AC83" s="193"/>
      <c r="AD83" s="193"/>
      <c r="AE83" s="193"/>
      <c r="AF83" s="193"/>
      <c r="AG83" s="193"/>
      <c r="AH83" s="193"/>
      <c r="AI83" s="193"/>
      <c r="AJ83" s="193"/>
      <c r="AK83" s="193"/>
      <c r="AL83" s="193"/>
      <c r="AM83" s="193"/>
      <c r="AN83" s="193"/>
      <c r="AO83" s="193"/>
      <c r="AP83" s="193"/>
      <c r="AQ83" s="193"/>
      <c r="AR83" s="193"/>
      <c r="AS83" s="193"/>
      <c r="AT83" s="193"/>
      <c r="AU83" s="193"/>
      <c r="AV83" s="193"/>
      <c r="AW83" s="193"/>
      <c r="AX83" s="193"/>
    </row>
    <row r="84" spans="1:50" ht="15" customHeight="1">
      <c r="A84" s="198"/>
      <c r="B84" s="128"/>
      <c r="C84" s="128"/>
      <c r="D84" s="122"/>
      <c r="E84" s="16"/>
      <c r="F84" s="16"/>
      <c r="G84" s="16"/>
      <c r="H84" s="16"/>
      <c r="I84" s="193"/>
      <c r="J84" s="193"/>
      <c r="K84" s="193"/>
      <c r="L84" s="193"/>
      <c r="M84" s="193"/>
      <c r="N84" s="193"/>
      <c r="O84" s="193"/>
      <c r="P84" s="193"/>
      <c r="Q84" s="193"/>
      <c r="R84" s="193"/>
      <c r="S84" s="193"/>
      <c r="T84" s="193"/>
      <c r="U84" s="193"/>
      <c r="V84" s="193"/>
      <c r="W84" s="193"/>
      <c r="X84" s="193"/>
      <c r="Y84" s="193"/>
      <c r="Z84" s="193"/>
      <c r="AA84" s="193"/>
      <c r="AB84" s="193"/>
      <c r="AC84" s="193"/>
      <c r="AD84" s="193"/>
      <c r="AE84" s="193"/>
      <c r="AF84" s="193"/>
      <c r="AG84" s="193"/>
      <c r="AH84" s="193"/>
      <c r="AI84" s="193"/>
      <c r="AJ84" s="193"/>
      <c r="AK84" s="193"/>
      <c r="AL84" s="193"/>
      <c r="AM84" s="193"/>
      <c r="AN84" s="193"/>
      <c r="AO84" s="193"/>
      <c r="AP84" s="193"/>
      <c r="AQ84" s="193"/>
      <c r="AR84" s="193"/>
      <c r="AS84" s="193"/>
      <c r="AT84" s="193"/>
      <c r="AU84" s="193"/>
      <c r="AV84" s="193"/>
      <c r="AW84" s="193"/>
      <c r="AX84" s="193"/>
    </row>
    <row r="85" spans="1:50" ht="15" customHeight="1">
      <c r="A85" s="198"/>
      <c r="B85" s="128"/>
      <c r="C85" s="128"/>
      <c r="D85" s="122"/>
      <c r="E85" s="16" t="s">
        <v>187</v>
      </c>
      <c r="F85" s="16"/>
      <c r="G85" s="26" t="s">
        <v>188</v>
      </c>
      <c r="H85" s="16"/>
      <c r="I85" s="194">
        <f>Inputs!I89</f>
        <v>2.1700000000000001E-2</v>
      </c>
      <c r="J85" s="193"/>
      <c r="K85" s="193"/>
      <c r="L85" s="193"/>
      <c r="M85" s="193"/>
      <c r="N85" s="193"/>
      <c r="O85" s="193"/>
      <c r="P85" s="193"/>
      <c r="Q85" s="193"/>
      <c r="R85" s="193"/>
      <c r="S85" s="193"/>
      <c r="T85" s="193"/>
      <c r="U85" s="193"/>
      <c r="V85" s="193"/>
      <c r="W85" s="193"/>
      <c r="X85" s="193"/>
      <c r="Y85" s="193"/>
      <c r="Z85" s="193"/>
      <c r="AA85" s="193"/>
      <c r="AB85" s="193"/>
      <c r="AC85" s="193"/>
      <c r="AD85" s="193"/>
      <c r="AE85" s="193"/>
      <c r="AF85" s="193"/>
      <c r="AG85" s="193"/>
      <c r="AH85" s="193"/>
      <c r="AI85" s="193"/>
      <c r="AJ85" s="193"/>
      <c r="AK85" s="193"/>
      <c r="AL85" s="193"/>
      <c r="AM85" s="193"/>
      <c r="AN85" s="193"/>
      <c r="AO85" s="193"/>
      <c r="AP85" s="193"/>
      <c r="AQ85" s="193"/>
      <c r="AR85" s="193"/>
      <c r="AS85" s="193"/>
      <c r="AT85" s="193"/>
      <c r="AU85" s="193"/>
      <c r="AV85" s="193"/>
      <c r="AW85" s="193"/>
      <c r="AX85" s="193"/>
    </row>
    <row r="86" spans="1:50" ht="15" customHeight="1">
      <c r="A86" s="198"/>
      <c r="B86" s="128"/>
      <c r="C86" s="128"/>
      <c r="D86" s="122"/>
      <c r="E86" s="16" t="s">
        <v>350</v>
      </c>
      <c r="F86" s="16"/>
      <c r="G86" s="26" t="s">
        <v>188</v>
      </c>
      <c r="H86" s="16"/>
      <c r="I86" s="194">
        <f>Inputs!I92</f>
        <v>1.7999999999999999E-2</v>
      </c>
      <c r="J86" s="193"/>
      <c r="K86" s="193"/>
      <c r="L86" s="193"/>
      <c r="M86" s="193"/>
      <c r="N86" s="193"/>
      <c r="O86" s="193"/>
      <c r="P86" s="193"/>
      <c r="Q86" s="193"/>
      <c r="R86" s="193"/>
      <c r="S86" s="193"/>
      <c r="T86" s="193"/>
      <c r="U86" s="193"/>
      <c r="V86" s="193"/>
      <c r="W86" s="193"/>
      <c r="X86" s="193"/>
      <c r="Y86" s="193"/>
      <c r="Z86" s="193"/>
      <c r="AA86" s="193"/>
      <c r="AB86" s="193"/>
      <c r="AC86" s="193"/>
      <c r="AD86" s="193"/>
      <c r="AE86" s="193"/>
      <c r="AF86" s="193"/>
      <c r="AG86" s="193"/>
      <c r="AH86" s="193"/>
      <c r="AI86" s="193"/>
      <c r="AJ86" s="193"/>
      <c r="AK86" s="193"/>
      <c r="AL86" s="193"/>
      <c r="AM86" s="193"/>
      <c r="AN86" s="193"/>
      <c r="AO86" s="193"/>
      <c r="AP86" s="193"/>
      <c r="AQ86" s="193"/>
      <c r="AR86" s="193"/>
      <c r="AS86" s="193"/>
      <c r="AT86" s="193"/>
      <c r="AU86" s="193"/>
      <c r="AV86" s="193"/>
      <c r="AW86" s="193"/>
      <c r="AX86" s="193"/>
    </row>
    <row r="87" spans="1:50" ht="15" customHeight="1">
      <c r="A87" s="198"/>
      <c r="B87" s="128"/>
      <c r="C87" s="128"/>
      <c r="D87" s="122"/>
      <c r="E87" s="122" t="s">
        <v>191</v>
      </c>
      <c r="F87" s="122"/>
      <c r="G87" s="123" t="s">
        <v>188</v>
      </c>
      <c r="H87" s="122"/>
      <c r="I87" s="201">
        <f>Inputs!I93</f>
        <v>2E-3</v>
      </c>
      <c r="J87" s="193"/>
      <c r="K87" s="193"/>
      <c r="L87" s="193"/>
      <c r="M87" s="193"/>
      <c r="N87" s="193"/>
      <c r="O87" s="193"/>
      <c r="P87" s="193"/>
      <c r="Q87" s="193"/>
      <c r="R87" s="193"/>
      <c r="S87" s="193"/>
      <c r="T87" s="193"/>
      <c r="U87" s="193"/>
      <c r="V87" s="193"/>
      <c r="W87" s="193"/>
      <c r="X87" s="193"/>
      <c r="Y87" s="193"/>
      <c r="Z87" s="193"/>
      <c r="AA87" s="193"/>
      <c r="AB87" s="193"/>
      <c r="AC87" s="193"/>
      <c r="AD87" s="193"/>
      <c r="AE87" s="193"/>
      <c r="AF87" s="193"/>
      <c r="AG87" s="193"/>
      <c r="AH87" s="193"/>
      <c r="AI87" s="193"/>
      <c r="AJ87" s="193"/>
      <c r="AK87" s="193"/>
      <c r="AL87" s="193"/>
      <c r="AM87" s="193"/>
      <c r="AN87" s="193"/>
      <c r="AO87" s="193"/>
      <c r="AP87" s="193"/>
      <c r="AQ87" s="193"/>
      <c r="AR87" s="193"/>
      <c r="AS87" s="193"/>
      <c r="AT87" s="193"/>
      <c r="AU87" s="193"/>
      <c r="AV87" s="193"/>
      <c r="AW87" s="193"/>
      <c r="AX87" s="193"/>
    </row>
    <row r="88" spans="1:50" ht="15" customHeight="1">
      <c r="A88" s="198"/>
      <c r="B88" s="128"/>
      <c r="C88" s="128"/>
      <c r="D88" s="122"/>
      <c r="E88" s="16" t="s">
        <v>351</v>
      </c>
      <c r="F88" s="16"/>
      <c r="G88" s="26" t="s">
        <v>188</v>
      </c>
      <c r="H88" s="16"/>
      <c r="I88" s="194">
        <f>Inputs!I102</f>
        <v>1.7999999999999999E-2</v>
      </c>
      <c r="J88" s="193"/>
      <c r="K88" s="193"/>
      <c r="L88" s="193"/>
      <c r="M88" s="193"/>
      <c r="N88" s="193"/>
      <c r="O88" s="193"/>
      <c r="P88" s="193"/>
      <c r="Q88" s="193"/>
      <c r="R88" s="193"/>
      <c r="S88" s="193"/>
      <c r="T88" s="193"/>
      <c r="U88" s="193"/>
      <c r="V88" s="193"/>
      <c r="W88" s="193"/>
      <c r="X88" s="193"/>
      <c r="Y88" s="193"/>
      <c r="Z88" s="193"/>
      <c r="AA88" s="193"/>
      <c r="AB88" s="193"/>
      <c r="AC88" s="193"/>
      <c r="AD88" s="193"/>
      <c r="AE88" s="193"/>
      <c r="AF88" s="193"/>
      <c r="AG88" s="193"/>
      <c r="AH88" s="193"/>
      <c r="AI88" s="193"/>
      <c r="AJ88" s="193"/>
      <c r="AK88" s="193"/>
      <c r="AL88" s="193"/>
      <c r="AM88" s="193"/>
      <c r="AN88" s="193"/>
      <c r="AO88" s="193"/>
      <c r="AP88" s="193"/>
      <c r="AQ88" s="193"/>
      <c r="AR88" s="193"/>
      <c r="AS88" s="193"/>
      <c r="AT88" s="193"/>
      <c r="AU88" s="193"/>
      <c r="AV88" s="193"/>
      <c r="AW88" s="193"/>
      <c r="AX88" s="193"/>
    </row>
    <row r="89" spans="1:50" ht="15" customHeight="1">
      <c r="A89" s="198"/>
      <c r="B89" s="128"/>
      <c r="C89" s="128"/>
      <c r="D89" s="122"/>
      <c r="E89" s="16" t="s">
        <v>352</v>
      </c>
      <c r="F89" s="16"/>
      <c r="G89" s="26" t="s">
        <v>188</v>
      </c>
      <c r="H89" s="16"/>
      <c r="I89" s="194">
        <f>Inputs!I108</f>
        <v>1.7999999999999999E-2</v>
      </c>
      <c r="J89" s="193"/>
      <c r="K89" s="193"/>
      <c r="L89" s="193"/>
      <c r="M89" s="193"/>
      <c r="N89" s="193"/>
      <c r="O89" s="193"/>
      <c r="P89" s="193"/>
      <c r="Q89" s="193"/>
      <c r="R89" s="193"/>
      <c r="S89" s="193"/>
      <c r="T89" s="193"/>
      <c r="U89" s="193"/>
      <c r="V89" s="193"/>
      <c r="W89" s="193"/>
      <c r="X89" s="193"/>
      <c r="Y89" s="193"/>
      <c r="Z89" s="193"/>
      <c r="AA89" s="193"/>
      <c r="AB89" s="193"/>
      <c r="AC89" s="193"/>
      <c r="AD89" s="193"/>
      <c r="AE89" s="193"/>
      <c r="AF89" s="193"/>
      <c r="AG89" s="193"/>
      <c r="AH89" s="193"/>
      <c r="AI89" s="193"/>
      <c r="AJ89" s="193"/>
      <c r="AK89" s="193"/>
      <c r="AL89" s="193"/>
      <c r="AM89" s="193"/>
      <c r="AN89" s="193"/>
      <c r="AO89" s="193"/>
      <c r="AP89" s="193"/>
      <c r="AQ89" s="193"/>
      <c r="AR89" s="193"/>
      <c r="AS89" s="193"/>
      <c r="AT89" s="193"/>
      <c r="AU89" s="193"/>
      <c r="AV89" s="193"/>
      <c r="AW89" s="193"/>
      <c r="AX89" s="193"/>
    </row>
    <row r="90" spans="1:50" ht="15" customHeight="1">
      <c r="A90" s="198"/>
      <c r="B90" s="128"/>
      <c r="C90" s="128"/>
      <c r="D90" s="122"/>
      <c r="E90" s="16" t="s">
        <v>353</v>
      </c>
      <c r="F90" s="16"/>
      <c r="G90" s="26" t="s">
        <v>188</v>
      </c>
      <c r="H90" s="16"/>
      <c r="I90" s="194">
        <f>Inputs!I113</f>
        <v>1.6199999999999999E-2</v>
      </c>
      <c r="J90" s="193"/>
      <c r="K90" s="193"/>
      <c r="L90" s="193"/>
      <c r="M90" s="193"/>
      <c r="N90" s="193"/>
      <c r="O90" s="193"/>
      <c r="P90" s="193"/>
      <c r="Q90" s="193"/>
      <c r="R90" s="193"/>
      <c r="S90" s="193"/>
      <c r="T90" s="193"/>
      <c r="U90" s="193"/>
      <c r="V90" s="193"/>
      <c r="W90" s="193"/>
      <c r="X90" s="193"/>
      <c r="Y90" s="193"/>
      <c r="Z90" s="193"/>
      <c r="AA90" s="193"/>
      <c r="AB90" s="193"/>
      <c r="AC90" s="193"/>
      <c r="AD90" s="193"/>
      <c r="AE90" s="193"/>
      <c r="AF90" s="193"/>
      <c r="AG90" s="193"/>
      <c r="AH90" s="193"/>
      <c r="AI90" s="193"/>
      <c r="AJ90" s="193"/>
      <c r="AK90" s="193"/>
      <c r="AL90" s="193"/>
      <c r="AM90" s="193"/>
      <c r="AN90" s="193"/>
      <c r="AO90" s="193"/>
      <c r="AP90" s="193"/>
      <c r="AQ90" s="193"/>
      <c r="AR90" s="193"/>
      <c r="AS90" s="193"/>
      <c r="AT90" s="193"/>
      <c r="AU90" s="193"/>
      <c r="AV90" s="193"/>
      <c r="AW90" s="193"/>
      <c r="AX90" s="193"/>
    </row>
    <row r="91" spans="1:50" ht="15" customHeight="1">
      <c r="A91" s="198"/>
      <c r="B91" s="128"/>
      <c r="C91" s="128"/>
      <c r="D91" s="122"/>
      <c r="E91" s="16" t="s">
        <v>354</v>
      </c>
      <c r="F91" s="16"/>
      <c r="G91" s="26" t="s">
        <v>188</v>
      </c>
      <c r="H91" s="16"/>
      <c r="I91" s="194">
        <f>Inputs!I119</f>
        <v>1.0999999999999999E-2</v>
      </c>
      <c r="J91" s="193"/>
      <c r="K91" s="193"/>
      <c r="L91" s="193"/>
      <c r="M91" s="193"/>
      <c r="N91" s="193"/>
      <c r="O91" s="193"/>
      <c r="P91" s="193"/>
      <c r="Q91" s="193"/>
      <c r="R91" s="193"/>
      <c r="S91" s="193"/>
      <c r="T91" s="193"/>
      <c r="U91" s="193"/>
      <c r="V91" s="193"/>
      <c r="W91" s="193"/>
      <c r="X91" s="193"/>
      <c r="Y91" s="193"/>
      <c r="Z91" s="193"/>
      <c r="AA91" s="193"/>
      <c r="AB91" s="193"/>
      <c r="AC91" s="193"/>
      <c r="AD91" s="193"/>
      <c r="AE91" s="193"/>
      <c r="AF91" s="193"/>
      <c r="AG91" s="193"/>
      <c r="AH91" s="193"/>
      <c r="AI91" s="193"/>
      <c r="AJ91" s="193"/>
      <c r="AK91" s="193"/>
      <c r="AL91" s="193"/>
      <c r="AM91" s="193"/>
      <c r="AN91" s="193"/>
      <c r="AO91" s="193"/>
      <c r="AP91" s="193"/>
      <c r="AQ91" s="193"/>
      <c r="AR91" s="193"/>
      <c r="AS91" s="193"/>
      <c r="AT91" s="193"/>
      <c r="AU91" s="193"/>
      <c r="AV91" s="193"/>
      <c r="AW91" s="193"/>
      <c r="AX91" s="193"/>
    </row>
    <row r="92" spans="1:50" ht="15" customHeight="1">
      <c r="A92" s="198"/>
      <c r="B92" s="128"/>
      <c r="C92" s="128"/>
      <c r="D92" s="122"/>
      <c r="E92" s="16" t="s">
        <v>355</v>
      </c>
      <c r="F92" s="16"/>
      <c r="G92" s="26" t="s">
        <v>188</v>
      </c>
      <c r="H92" s="16"/>
      <c r="I92" s="194">
        <f>Inputs!I124</f>
        <v>0</v>
      </c>
      <c r="J92" s="193"/>
      <c r="K92" s="193"/>
      <c r="L92" s="193"/>
      <c r="M92" s="193"/>
      <c r="N92" s="193"/>
      <c r="O92" s="193"/>
      <c r="P92" s="193"/>
      <c r="Q92" s="193"/>
      <c r="R92" s="193"/>
      <c r="S92" s="193"/>
      <c r="T92" s="193"/>
      <c r="U92" s="193"/>
      <c r="V92" s="193"/>
      <c r="W92" s="193"/>
      <c r="X92" s="193"/>
      <c r="Y92" s="193"/>
      <c r="Z92" s="193"/>
      <c r="AA92" s="193"/>
      <c r="AB92" s="193"/>
      <c r="AC92" s="193"/>
      <c r="AD92" s="193"/>
      <c r="AE92" s="193"/>
      <c r="AF92" s="193"/>
      <c r="AG92" s="193"/>
      <c r="AH92" s="193"/>
      <c r="AI92" s="193"/>
      <c r="AJ92" s="193"/>
      <c r="AK92" s="193"/>
      <c r="AL92" s="193"/>
      <c r="AM92" s="193"/>
      <c r="AN92" s="193"/>
      <c r="AO92" s="193"/>
      <c r="AP92" s="193"/>
      <c r="AQ92" s="193"/>
      <c r="AR92" s="193"/>
      <c r="AS92" s="193"/>
      <c r="AT92" s="193"/>
      <c r="AU92" s="193"/>
      <c r="AV92" s="193"/>
      <c r="AW92" s="193"/>
      <c r="AX92" s="193"/>
    </row>
    <row r="93" spans="1:50" ht="15" customHeight="1">
      <c r="A93" s="198"/>
      <c r="B93" s="128"/>
      <c r="C93" s="128"/>
      <c r="D93" s="122"/>
      <c r="E93" s="16"/>
      <c r="F93" s="16"/>
      <c r="G93" s="16"/>
      <c r="H93" s="16"/>
      <c r="I93" s="193"/>
      <c r="J93" s="193"/>
      <c r="K93" s="193"/>
      <c r="L93" s="193"/>
      <c r="M93" s="193"/>
      <c r="N93" s="193"/>
      <c r="O93" s="193"/>
      <c r="P93" s="193"/>
      <c r="Q93" s="193"/>
      <c r="R93" s="193"/>
      <c r="S93" s="193"/>
      <c r="T93" s="193"/>
      <c r="U93" s="193"/>
      <c r="V93" s="193"/>
      <c r="W93" s="193"/>
      <c r="X93" s="193"/>
      <c r="Y93" s="193"/>
      <c r="Z93" s="193"/>
      <c r="AA93" s="193"/>
      <c r="AB93" s="193"/>
      <c r="AC93" s="193"/>
      <c r="AD93" s="193"/>
      <c r="AE93" s="193"/>
      <c r="AF93" s="193"/>
      <c r="AG93" s="193"/>
      <c r="AH93" s="193"/>
      <c r="AI93" s="193"/>
      <c r="AJ93" s="193"/>
      <c r="AK93" s="193"/>
      <c r="AL93" s="193"/>
      <c r="AM93" s="193"/>
      <c r="AN93" s="193"/>
      <c r="AO93" s="193"/>
      <c r="AP93" s="193"/>
      <c r="AQ93" s="193"/>
      <c r="AR93" s="193"/>
      <c r="AS93" s="193"/>
      <c r="AT93" s="193"/>
      <c r="AU93" s="193"/>
      <c r="AV93" s="193"/>
      <c r="AW93" s="193"/>
      <c r="AX93" s="193"/>
    </row>
    <row r="94" spans="1:50" ht="15" customHeight="1">
      <c r="A94" s="198"/>
      <c r="B94" s="128"/>
      <c r="C94" s="128"/>
      <c r="D94" s="122"/>
      <c r="E94" s="16" t="s">
        <v>356</v>
      </c>
      <c r="F94" s="16"/>
      <c r="G94" s="16" t="s">
        <v>188</v>
      </c>
      <c r="H94" s="16"/>
      <c r="I94" s="193"/>
      <c r="J94" s="193"/>
      <c r="K94" s="202">
        <f t="shared" ref="K94:AX94" si="12">($I$85+$I86)*K$15</f>
        <v>0</v>
      </c>
      <c r="L94" s="202">
        <f t="shared" si="12"/>
        <v>0</v>
      </c>
      <c r="M94" s="202">
        <f t="shared" si="12"/>
        <v>0</v>
      </c>
      <c r="N94" s="202">
        <f t="shared" si="12"/>
        <v>0</v>
      </c>
      <c r="O94" s="202">
        <f t="shared" si="12"/>
        <v>0</v>
      </c>
      <c r="P94" s="202">
        <f t="shared" si="12"/>
        <v>0</v>
      </c>
      <c r="Q94" s="202">
        <f t="shared" si="12"/>
        <v>0</v>
      </c>
      <c r="R94" s="202">
        <f t="shared" si="12"/>
        <v>0</v>
      </c>
      <c r="S94" s="202">
        <f t="shared" si="12"/>
        <v>0</v>
      </c>
      <c r="T94" s="202">
        <f t="shared" si="12"/>
        <v>3.9699999999999999E-2</v>
      </c>
      <c r="U94" s="202">
        <f t="shared" si="12"/>
        <v>3.9699999999999999E-2</v>
      </c>
      <c r="V94" s="202">
        <f t="shared" si="12"/>
        <v>3.9699999999999999E-2</v>
      </c>
      <c r="W94" s="202">
        <f t="shared" si="12"/>
        <v>3.9699999999999999E-2</v>
      </c>
      <c r="X94" s="202">
        <f t="shared" si="12"/>
        <v>3.9699999999999999E-2</v>
      </c>
      <c r="Y94" s="202">
        <f t="shared" si="12"/>
        <v>3.9699999999999999E-2</v>
      </c>
      <c r="Z94" s="202">
        <f t="shared" si="12"/>
        <v>0</v>
      </c>
      <c r="AA94" s="202">
        <f t="shared" si="12"/>
        <v>0</v>
      </c>
      <c r="AB94" s="202">
        <f t="shared" si="12"/>
        <v>0</v>
      </c>
      <c r="AC94" s="202">
        <f t="shared" si="12"/>
        <v>0</v>
      </c>
      <c r="AD94" s="202">
        <f t="shared" si="12"/>
        <v>0</v>
      </c>
      <c r="AE94" s="202">
        <f t="shared" si="12"/>
        <v>0</v>
      </c>
      <c r="AF94" s="202">
        <f t="shared" si="12"/>
        <v>0</v>
      </c>
      <c r="AG94" s="202">
        <f t="shared" si="12"/>
        <v>0</v>
      </c>
      <c r="AH94" s="202">
        <f t="shared" si="12"/>
        <v>0</v>
      </c>
      <c r="AI94" s="202">
        <f t="shared" si="12"/>
        <v>0</v>
      </c>
      <c r="AJ94" s="202">
        <f t="shared" si="12"/>
        <v>0</v>
      </c>
      <c r="AK94" s="202">
        <f t="shared" si="12"/>
        <v>0</v>
      </c>
      <c r="AL94" s="202">
        <f t="shared" si="12"/>
        <v>0</v>
      </c>
      <c r="AM94" s="202">
        <f t="shared" si="12"/>
        <v>0</v>
      </c>
      <c r="AN94" s="202">
        <f t="shared" si="12"/>
        <v>0</v>
      </c>
      <c r="AO94" s="202">
        <f t="shared" si="12"/>
        <v>0</v>
      </c>
      <c r="AP94" s="202">
        <f t="shared" si="12"/>
        <v>0</v>
      </c>
      <c r="AQ94" s="202">
        <f t="shared" si="12"/>
        <v>0</v>
      </c>
      <c r="AR94" s="202">
        <f t="shared" si="12"/>
        <v>0</v>
      </c>
      <c r="AS94" s="202">
        <f t="shared" si="12"/>
        <v>0</v>
      </c>
      <c r="AT94" s="202">
        <f t="shared" si="12"/>
        <v>0</v>
      </c>
      <c r="AU94" s="202">
        <f t="shared" si="12"/>
        <v>0</v>
      </c>
      <c r="AV94" s="202">
        <f t="shared" si="12"/>
        <v>0</v>
      </c>
      <c r="AW94" s="202">
        <f t="shared" si="12"/>
        <v>0</v>
      </c>
      <c r="AX94" s="202">
        <f t="shared" si="12"/>
        <v>0</v>
      </c>
    </row>
    <row r="95" spans="1:50" ht="15" customHeight="1">
      <c r="A95" s="198"/>
      <c r="B95" s="128"/>
      <c r="C95" s="128"/>
      <c r="D95" s="122"/>
      <c r="E95" s="16" t="s">
        <v>357</v>
      </c>
      <c r="F95" s="16"/>
      <c r="G95" s="16" t="s">
        <v>188</v>
      </c>
      <c r="H95" s="16"/>
      <c r="I95" s="193"/>
      <c r="J95" s="193"/>
      <c r="K95" s="202">
        <f t="shared" ref="K95:AX95" si="13">($I$85+$I88)*K$15</f>
        <v>0</v>
      </c>
      <c r="L95" s="202">
        <f t="shared" si="13"/>
        <v>0</v>
      </c>
      <c r="M95" s="202">
        <f t="shared" si="13"/>
        <v>0</v>
      </c>
      <c r="N95" s="202">
        <f t="shared" si="13"/>
        <v>0</v>
      </c>
      <c r="O95" s="202">
        <f t="shared" si="13"/>
        <v>0</v>
      </c>
      <c r="P95" s="202">
        <f t="shared" si="13"/>
        <v>0</v>
      </c>
      <c r="Q95" s="202">
        <f t="shared" si="13"/>
        <v>0</v>
      </c>
      <c r="R95" s="202">
        <f t="shared" si="13"/>
        <v>0</v>
      </c>
      <c r="S95" s="202">
        <f t="shared" si="13"/>
        <v>0</v>
      </c>
      <c r="T95" s="202">
        <f t="shared" si="13"/>
        <v>3.9699999999999999E-2</v>
      </c>
      <c r="U95" s="202">
        <f t="shared" si="13"/>
        <v>3.9699999999999999E-2</v>
      </c>
      <c r="V95" s="202">
        <f t="shared" si="13"/>
        <v>3.9699999999999999E-2</v>
      </c>
      <c r="W95" s="202">
        <f t="shared" si="13"/>
        <v>3.9699999999999999E-2</v>
      </c>
      <c r="X95" s="202">
        <f t="shared" si="13"/>
        <v>3.9699999999999999E-2</v>
      </c>
      <c r="Y95" s="202">
        <f t="shared" si="13"/>
        <v>3.9699999999999999E-2</v>
      </c>
      <c r="Z95" s="202">
        <f t="shared" si="13"/>
        <v>0</v>
      </c>
      <c r="AA95" s="202">
        <f t="shared" si="13"/>
        <v>0</v>
      </c>
      <c r="AB95" s="202">
        <f t="shared" si="13"/>
        <v>0</v>
      </c>
      <c r="AC95" s="202">
        <f t="shared" si="13"/>
        <v>0</v>
      </c>
      <c r="AD95" s="202">
        <f t="shared" si="13"/>
        <v>0</v>
      </c>
      <c r="AE95" s="202">
        <f t="shared" si="13"/>
        <v>0</v>
      </c>
      <c r="AF95" s="202">
        <f t="shared" si="13"/>
        <v>0</v>
      </c>
      <c r="AG95" s="202">
        <f t="shared" si="13"/>
        <v>0</v>
      </c>
      <c r="AH95" s="202">
        <f t="shared" si="13"/>
        <v>0</v>
      </c>
      <c r="AI95" s="202">
        <f t="shared" si="13"/>
        <v>0</v>
      </c>
      <c r="AJ95" s="202">
        <f t="shared" si="13"/>
        <v>0</v>
      </c>
      <c r="AK95" s="202">
        <f t="shared" si="13"/>
        <v>0</v>
      </c>
      <c r="AL95" s="202">
        <f t="shared" si="13"/>
        <v>0</v>
      </c>
      <c r="AM95" s="202">
        <f t="shared" si="13"/>
        <v>0</v>
      </c>
      <c r="AN95" s="202">
        <f t="shared" si="13"/>
        <v>0</v>
      </c>
      <c r="AO95" s="202">
        <f t="shared" si="13"/>
        <v>0</v>
      </c>
      <c r="AP95" s="202">
        <f t="shared" si="13"/>
        <v>0</v>
      </c>
      <c r="AQ95" s="202">
        <f t="shared" si="13"/>
        <v>0</v>
      </c>
      <c r="AR95" s="202">
        <f t="shared" si="13"/>
        <v>0</v>
      </c>
      <c r="AS95" s="202">
        <f t="shared" si="13"/>
        <v>0</v>
      </c>
      <c r="AT95" s="202">
        <f t="shared" si="13"/>
        <v>0</v>
      </c>
      <c r="AU95" s="202">
        <f t="shared" si="13"/>
        <v>0</v>
      </c>
      <c r="AV95" s="202">
        <f t="shared" si="13"/>
        <v>0</v>
      </c>
      <c r="AW95" s="202">
        <f t="shared" si="13"/>
        <v>0</v>
      </c>
      <c r="AX95" s="202">
        <f t="shared" si="13"/>
        <v>0</v>
      </c>
    </row>
    <row r="96" spans="1:50" ht="15" customHeight="1">
      <c r="A96" s="198"/>
      <c r="B96" s="128"/>
      <c r="C96" s="128"/>
      <c r="D96" s="122"/>
      <c r="E96" s="16" t="s">
        <v>358</v>
      </c>
      <c r="F96" s="16"/>
      <c r="G96" s="16" t="s">
        <v>188</v>
      </c>
      <c r="H96" s="16"/>
      <c r="I96" s="193"/>
      <c r="J96" s="193"/>
      <c r="K96" s="202">
        <f t="shared" ref="K96:AX96" si="14">($I$85+$I89)*K$15</f>
        <v>0</v>
      </c>
      <c r="L96" s="202">
        <f t="shared" si="14"/>
        <v>0</v>
      </c>
      <c r="M96" s="202">
        <f t="shared" si="14"/>
        <v>0</v>
      </c>
      <c r="N96" s="202">
        <f t="shared" si="14"/>
        <v>0</v>
      </c>
      <c r="O96" s="202">
        <f t="shared" si="14"/>
        <v>0</v>
      </c>
      <c r="P96" s="202">
        <f t="shared" si="14"/>
        <v>0</v>
      </c>
      <c r="Q96" s="202">
        <f t="shared" si="14"/>
        <v>0</v>
      </c>
      <c r="R96" s="202">
        <f t="shared" si="14"/>
        <v>0</v>
      </c>
      <c r="S96" s="202">
        <f t="shared" si="14"/>
        <v>0</v>
      </c>
      <c r="T96" s="202">
        <f t="shared" si="14"/>
        <v>3.9699999999999999E-2</v>
      </c>
      <c r="U96" s="202">
        <f t="shared" si="14"/>
        <v>3.9699999999999999E-2</v>
      </c>
      <c r="V96" s="202">
        <f t="shared" si="14"/>
        <v>3.9699999999999999E-2</v>
      </c>
      <c r="W96" s="202">
        <f t="shared" si="14"/>
        <v>3.9699999999999999E-2</v>
      </c>
      <c r="X96" s="202">
        <f t="shared" si="14"/>
        <v>3.9699999999999999E-2</v>
      </c>
      <c r="Y96" s="202">
        <f t="shared" si="14"/>
        <v>3.9699999999999999E-2</v>
      </c>
      <c r="Z96" s="202">
        <f t="shared" si="14"/>
        <v>0</v>
      </c>
      <c r="AA96" s="202">
        <f t="shared" si="14"/>
        <v>0</v>
      </c>
      <c r="AB96" s="202">
        <f t="shared" si="14"/>
        <v>0</v>
      </c>
      <c r="AC96" s="202">
        <f t="shared" si="14"/>
        <v>0</v>
      </c>
      <c r="AD96" s="202">
        <f t="shared" si="14"/>
        <v>0</v>
      </c>
      <c r="AE96" s="202">
        <f t="shared" si="14"/>
        <v>0</v>
      </c>
      <c r="AF96" s="202">
        <f t="shared" si="14"/>
        <v>0</v>
      </c>
      <c r="AG96" s="202">
        <f t="shared" si="14"/>
        <v>0</v>
      </c>
      <c r="AH96" s="202">
        <f t="shared" si="14"/>
        <v>0</v>
      </c>
      <c r="AI96" s="202">
        <f t="shared" si="14"/>
        <v>0</v>
      </c>
      <c r="AJ96" s="202">
        <f t="shared" si="14"/>
        <v>0</v>
      </c>
      <c r="AK96" s="202">
        <f t="shared" si="14"/>
        <v>0</v>
      </c>
      <c r="AL96" s="202">
        <f t="shared" si="14"/>
        <v>0</v>
      </c>
      <c r="AM96" s="202">
        <f t="shared" si="14"/>
        <v>0</v>
      </c>
      <c r="AN96" s="202">
        <f t="shared" si="14"/>
        <v>0</v>
      </c>
      <c r="AO96" s="202">
        <f t="shared" si="14"/>
        <v>0</v>
      </c>
      <c r="AP96" s="202">
        <f t="shared" si="14"/>
        <v>0</v>
      </c>
      <c r="AQ96" s="202">
        <f t="shared" si="14"/>
        <v>0</v>
      </c>
      <c r="AR96" s="202">
        <f t="shared" si="14"/>
        <v>0</v>
      </c>
      <c r="AS96" s="202">
        <f t="shared" si="14"/>
        <v>0</v>
      </c>
      <c r="AT96" s="202">
        <f t="shared" si="14"/>
        <v>0</v>
      </c>
      <c r="AU96" s="202">
        <f t="shared" si="14"/>
        <v>0</v>
      </c>
      <c r="AV96" s="202">
        <f t="shared" si="14"/>
        <v>0</v>
      </c>
      <c r="AW96" s="202">
        <f t="shared" si="14"/>
        <v>0</v>
      </c>
      <c r="AX96" s="202">
        <f t="shared" si="14"/>
        <v>0</v>
      </c>
    </row>
    <row r="97" spans="1:50" ht="15" customHeight="1">
      <c r="A97" s="198"/>
      <c r="B97" s="128"/>
      <c r="C97" s="128"/>
      <c r="D97" s="122"/>
      <c r="E97" s="16" t="s">
        <v>359</v>
      </c>
      <c r="F97" s="16"/>
      <c r="G97" s="16" t="s">
        <v>188</v>
      </c>
      <c r="H97" s="16"/>
      <c r="I97" s="193"/>
      <c r="J97" s="193"/>
      <c r="K97" s="202">
        <f t="shared" ref="K97:AX97" si="15">($I$85+$I90)*K$15</f>
        <v>0</v>
      </c>
      <c r="L97" s="202">
        <f t="shared" si="15"/>
        <v>0</v>
      </c>
      <c r="M97" s="202">
        <f t="shared" si="15"/>
        <v>0</v>
      </c>
      <c r="N97" s="202">
        <f t="shared" si="15"/>
        <v>0</v>
      </c>
      <c r="O97" s="202">
        <f t="shared" si="15"/>
        <v>0</v>
      </c>
      <c r="P97" s="202">
        <f t="shared" si="15"/>
        <v>0</v>
      </c>
      <c r="Q97" s="202">
        <f t="shared" si="15"/>
        <v>0</v>
      </c>
      <c r="R97" s="202">
        <f t="shared" si="15"/>
        <v>0</v>
      </c>
      <c r="S97" s="202">
        <f t="shared" si="15"/>
        <v>0</v>
      </c>
      <c r="T97" s="202">
        <f t="shared" si="15"/>
        <v>3.7900000000000003E-2</v>
      </c>
      <c r="U97" s="202">
        <f t="shared" si="15"/>
        <v>3.7900000000000003E-2</v>
      </c>
      <c r="V97" s="202">
        <f t="shared" si="15"/>
        <v>3.7900000000000003E-2</v>
      </c>
      <c r="W97" s="202">
        <f t="shared" si="15"/>
        <v>3.7900000000000003E-2</v>
      </c>
      <c r="X97" s="202">
        <f t="shared" si="15"/>
        <v>3.7900000000000003E-2</v>
      </c>
      <c r="Y97" s="202">
        <f t="shared" si="15"/>
        <v>3.7900000000000003E-2</v>
      </c>
      <c r="Z97" s="202">
        <f t="shared" si="15"/>
        <v>0</v>
      </c>
      <c r="AA97" s="202">
        <f t="shared" si="15"/>
        <v>0</v>
      </c>
      <c r="AB97" s="202">
        <f t="shared" si="15"/>
        <v>0</v>
      </c>
      <c r="AC97" s="202">
        <f t="shared" si="15"/>
        <v>0</v>
      </c>
      <c r="AD97" s="202">
        <f t="shared" si="15"/>
        <v>0</v>
      </c>
      <c r="AE97" s="202">
        <f t="shared" si="15"/>
        <v>0</v>
      </c>
      <c r="AF97" s="202">
        <f t="shared" si="15"/>
        <v>0</v>
      </c>
      <c r="AG97" s="202">
        <f t="shared" si="15"/>
        <v>0</v>
      </c>
      <c r="AH97" s="202">
        <f t="shared" si="15"/>
        <v>0</v>
      </c>
      <c r="AI97" s="202">
        <f t="shared" si="15"/>
        <v>0</v>
      </c>
      <c r="AJ97" s="202">
        <f t="shared" si="15"/>
        <v>0</v>
      </c>
      <c r="AK97" s="202">
        <f t="shared" si="15"/>
        <v>0</v>
      </c>
      <c r="AL97" s="202">
        <f t="shared" si="15"/>
        <v>0</v>
      </c>
      <c r="AM97" s="202">
        <f t="shared" si="15"/>
        <v>0</v>
      </c>
      <c r="AN97" s="202">
        <f t="shared" si="15"/>
        <v>0</v>
      </c>
      <c r="AO97" s="202">
        <f t="shared" si="15"/>
        <v>0</v>
      </c>
      <c r="AP97" s="202">
        <f t="shared" si="15"/>
        <v>0</v>
      </c>
      <c r="AQ97" s="202">
        <f t="shared" si="15"/>
        <v>0</v>
      </c>
      <c r="AR97" s="202">
        <f t="shared" si="15"/>
        <v>0</v>
      </c>
      <c r="AS97" s="202">
        <f t="shared" si="15"/>
        <v>0</v>
      </c>
      <c r="AT97" s="202">
        <f t="shared" si="15"/>
        <v>0</v>
      </c>
      <c r="AU97" s="202">
        <f t="shared" si="15"/>
        <v>0</v>
      </c>
      <c r="AV97" s="202">
        <f t="shared" si="15"/>
        <v>0</v>
      </c>
      <c r="AW97" s="202">
        <f t="shared" si="15"/>
        <v>0</v>
      </c>
      <c r="AX97" s="202">
        <f t="shared" si="15"/>
        <v>0</v>
      </c>
    </row>
    <row r="98" spans="1:50" ht="15" customHeight="1">
      <c r="A98" s="198"/>
      <c r="B98" s="128"/>
      <c r="C98" s="128"/>
      <c r="D98" s="122"/>
      <c r="E98" s="203" t="s">
        <v>360</v>
      </c>
      <c r="F98" s="16"/>
      <c r="G98" s="16" t="s">
        <v>188</v>
      </c>
      <c r="H98" s="16"/>
      <c r="I98" s="193"/>
      <c r="J98" s="193"/>
      <c r="K98" s="202">
        <f t="shared" ref="K98:AX98" si="16">($I$85+$I91)*K$15</f>
        <v>0</v>
      </c>
      <c r="L98" s="202">
        <f t="shared" si="16"/>
        <v>0</v>
      </c>
      <c r="M98" s="202">
        <f t="shared" si="16"/>
        <v>0</v>
      </c>
      <c r="N98" s="202">
        <f t="shared" si="16"/>
        <v>0</v>
      </c>
      <c r="O98" s="202">
        <f t="shared" si="16"/>
        <v>0</v>
      </c>
      <c r="P98" s="202">
        <f t="shared" si="16"/>
        <v>0</v>
      </c>
      <c r="Q98" s="202">
        <f t="shared" si="16"/>
        <v>0</v>
      </c>
      <c r="R98" s="202">
        <f t="shared" si="16"/>
        <v>0</v>
      </c>
      <c r="S98" s="202">
        <f t="shared" si="16"/>
        <v>0</v>
      </c>
      <c r="T98" s="202">
        <f t="shared" si="16"/>
        <v>3.27E-2</v>
      </c>
      <c r="U98" s="202">
        <f t="shared" si="16"/>
        <v>3.27E-2</v>
      </c>
      <c r="V98" s="202">
        <f t="shared" si="16"/>
        <v>3.27E-2</v>
      </c>
      <c r="W98" s="202">
        <f t="shared" si="16"/>
        <v>3.27E-2</v>
      </c>
      <c r="X98" s="202">
        <f t="shared" si="16"/>
        <v>3.27E-2</v>
      </c>
      <c r="Y98" s="202">
        <f t="shared" si="16"/>
        <v>3.27E-2</v>
      </c>
      <c r="Z98" s="202">
        <f t="shared" si="16"/>
        <v>0</v>
      </c>
      <c r="AA98" s="202">
        <f t="shared" si="16"/>
        <v>0</v>
      </c>
      <c r="AB98" s="202">
        <f t="shared" si="16"/>
        <v>0</v>
      </c>
      <c r="AC98" s="202">
        <f t="shared" si="16"/>
        <v>0</v>
      </c>
      <c r="AD98" s="202">
        <f t="shared" si="16"/>
        <v>0</v>
      </c>
      <c r="AE98" s="202">
        <f t="shared" si="16"/>
        <v>0</v>
      </c>
      <c r="AF98" s="202">
        <f t="shared" si="16"/>
        <v>0</v>
      </c>
      <c r="AG98" s="202">
        <f t="shared" si="16"/>
        <v>0</v>
      </c>
      <c r="AH98" s="202">
        <f t="shared" si="16"/>
        <v>0</v>
      </c>
      <c r="AI98" s="202">
        <f t="shared" si="16"/>
        <v>0</v>
      </c>
      <c r="AJ98" s="202">
        <f t="shared" si="16"/>
        <v>0</v>
      </c>
      <c r="AK98" s="202">
        <f t="shared" si="16"/>
        <v>0</v>
      </c>
      <c r="AL98" s="202">
        <f t="shared" si="16"/>
        <v>0</v>
      </c>
      <c r="AM98" s="202">
        <f t="shared" si="16"/>
        <v>0</v>
      </c>
      <c r="AN98" s="202">
        <f t="shared" si="16"/>
        <v>0</v>
      </c>
      <c r="AO98" s="202">
        <f t="shared" si="16"/>
        <v>0</v>
      </c>
      <c r="AP98" s="202">
        <f t="shared" si="16"/>
        <v>0</v>
      </c>
      <c r="AQ98" s="202">
        <f t="shared" si="16"/>
        <v>0</v>
      </c>
      <c r="AR98" s="202">
        <f t="shared" si="16"/>
        <v>0</v>
      </c>
      <c r="AS98" s="202">
        <f t="shared" si="16"/>
        <v>0</v>
      </c>
      <c r="AT98" s="202">
        <f t="shared" si="16"/>
        <v>0</v>
      </c>
      <c r="AU98" s="202">
        <f t="shared" si="16"/>
        <v>0</v>
      </c>
      <c r="AV98" s="202">
        <f t="shared" si="16"/>
        <v>0</v>
      </c>
      <c r="AW98" s="202">
        <f t="shared" si="16"/>
        <v>0</v>
      </c>
      <c r="AX98" s="202">
        <f t="shared" si="16"/>
        <v>0</v>
      </c>
    </row>
    <row r="99" spans="1:50" ht="15" customHeight="1">
      <c r="A99" s="198"/>
      <c r="B99" s="128"/>
      <c r="C99" s="128"/>
      <c r="D99" s="122"/>
      <c r="E99" s="16" t="s">
        <v>361</v>
      </c>
      <c r="F99" s="16"/>
      <c r="G99" s="16" t="s">
        <v>188</v>
      </c>
      <c r="H99" s="16"/>
      <c r="I99" s="193"/>
      <c r="J99" s="193"/>
      <c r="K99" s="202">
        <f t="shared" ref="K99:AX99" si="17">($I$85+$I92)*K$15</f>
        <v>0</v>
      </c>
      <c r="L99" s="202">
        <f t="shared" si="17"/>
        <v>0</v>
      </c>
      <c r="M99" s="202">
        <f t="shared" si="17"/>
        <v>0</v>
      </c>
      <c r="N99" s="202">
        <f t="shared" si="17"/>
        <v>0</v>
      </c>
      <c r="O99" s="202">
        <f t="shared" si="17"/>
        <v>0</v>
      </c>
      <c r="P99" s="202">
        <f t="shared" si="17"/>
        <v>0</v>
      </c>
      <c r="Q99" s="202">
        <f t="shared" si="17"/>
        <v>0</v>
      </c>
      <c r="R99" s="202">
        <f t="shared" si="17"/>
        <v>0</v>
      </c>
      <c r="S99" s="202">
        <f t="shared" si="17"/>
        <v>0</v>
      </c>
      <c r="T99" s="202">
        <f t="shared" si="17"/>
        <v>2.1700000000000001E-2</v>
      </c>
      <c r="U99" s="202">
        <f t="shared" si="17"/>
        <v>2.1700000000000001E-2</v>
      </c>
      <c r="V99" s="202">
        <f t="shared" si="17"/>
        <v>2.1700000000000001E-2</v>
      </c>
      <c r="W99" s="202">
        <f t="shared" si="17"/>
        <v>2.1700000000000001E-2</v>
      </c>
      <c r="X99" s="202">
        <f t="shared" si="17"/>
        <v>2.1700000000000001E-2</v>
      </c>
      <c r="Y99" s="202">
        <f t="shared" si="17"/>
        <v>2.1700000000000001E-2</v>
      </c>
      <c r="Z99" s="202">
        <f t="shared" si="17"/>
        <v>0</v>
      </c>
      <c r="AA99" s="202">
        <f t="shared" si="17"/>
        <v>0</v>
      </c>
      <c r="AB99" s="202">
        <f t="shared" si="17"/>
        <v>0</v>
      </c>
      <c r="AC99" s="202">
        <f t="shared" si="17"/>
        <v>0</v>
      </c>
      <c r="AD99" s="202">
        <f t="shared" si="17"/>
        <v>0</v>
      </c>
      <c r="AE99" s="202">
        <f t="shared" si="17"/>
        <v>0</v>
      </c>
      <c r="AF99" s="202">
        <f t="shared" si="17"/>
        <v>0</v>
      </c>
      <c r="AG99" s="202">
        <f t="shared" si="17"/>
        <v>0</v>
      </c>
      <c r="AH99" s="202">
        <f t="shared" si="17"/>
        <v>0</v>
      </c>
      <c r="AI99" s="202">
        <f t="shared" si="17"/>
        <v>0</v>
      </c>
      <c r="AJ99" s="202">
        <f t="shared" si="17"/>
        <v>0</v>
      </c>
      <c r="AK99" s="202">
        <f t="shared" si="17"/>
        <v>0</v>
      </c>
      <c r="AL99" s="202">
        <f t="shared" si="17"/>
        <v>0</v>
      </c>
      <c r="AM99" s="202">
        <f t="shared" si="17"/>
        <v>0</v>
      </c>
      <c r="AN99" s="202">
        <f t="shared" si="17"/>
        <v>0</v>
      </c>
      <c r="AO99" s="202">
        <f t="shared" si="17"/>
        <v>0</v>
      </c>
      <c r="AP99" s="202">
        <f t="shared" si="17"/>
        <v>0</v>
      </c>
      <c r="AQ99" s="202">
        <f t="shared" si="17"/>
        <v>0</v>
      </c>
      <c r="AR99" s="202">
        <f t="shared" si="17"/>
        <v>0</v>
      </c>
      <c r="AS99" s="202">
        <f t="shared" si="17"/>
        <v>0</v>
      </c>
      <c r="AT99" s="202">
        <f t="shared" si="17"/>
        <v>0</v>
      </c>
      <c r="AU99" s="202">
        <f t="shared" si="17"/>
        <v>0</v>
      </c>
      <c r="AV99" s="202">
        <f t="shared" si="17"/>
        <v>0</v>
      </c>
      <c r="AW99" s="202">
        <f t="shared" si="17"/>
        <v>0</v>
      </c>
      <c r="AX99" s="202">
        <f t="shared" si="17"/>
        <v>0</v>
      </c>
    </row>
    <row r="100" spans="1:50" ht="15" customHeight="1">
      <c r="A100" s="198"/>
      <c r="B100" s="128"/>
      <c r="C100" s="128"/>
      <c r="D100" s="122"/>
      <c r="E100" s="16"/>
      <c r="F100" s="16"/>
      <c r="G100" s="16"/>
      <c r="H100" s="16"/>
      <c r="I100" s="193"/>
      <c r="J100" s="193"/>
      <c r="K100" s="193"/>
      <c r="L100" s="193"/>
      <c r="M100" s="193"/>
      <c r="N100" s="193"/>
      <c r="O100" s="193"/>
      <c r="P100" s="193"/>
      <c r="Q100" s="193"/>
      <c r="R100" s="193"/>
      <c r="S100" s="193"/>
      <c r="T100" s="193"/>
      <c r="U100" s="193"/>
      <c r="V100" s="193"/>
      <c r="W100" s="193"/>
      <c r="X100" s="193"/>
      <c r="Y100" s="193"/>
      <c r="Z100" s="193"/>
      <c r="AA100" s="193"/>
      <c r="AB100" s="193"/>
      <c r="AC100" s="193"/>
      <c r="AD100" s="193"/>
      <c r="AE100" s="193"/>
      <c r="AF100" s="193"/>
      <c r="AG100" s="193"/>
      <c r="AH100" s="193"/>
      <c r="AI100" s="193"/>
      <c r="AJ100" s="193"/>
      <c r="AK100" s="193"/>
      <c r="AL100" s="193"/>
      <c r="AM100" s="193"/>
      <c r="AN100" s="193"/>
      <c r="AO100" s="193"/>
      <c r="AP100" s="193"/>
      <c r="AQ100" s="193"/>
      <c r="AR100" s="193"/>
      <c r="AS100" s="193"/>
      <c r="AT100" s="193"/>
      <c r="AU100" s="193"/>
      <c r="AV100" s="193"/>
      <c r="AW100" s="193"/>
      <c r="AX100" s="193"/>
    </row>
    <row r="101" spans="1:50" ht="15" customHeight="1">
      <c r="A101" s="198"/>
      <c r="B101" s="128"/>
      <c r="C101" s="128"/>
      <c r="D101" s="122"/>
      <c r="E101" s="16" t="s">
        <v>362</v>
      </c>
      <c r="F101" s="26"/>
      <c r="G101" s="102" t="s">
        <v>194</v>
      </c>
      <c r="H101" s="16"/>
      <c r="I101" s="194">
        <f>Inputs!I95</f>
        <v>0.35</v>
      </c>
      <c r="J101" s="193"/>
      <c r="K101" s="193"/>
      <c r="L101" s="193"/>
      <c r="M101" s="193"/>
      <c r="N101" s="193"/>
      <c r="O101" s="193"/>
      <c r="P101" s="193"/>
      <c r="Q101" s="193"/>
      <c r="R101" s="193"/>
      <c r="S101" s="193"/>
      <c r="T101" s="193"/>
      <c r="U101" s="193"/>
      <c r="V101" s="193"/>
      <c r="W101" s="193"/>
      <c r="X101" s="193"/>
      <c r="Y101" s="193"/>
      <c r="Z101" s="193"/>
      <c r="AA101" s="193"/>
      <c r="AB101" s="193"/>
      <c r="AC101" s="193"/>
      <c r="AD101" s="193"/>
      <c r="AE101" s="193"/>
      <c r="AF101" s="193"/>
      <c r="AG101" s="193"/>
      <c r="AH101" s="193"/>
      <c r="AI101" s="193"/>
      <c r="AJ101" s="193"/>
      <c r="AK101" s="193"/>
      <c r="AL101" s="193"/>
      <c r="AM101" s="193"/>
      <c r="AN101" s="193"/>
      <c r="AO101" s="193"/>
      <c r="AP101" s="193"/>
      <c r="AQ101" s="193"/>
      <c r="AR101" s="193"/>
      <c r="AS101" s="193"/>
      <c r="AT101" s="193"/>
      <c r="AU101" s="193"/>
      <c r="AV101" s="193"/>
      <c r="AW101" s="193"/>
      <c r="AX101" s="193"/>
    </row>
    <row r="102" spans="1:50" ht="15" customHeight="1">
      <c r="A102" s="198"/>
      <c r="B102" s="128"/>
      <c r="C102" s="128"/>
      <c r="D102" s="122"/>
      <c r="E102" s="16" t="s">
        <v>363</v>
      </c>
      <c r="F102" s="26"/>
      <c r="G102" s="102" t="s">
        <v>194</v>
      </c>
      <c r="H102" s="16"/>
      <c r="I102" s="194">
        <f>Inputs!I103</f>
        <v>0.35</v>
      </c>
      <c r="J102" s="193"/>
      <c r="K102" s="193"/>
      <c r="L102" s="193"/>
      <c r="M102" s="193"/>
      <c r="N102" s="193"/>
      <c r="O102" s="193"/>
      <c r="P102" s="193"/>
      <c r="Q102" s="193"/>
      <c r="R102" s="193"/>
      <c r="S102" s="193"/>
      <c r="T102" s="193"/>
      <c r="U102" s="193"/>
      <c r="V102" s="193"/>
      <c r="W102" s="193"/>
      <c r="X102" s="193"/>
      <c r="Y102" s="193"/>
      <c r="Z102" s="193"/>
      <c r="AA102" s="193"/>
      <c r="AB102" s="193"/>
      <c r="AC102" s="193"/>
      <c r="AD102" s="193"/>
      <c r="AE102" s="193"/>
      <c r="AF102" s="193"/>
      <c r="AG102" s="193"/>
      <c r="AH102" s="193"/>
      <c r="AI102" s="193"/>
      <c r="AJ102" s="193"/>
      <c r="AK102" s="193"/>
      <c r="AL102" s="193"/>
      <c r="AM102" s="193"/>
      <c r="AN102" s="193"/>
      <c r="AO102" s="193"/>
      <c r="AP102" s="193"/>
      <c r="AQ102" s="193"/>
      <c r="AR102" s="193"/>
      <c r="AS102" s="193"/>
      <c r="AT102" s="193"/>
      <c r="AU102" s="193"/>
      <c r="AV102" s="193"/>
      <c r="AW102" s="193"/>
      <c r="AX102" s="193"/>
    </row>
    <row r="103" spans="1:50" ht="15" customHeight="1">
      <c r="A103" s="198"/>
      <c r="B103" s="128"/>
      <c r="C103" s="128"/>
      <c r="D103" s="122"/>
      <c r="E103" s="16" t="s">
        <v>364</v>
      </c>
      <c r="F103" s="26"/>
      <c r="G103" s="102" t="s">
        <v>194</v>
      </c>
      <c r="H103" s="16"/>
      <c r="I103" s="194">
        <f>Inputs!I109</f>
        <v>0.35</v>
      </c>
      <c r="J103" s="193"/>
      <c r="K103" s="193"/>
      <c r="L103" s="193"/>
      <c r="M103" s="193"/>
      <c r="N103" s="193"/>
      <c r="O103" s="193"/>
      <c r="P103" s="193"/>
      <c r="Q103" s="193"/>
      <c r="R103" s="193"/>
      <c r="S103" s="193"/>
      <c r="T103" s="193"/>
      <c r="U103" s="193"/>
      <c r="V103" s="193"/>
      <c r="W103" s="193"/>
      <c r="X103" s="193"/>
      <c r="Y103" s="193"/>
      <c r="Z103" s="193"/>
      <c r="AA103" s="193"/>
      <c r="AB103" s="193"/>
      <c r="AC103" s="193"/>
      <c r="AD103" s="193"/>
      <c r="AE103" s="193"/>
      <c r="AF103" s="193"/>
      <c r="AG103" s="193"/>
      <c r="AH103" s="193"/>
      <c r="AI103" s="193"/>
      <c r="AJ103" s="193"/>
      <c r="AK103" s="193"/>
      <c r="AL103" s="193"/>
      <c r="AM103" s="193"/>
      <c r="AN103" s="193"/>
      <c r="AO103" s="193"/>
      <c r="AP103" s="193"/>
      <c r="AQ103" s="193"/>
      <c r="AR103" s="193"/>
      <c r="AS103" s="193"/>
      <c r="AT103" s="193"/>
      <c r="AU103" s="193"/>
      <c r="AV103" s="193"/>
      <c r="AW103" s="193"/>
      <c r="AX103" s="193"/>
    </row>
    <row r="104" spans="1:50" ht="15" customHeight="1">
      <c r="A104" s="198"/>
      <c r="B104" s="128"/>
      <c r="C104" s="128"/>
      <c r="D104" s="122"/>
      <c r="E104" s="16" t="s">
        <v>365</v>
      </c>
      <c r="F104" s="26"/>
      <c r="G104" s="102" t="s">
        <v>194</v>
      </c>
      <c r="H104" s="16"/>
      <c r="I104" s="194">
        <f>Inputs!I114</f>
        <v>0.35</v>
      </c>
      <c r="J104" s="193"/>
      <c r="K104" s="193"/>
      <c r="L104" s="193"/>
      <c r="M104" s="193"/>
      <c r="N104" s="193"/>
      <c r="O104" s="193"/>
      <c r="P104" s="193"/>
      <c r="Q104" s="193"/>
      <c r="R104" s="193"/>
      <c r="S104" s="193"/>
      <c r="T104" s="193"/>
      <c r="U104" s="193"/>
      <c r="V104" s="193"/>
      <c r="W104" s="193"/>
      <c r="X104" s="193"/>
      <c r="Y104" s="193"/>
      <c r="Z104" s="193"/>
      <c r="AA104" s="193"/>
      <c r="AB104" s="193"/>
      <c r="AC104" s="193"/>
      <c r="AD104" s="193"/>
      <c r="AE104" s="193"/>
      <c r="AF104" s="193"/>
      <c r="AG104" s="193"/>
      <c r="AH104" s="193"/>
      <c r="AI104" s="193"/>
      <c r="AJ104" s="193"/>
      <c r="AK104" s="193"/>
      <c r="AL104" s="193"/>
      <c r="AM104" s="193"/>
      <c r="AN104" s="193"/>
      <c r="AO104" s="193"/>
      <c r="AP104" s="193"/>
      <c r="AQ104" s="193"/>
      <c r="AR104" s="193"/>
      <c r="AS104" s="193"/>
      <c r="AT104" s="193"/>
      <c r="AU104" s="193"/>
      <c r="AV104" s="193"/>
      <c r="AW104" s="193"/>
      <c r="AX104" s="193"/>
    </row>
    <row r="105" spans="1:50" ht="15" customHeight="1">
      <c r="A105" s="198"/>
      <c r="B105" s="128"/>
      <c r="C105" s="128"/>
      <c r="D105" s="122"/>
      <c r="E105" s="16" t="s">
        <v>366</v>
      </c>
      <c r="F105" s="26"/>
      <c r="G105" s="102" t="s">
        <v>194</v>
      </c>
      <c r="H105" s="16"/>
      <c r="I105" s="194">
        <f>Inputs!I120</f>
        <v>0.35</v>
      </c>
      <c r="J105" s="193"/>
      <c r="K105" s="193"/>
      <c r="L105" s="193"/>
      <c r="M105" s="193"/>
      <c r="N105" s="193"/>
      <c r="O105" s="193"/>
      <c r="P105" s="193"/>
      <c r="Q105" s="193"/>
      <c r="R105" s="193"/>
      <c r="S105" s="193"/>
      <c r="T105" s="193"/>
      <c r="U105" s="193"/>
      <c r="V105" s="193"/>
      <c r="W105" s="193"/>
      <c r="X105" s="193"/>
      <c r="Y105" s="193"/>
      <c r="Z105" s="193"/>
      <c r="AA105" s="193"/>
      <c r="AB105" s="193"/>
      <c r="AC105" s="193"/>
      <c r="AD105" s="193"/>
      <c r="AE105" s="193"/>
      <c r="AF105" s="193"/>
      <c r="AG105" s="193"/>
      <c r="AH105" s="193"/>
      <c r="AI105" s="193"/>
      <c r="AJ105" s="193"/>
      <c r="AK105" s="193"/>
      <c r="AL105" s="193"/>
      <c r="AM105" s="193"/>
      <c r="AN105" s="193"/>
      <c r="AO105" s="193"/>
      <c r="AP105" s="193"/>
      <c r="AQ105" s="193"/>
      <c r="AR105" s="193"/>
      <c r="AS105" s="193"/>
      <c r="AT105" s="193"/>
      <c r="AU105" s="193"/>
      <c r="AV105" s="193"/>
      <c r="AW105" s="193"/>
      <c r="AX105" s="193"/>
    </row>
    <row r="106" spans="1:50" ht="15" customHeight="1">
      <c r="A106" s="198"/>
      <c r="B106" s="128"/>
      <c r="C106" s="128"/>
      <c r="D106" s="122"/>
      <c r="E106" s="16" t="s">
        <v>367</v>
      </c>
      <c r="F106" s="26"/>
      <c r="G106" s="102" t="s">
        <v>194</v>
      </c>
      <c r="H106" s="16"/>
      <c r="I106" s="194">
        <f>Inputs!I125</f>
        <v>0</v>
      </c>
      <c r="J106" s="193"/>
      <c r="K106" s="193"/>
      <c r="L106" s="193"/>
      <c r="M106" s="193"/>
      <c r="N106" s="193"/>
      <c r="O106" s="193"/>
      <c r="P106" s="193"/>
      <c r="Q106" s="193"/>
      <c r="R106" s="193"/>
      <c r="S106" s="193"/>
      <c r="T106" s="193"/>
      <c r="U106" s="193"/>
      <c r="V106" s="193"/>
      <c r="W106" s="193"/>
      <c r="X106" s="193"/>
      <c r="Y106" s="193"/>
      <c r="Z106" s="193"/>
      <c r="AA106" s="193"/>
      <c r="AB106" s="193"/>
      <c r="AC106" s="193"/>
      <c r="AD106" s="193"/>
      <c r="AE106" s="193"/>
      <c r="AF106" s="193"/>
      <c r="AG106" s="193"/>
      <c r="AH106" s="193"/>
      <c r="AI106" s="193"/>
      <c r="AJ106" s="193"/>
      <c r="AK106" s="193"/>
      <c r="AL106" s="193"/>
      <c r="AM106" s="193"/>
      <c r="AN106" s="193"/>
      <c r="AO106" s="193"/>
      <c r="AP106" s="193"/>
      <c r="AQ106" s="193"/>
      <c r="AR106" s="193"/>
      <c r="AS106" s="193"/>
      <c r="AT106" s="193"/>
      <c r="AU106" s="193"/>
      <c r="AV106" s="193"/>
      <c r="AW106" s="193"/>
      <c r="AX106" s="193"/>
    </row>
    <row r="107" spans="1:50" ht="15" customHeight="1">
      <c r="A107" s="198"/>
      <c r="B107" s="128"/>
      <c r="C107" s="128"/>
      <c r="D107" s="122"/>
      <c r="E107" s="16"/>
      <c r="F107" s="16"/>
      <c r="G107" s="16"/>
      <c r="H107" s="16"/>
      <c r="I107" s="193"/>
      <c r="J107" s="193"/>
      <c r="K107" s="193"/>
      <c r="L107" s="193"/>
      <c r="M107" s="193"/>
      <c r="N107" s="193"/>
      <c r="O107" s="193"/>
      <c r="P107" s="193"/>
      <c r="Q107" s="193"/>
      <c r="R107" s="193"/>
      <c r="S107" s="193"/>
      <c r="T107" s="193"/>
      <c r="U107" s="193"/>
      <c r="V107" s="193"/>
      <c r="W107" s="193"/>
      <c r="X107" s="193"/>
      <c r="Y107" s="193"/>
      <c r="Z107" s="193"/>
      <c r="AA107" s="193"/>
      <c r="AB107" s="193"/>
      <c r="AC107" s="193"/>
      <c r="AD107" s="193"/>
      <c r="AE107" s="193"/>
      <c r="AF107" s="193"/>
      <c r="AG107" s="193"/>
      <c r="AH107" s="193"/>
      <c r="AI107" s="193"/>
      <c r="AJ107" s="193"/>
      <c r="AK107" s="193"/>
      <c r="AL107" s="193"/>
      <c r="AM107" s="193"/>
      <c r="AN107" s="193"/>
      <c r="AO107" s="193"/>
      <c r="AP107" s="193"/>
      <c r="AQ107" s="193"/>
      <c r="AR107" s="193"/>
      <c r="AS107" s="193"/>
      <c r="AT107" s="193"/>
      <c r="AU107" s="193"/>
      <c r="AV107" s="193"/>
      <c r="AW107" s="193"/>
      <c r="AX107" s="193"/>
    </row>
    <row r="108" spans="1:50" ht="15" customHeight="1">
      <c r="A108" s="198"/>
      <c r="B108" s="128"/>
      <c r="C108" s="128"/>
      <c r="D108" s="122"/>
      <c r="E108" s="26" t="s">
        <v>368</v>
      </c>
      <c r="F108" s="26"/>
      <c r="G108" s="13" t="str">
        <f>CONCATENATE(Inputs!$I$9,"m nominal prices")</f>
        <v>£m nominal prices</v>
      </c>
      <c r="H108" s="16"/>
      <c r="I108" s="193"/>
      <c r="J108" s="193"/>
      <c r="K108" s="26">
        <f t="shared" ref="K108:AX108" si="18">$I$58*$I$78*K14</f>
        <v>0</v>
      </c>
      <c r="L108" s="26">
        <f t="shared" si="18"/>
        <v>0</v>
      </c>
      <c r="M108" s="26">
        <f t="shared" si="18"/>
        <v>0</v>
      </c>
      <c r="N108" s="26">
        <f t="shared" si="18"/>
        <v>0</v>
      </c>
      <c r="O108" s="26">
        <f t="shared" si="18"/>
        <v>0</v>
      </c>
      <c r="P108" s="26">
        <f t="shared" si="18"/>
        <v>0</v>
      </c>
      <c r="Q108" s="26">
        <f t="shared" si="18"/>
        <v>0</v>
      </c>
      <c r="R108" s="26">
        <f t="shared" si="18"/>
        <v>0</v>
      </c>
      <c r="S108" s="26">
        <f t="shared" si="18"/>
        <v>0</v>
      </c>
      <c r="T108" s="26">
        <f t="shared" si="18"/>
        <v>22.56</v>
      </c>
      <c r="U108" s="26">
        <f t="shared" si="18"/>
        <v>0</v>
      </c>
      <c r="V108" s="26">
        <f t="shared" si="18"/>
        <v>0</v>
      </c>
      <c r="W108" s="26">
        <f t="shared" si="18"/>
        <v>0</v>
      </c>
      <c r="X108" s="26">
        <f t="shared" si="18"/>
        <v>0</v>
      </c>
      <c r="Y108" s="26">
        <f t="shared" si="18"/>
        <v>0</v>
      </c>
      <c r="Z108" s="26">
        <f t="shared" si="18"/>
        <v>0</v>
      </c>
      <c r="AA108" s="26">
        <f t="shared" si="18"/>
        <v>0</v>
      </c>
      <c r="AB108" s="26">
        <f t="shared" si="18"/>
        <v>0</v>
      </c>
      <c r="AC108" s="26">
        <f t="shared" si="18"/>
        <v>0</v>
      </c>
      <c r="AD108" s="26">
        <f t="shared" si="18"/>
        <v>0</v>
      </c>
      <c r="AE108" s="26">
        <f t="shared" si="18"/>
        <v>0</v>
      </c>
      <c r="AF108" s="26">
        <f t="shared" si="18"/>
        <v>0</v>
      </c>
      <c r="AG108" s="26">
        <f t="shared" si="18"/>
        <v>0</v>
      </c>
      <c r="AH108" s="26">
        <f t="shared" si="18"/>
        <v>0</v>
      </c>
      <c r="AI108" s="26">
        <f t="shared" si="18"/>
        <v>0</v>
      </c>
      <c r="AJ108" s="26">
        <f t="shared" si="18"/>
        <v>0</v>
      </c>
      <c r="AK108" s="26">
        <f t="shared" si="18"/>
        <v>0</v>
      </c>
      <c r="AL108" s="26">
        <f t="shared" si="18"/>
        <v>0</v>
      </c>
      <c r="AM108" s="26">
        <f t="shared" si="18"/>
        <v>0</v>
      </c>
      <c r="AN108" s="26">
        <f t="shared" si="18"/>
        <v>0</v>
      </c>
      <c r="AO108" s="26">
        <f t="shared" si="18"/>
        <v>0</v>
      </c>
      <c r="AP108" s="26">
        <f t="shared" si="18"/>
        <v>0</v>
      </c>
      <c r="AQ108" s="26">
        <f t="shared" si="18"/>
        <v>0</v>
      </c>
      <c r="AR108" s="26">
        <f t="shared" si="18"/>
        <v>0</v>
      </c>
      <c r="AS108" s="26">
        <f t="shared" si="18"/>
        <v>0</v>
      </c>
      <c r="AT108" s="26">
        <f t="shared" si="18"/>
        <v>0</v>
      </c>
      <c r="AU108" s="26">
        <f t="shared" si="18"/>
        <v>0</v>
      </c>
      <c r="AV108" s="26">
        <f t="shared" si="18"/>
        <v>0</v>
      </c>
      <c r="AW108" s="26">
        <f t="shared" si="18"/>
        <v>0</v>
      </c>
      <c r="AX108" s="26">
        <f t="shared" si="18"/>
        <v>0</v>
      </c>
    </row>
    <row r="109" spans="1:50" ht="15" customHeight="1">
      <c r="A109" s="198"/>
      <c r="B109" s="128"/>
      <c r="C109" s="128"/>
      <c r="D109" s="122"/>
      <c r="E109" s="26" t="s">
        <v>369</v>
      </c>
      <c r="F109" s="26"/>
      <c r="G109" s="13" t="str">
        <f>CONCATENATE(Inputs!$I$9,"m nominal prices")</f>
        <v>£m nominal prices</v>
      </c>
      <c r="H109" s="16"/>
      <c r="I109" s="193"/>
      <c r="J109" s="193"/>
      <c r="K109" s="26">
        <f t="shared" ref="K109:AX109" si="19">($I$68*$I$79+$I$69*$I$80+$I$71*$I$81+$I$72*$I$82+$I$74*$I$83)*K14</f>
        <v>0</v>
      </c>
      <c r="L109" s="26">
        <f t="shared" si="19"/>
        <v>0</v>
      </c>
      <c r="M109" s="26">
        <f t="shared" si="19"/>
        <v>0</v>
      </c>
      <c r="N109" s="26">
        <f t="shared" si="19"/>
        <v>0</v>
      </c>
      <c r="O109" s="26">
        <f t="shared" si="19"/>
        <v>0</v>
      </c>
      <c r="P109" s="26">
        <f t="shared" si="19"/>
        <v>0</v>
      </c>
      <c r="Q109" s="26">
        <f t="shared" si="19"/>
        <v>0</v>
      </c>
      <c r="R109" s="26">
        <f t="shared" si="19"/>
        <v>0</v>
      </c>
      <c r="S109" s="26">
        <f t="shared" si="19"/>
        <v>0</v>
      </c>
      <c r="T109" s="26">
        <f t="shared" si="19"/>
        <v>2.9319999999999999</v>
      </c>
      <c r="U109" s="26">
        <f t="shared" si="19"/>
        <v>0</v>
      </c>
      <c r="V109" s="26">
        <f t="shared" si="19"/>
        <v>0</v>
      </c>
      <c r="W109" s="26">
        <f t="shared" si="19"/>
        <v>0</v>
      </c>
      <c r="X109" s="26">
        <f t="shared" si="19"/>
        <v>0</v>
      </c>
      <c r="Y109" s="26">
        <f t="shared" si="19"/>
        <v>0</v>
      </c>
      <c r="Z109" s="26">
        <f t="shared" si="19"/>
        <v>0</v>
      </c>
      <c r="AA109" s="26">
        <f t="shared" si="19"/>
        <v>0</v>
      </c>
      <c r="AB109" s="26">
        <f t="shared" si="19"/>
        <v>0</v>
      </c>
      <c r="AC109" s="26">
        <f t="shared" si="19"/>
        <v>0</v>
      </c>
      <c r="AD109" s="26">
        <f t="shared" si="19"/>
        <v>0</v>
      </c>
      <c r="AE109" s="26">
        <f t="shared" si="19"/>
        <v>0</v>
      </c>
      <c r="AF109" s="26">
        <f t="shared" si="19"/>
        <v>0</v>
      </c>
      <c r="AG109" s="26">
        <f t="shared" si="19"/>
        <v>0</v>
      </c>
      <c r="AH109" s="26">
        <f t="shared" si="19"/>
        <v>0</v>
      </c>
      <c r="AI109" s="26">
        <f t="shared" si="19"/>
        <v>0</v>
      </c>
      <c r="AJ109" s="26">
        <f t="shared" si="19"/>
        <v>0</v>
      </c>
      <c r="AK109" s="26">
        <f t="shared" si="19"/>
        <v>0</v>
      </c>
      <c r="AL109" s="26">
        <f t="shared" si="19"/>
        <v>0</v>
      </c>
      <c r="AM109" s="26">
        <f t="shared" si="19"/>
        <v>0</v>
      </c>
      <c r="AN109" s="26">
        <f t="shared" si="19"/>
        <v>0</v>
      </c>
      <c r="AO109" s="26">
        <f t="shared" si="19"/>
        <v>0</v>
      </c>
      <c r="AP109" s="26">
        <f t="shared" si="19"/>
        <v>0</v>
      </c>
      <c r="AQ109" s="26">
        <f t="shared" si="19"/>
        <v>0</v>
      </c>
      <c r="AR109" s="26">
        <f t="shared" si="19"/>
        <v>0</v>
      </c>
      <c r="AS109" s="26">
        <f t="shared" si="19"/>
        <v>0</v>
      </c>
      <c r="AT109" s="26">
        <f t="shared" si="19"/>
        <v>0</v>
      </c>
      <c r="AU109" s="26">
        <f t="shared" si="19"/>
        <v>0</v>
      </c>
      <c r="AV109" s="26">
        <f t="shared" si="19"/>
        <v>0</v>
      </c>
      <c r="AW109" s="26">
        <f t="shared" si="19"/>
        <v>0</v>
      </c>
      <c r="AX109" s="26">
        <f t="shared" si="19"/>
        <v>0</v>
      </c>
    </row>
    <row r="110" spans="1:50" ht="15" customHeight="1">
      <c r="A110" s="198"/>
      <c r="B110" s="128"/>
      <c r="C110" s="128"/>
      <c r="D110" s="122"/>
      <c r="E110" s="26" t="s">
        <v>370</v>
      </c>
      <c r="F110" s="26"/>
      <c r="G110" s="13" t="str">
        <f>CONCATENATE(Inputs!$I$9,"m nominal prices")</f>
        <v>£m nominal prices</v>
      </c>
      <c r="H110" s="16"/>
      <c r="I110" s="193"/>
      <c r="J110" s="193"/>
      <c r="K110" s="26">
        <f t="shared" ref="K110:AX110" si="20">SUM(K63:K64)*K94*K15</f>
        <v>0</v>
      </c>
      <c r="L110" s="26">
        <f t="shared" si="20"/>
        <v>0</v>
      </c>
      <c r="M110" s="26">
        <f t="shared" si="20"/>
        <v>0</v>
      </c>
      <c r="N110" s="26">
        <f t="shared" si="20"/>
        <v>0</v>
      </c>
      <c r="O110" s="26">
        <f t="shared" si="20"/>
        <v>0</v>
      </c>
      <c r="P110" s="26">
        <f t="shared" si="20"/>
        <v>0</v>
      </c>
      <c r="Q110" s="26">
        <f t="shared" si="20"/>
        <v>0</v>
      </c>
      <c r="R110" s="26">
        <f t="shared" si="20"/>
        <v>0</v>
      </c>
      <c r="S110" s="26">
        <f t="shared" si="20"/>
        <v>0</v>
      </c>
      <c r="T110" s="26">
        <f t="shared" si="20"/>
        <v>0</v>
      </c>
      <c r="U110" s="26">
        <f t="shared" si="20"/>
        <v>15.160140507177566</v>
      </c>
      <c r="V110" s="26">
        <f t="shared" si="20"/>
        <v>21.523968628099784</v>
      </c>
      <c r="W110" s="26">
        <f t="shared" si="20"/>
        <v>29.65985978838734</v>
      </c>
      <c r="X110" s="26">
        <f t="shared" si="20"/>
        <v>41.847961983464337</v>
      </c>
      <c r="Y110" s="26">
        <f t="shared" si="20"/>
        <v>52.459693704433967</v>
      </c>
      <c r="Z110" s="26">
        <f t="shared" si="20"/>
        <v>0</v>
      </c>
      <c r="AA110" s="26">
        <f t="shared" si="20"/>
        <v>0</v>
      </c>
      <c r="AB110" s="26">
        <f t="shared" si="20"/>
        <v>0</v>
      </c>
      <c r="AC110" s="26">
        <f t="shared" si="20"/>
        <v>0</v>
      </c>
      <c r="AD110" s="26">
        <f t="shared" si="20"/>
        <v>0</v>
      </c>
      <c r="AE110" s="26">
        <f t="shared" si="20"/>
        <v>0</v>
      </c>
      <c r="AF110" s="26">
        <f t="shared" si="20"/>
        <v>0</v>
      </c>
      <c r="AG110" s="26">
        <f t="shared" si="20"/>
        <v>0</v>
      </c>
      <c r="AH110" s="26">
        <f t="shared" si="20"/>
        <v>0</v>
      </c>
      <c r="AI110" s="26">
        <f t="shared" si="20"/>
        <v>0</v>
      </c>
      <c r="AJ110" s="26">
        <f t="shared" si="20"/>
        <v>0</v>
      </c>
      <c r="AK110" s="26">
        <f t="shared" si="20"/>
        <v>0</v>
      </c>
      <c r="AL110" s="26">
        <f t="shared" si="20"/>
        <v>0</v>
      </c>
      <c r="AM110" s="26">
        <f t="shared" si="20"/>
        <v>0</v>
      </c>
      <c r="AN110" s="26">
        <f t="shared" si="20"/>
        <v>0</v>
      </c>
      <c r="AO110" s="26">
        <f t="shared" si="20"/>
        <v>0</v>
      </c>
      <c r="AP110" s="26">
        <f t="shared" si="20"/>
        <v>0</v>
      </c>
      <c r="AQ110" s="26">
        <f t="shared" si="20"/>
        <v>0</v>
      </c>
      <c r="AR110" s="26">
        <f t="shared" si="20"/>
        <v>0</v>
      </c>
      <c r="AS110" s="26">
        <f t="shared" si="20"/>
        <v>0</v>
      </c>
      <c r="AT110" s="26">
        <f t="shared" si="20"/>
        <v>0</v>
      </c>
      <c r="AU110" s="26">
        <f t="shared" si="20"/>
        <v>0</v>
      </c>
      <c r="AV110" s="26">
        <f t="shared" si="20"/>
        <v>0</v>
      </c>
      <c r="AW110" s="26">
        <f t="shared" si="20"/>
        <v>0</v>
      </c>
      <c r="AX110" s="26">
        <f t="shared" si="20"/>
        <v>0</v>
      </c>
    </row>
    <row r="111" spans="1:50" ht="15" customHeight="1">
      <c r="A111" s="198"/>
      <c r="B111" s="128"/>
      <c r="C111" s="128"/>
      <c r="D111" s="122"/>
      <c r="E111" s="26" t="s">
        <v>371</v>
      </c>
      <c r="F111" s="26"/>
      <c r="G111" s="13" t="str">
        <f>CONCATENATE(Inputs!$I$9,"m nominal prices")</f>
        <v>£m nominal prices</v>
      </c>
      <c r="H111" s="16"/>
      <c r="I111" s="193"/>
      <c r="J111" s="193"/>
      <c r="K111" s="26">
        <f t="shared" ref="K111:AX111" si="21">$I$73*K98*K15</f>
        <v>0</v>
      </c>
      <c r="L111" s="26">
        <f t="shared" si="21"/>
        <v>0</v>
      </c>
      <c r="M111" s="26">
        <f t="shared" si="21"/>
        <v>0</v>
      </c>
      <c r="N111" s="26">
        <f t="shared" si="21"/>
        <v>0</v>
      </c>
      <c r="O111" s="26">
        <f t="shared" si="21"/>
        <v>0</v>
      </c>
      <c r="P111" s="26">
        <f t="shared" si="21"/>
        <v>0</v>
      </c>
      <c r="Q111" s="26">
        <f t="shared" si="21"/>
        <v>0</v>
      </c>
      <c r="R111" s="26">
        <f t="shared" si="21"/>
        <v>0</v>
      </c>
      <c r="S111" s="26">
        <f t="shared" si="21"/>
        <v>0</v>
      </c>
      <c r="T111" s="26">
        <f t="shared" si="21"/>
        <v>0.16350000000000001</v>
      </c>
      <c r="U111" s="26">
        <f t="shared" si="21"/>
        <v>0.16350000000000001</v>
      </c>
      <c r="V111" s="26">
        <f t="shared" si="21"/>
        <v>0.16350000000000001</v>
      </c>
      <c r="W111" s="26">
        <f t="shared" si="21"/>
        <v>0.16350000000000001</v>
      </c>
      <c r="X111" s="26">
        <f t="shared" si="21"/>
        <v>0.16350000000000001</v>
      </c>
      <c r="Y111" s="26">
        <f t="shared" si="21"/>
        <v>0.16350000000000001</v>
      </c>
      <c r="Z111" s="26">
        <f t="shared" si="21"/>
        <v>0</v>
      </c>
      <c r="AA111" s="26">
        <f t="shared" si="21"/>
        <v>0</v>
      </c>
      <c r="AB111" s="26">
        <f t="shared" si="21"/>
        <v>0</v>
      </c>
      <c r="AC111" s="26">
        <f t="shared" si="21"/>
        <v>0</v>
      </c>
      <c r="AD111" s="26">
        <f t="shared" si="21"/>
        <v>0</v>
      </c>
      <c r="AE111" s="26">
        <f t="shared" si="21"/>
        <v>0</v>
      </c>
      <c r="AF111" s="26">
        <f t="shared" si="21"/>
        <v>0</v>
      </c>
      <c r="AG111" s="26">
        <f t="shared" si="21"/>
        <v>0</v>
      </c>
      <c r="AH111" s="26">
        <f t="shared" si="21"/>
        <v>0</v>
      </c>
      <c r="AI111" s="26">
        <f t="shared" si="21"/>
        <v>0</v>
      </c>
      <c r="AJ111" s="26">
        <f t="shared" si="21"/>
        <v>0</v>
      </c>
      <c r="AK111" s="26">
        <f t="shared" si="21"/>
        <v>0</v>
      </c>
      <c r="AL111" s="26">
        <f t="shared" si="21"/>
        <v>0</v>
      </c>
      <c r="AM111" s="26">
        <f t="shared" si="21"/>
        <v>0</v>
      </c>
      <c r="AN111" s="26">
        <f t="shared" si="21"/>
        <v>0</v>
      </c>
      <c r="AO111" s="26">
        <f t="shared" si="21"/>
        <v>0</v>
      </c>
      <c r="AP111" s="26">
        <f t="shared" si="21"/>
        <v>0</v>
      </c>
      <c r="AQ111" s="26">
        <f t="shared" si="21"/>
        <v>0</v>
      </c>
      <c r="AR111" s="26">
        <f t="shared" si="21"/>
        <v>0</v>
      </c>
      <c r="AS111" s="26">
        <f t="shared" si="21"/>
        <v>0</v>
      </c>
      <c r="AT111" s="26">
        <f t="shared" si="21"/>
        <v>0</v>
      </c>
      <c r="AU111" s="26">
        <f t="shared" si="21"/>
        <v>0</v>
      </c>
      <c r="AV111" s="26">
        <f t="shared" si="21"/>
        <v>0</v>
      </c>
      <c r="AW111" s="26">
        <f t="shared" si="21"/>
        <v>0</v>
      </c>
      <c r="AX111" s="26">
        <f t="shared" si="21"/>
        <v>0</v>
      </c>
    </row>
    <row r="112" spans="1:50" ht="15" customHeight="1">
      <c r="A112" s="198"/>
      <c r="B112" s="128"/>
      <c r="C112" s="128"/>
      <c r="D112" s="122"/>
      <c r="E112" s="26" t="s">
        <v>372</v>
      </c>
      <c r="F112" s="26"/>
      <c r="G112" s="13" t="str">
        <f>CONCATENATE(Inputs!$I$9,"m nominal prices")</f>
        <v>£m nominal prices</v>
      </c>
      <c r="H112" s="16"/>
      <c r="I112" s="193"/>
      <c r="J112" s="193"/>
      <c r="K112" s="26">
        <f t="shared" ref="K112:AX112" si="22">($I$58-SUM(K63:K64))*(K94-$I$85-$I$87)*$I$101*K15</f>
        <v>0</v>
      </c>
      <c r="L112" s="26">
        <f t="shared" si="22"/>
        <v>0</v>
      </c>
      <c r="M112" s="26">
        <f t="shared" si="22"/>
        <v>0</v>
      </c>
      <c r="N112" s="26">
        <f t="shared" si="22"/>
        <v>0</v>
      </c>
      <c r="O112" s="26">
        <f t="shared" si="22"/>
        <v>0</v>
      </c>
      <c r="P112" s="26">
        <f t="shared" si="22"/>
        <v>0</v>
      </c>
      <c r="Q112" s="26">
        <f t="shared" si="22"/>
        <v>0</v>
      </c>
      <c r="R112" s="26">
        <f t="shared" si="22"/>
        <v>0</v>
      </c>
      <c r="S112" s="26">
        <f t="shared" si="22"/>
        <v>0</v>
      </c>
      <c r="T112" s="26">
        <f t="shared" si="22"/>
        <v>8.4223999999999997</v>
      </c>
      <c r="U112" s="26">
        <f t="shared" si="22"/>
        <v>6.283941893194096</v>
      </c>
      <c r="V112" s="26">
        <f t="shared" si="22"/>
        <v>5.3862734428876875</v>
      </c>
      <c r="W112" s="26">
        <f t="shared" si="22"/>
        <v>4.2386414404289896</v>
      </c>
      <c r="X112" s="26">
        <f t="shared" si="22"/>
        <v>2.51941291920906</v>
      </c>
      <c r="Y112" s="26">
        <f t="shared" si="22"/>
        <v>1.0225439610873996</v>
      </c>
      <c r="Z112" s="26">
        <f t="shared" si="22"/>
        <v>0</v>
      </c>
      <c r="AA112" s="26">
        <f t="shared" si="22"/>
        <v>0</v>
      </c>
      <c r="AB112" s="26">
        <f t="shared" si="22"/>
        <v>0</v>
      </c>
      <c r="AC112" s="26">
        <f t="shared" si="22"/>
        <v>0</v>
      </c>
      <c r="AD112" s="26">
        <f t="shared" si="22"/>
        <v>0</v>
      </c>
      <c r="AE112" s="26">
        <f t="shared" si="22"/>
        <v>0</v>
      </c>
      <c r="AF112" s="26">
        <f t="shared" si="22"/>
        <v>0</v>
      </c>
      <c r="AG112" s="26">
        <f t="shared" si="22"/>
        <v>0</v>
      </c>
      <c r="AH112" s="26">
        <f t="shared" si="22"/>
        <v>0</v>
      </c>
      <c r="AI112" s="26">
        <f t="shared" si="22"/>
        <v>0</v>
      </c>
      <c r="AJ112" s="26">
        <f t="shared" si="22"/>
        <v>0</v>
      </c>
      <c r="AK112" s="26">
        <f t="shared" si="22"/>
        <v>0</v>
      </c>
      <c r="AL112" s="26">
        <f t="shared" si="22"/>
        <v>0</v>
      </c>
      <c r="AM112" s="26">
        <f t="shared" si="22"/>
        <v>0</v>
      </c>
      <c r="AN112" s="26">
        <f t="shared" si="22"/>
        <v>0</v>
      </c>
      <c r="AO112" s="26">
        <f t="shared" si="22"/>
        <v>0</v>
      </c>
      <c r="AP112" s="26">
        <f t="shared" si="22"/>
        <v>0</v>
      </c>
      <c r="AQ112" s="26">
        <f t="shared" si="22"/>
        <v>0</v>
      </c>
      <c r="AR112" s="26">
        <f t="shared" si="22"/>
        <v>0</v>
      </c>
      <c r="AS112" s="26">
        <f t="shared" si="22"/>
        <v>0</v>
      </c>
      <c r="AT112" s="26">
        <f t="shared" si="22"/>
        <v>0</v>
      </c>
      <c r="AU112" s="26">
        <f t="shared" si="22"/>
        <v>0</v>
      </c>
      <c r="AV112" s="26">
        <f t="shared" si="22"/>
        <v>0</v>
      </c>
      <c r="AW112" s="26">
        <f t="shared" si="22"/>
        <v>0</v>
      </c>
      <c r="AX112" s="26">
        <f t="shared" si="22"/>
        <v>0</v>
      </c>
    </row>
    <row r="113" spans="1:50" ht="15" customHeight="1">
      <c r="A113" s="198"/>
      <c r="B113" s="128"/>
      <c r="C113" s="128"/>
      <c r="D113" s="122"/>
      <c r="E113" s="26" t="s">
        <v>373</v>
      </c>
      <c r="F113" s="26"/>
      <c r="G113" s="13" t="str">
        <f>CONCATENATE(Inputs!$I$9,"m nominal prices")</f>
        <v>£m nominal prices</v>
      </c>
      <c r="H113" s="16"/>
      <c r="I113" s="193"/>
      <c r="J113" s="193"/>
      <c r="K113" s="26">
        <f t="shared" ref="K113:AX113" si="23">($I$68*(K95-$I$85)*$I$102+$I$69*(K96-$I$85)*$I$103+$I$71*(K97-$I$85)*$I$104+($I$72-$I$73)*(K98-$I$85)*$I$105+$I$74*(K99-$I$85)*$I$106)*K15</f>
        <v>0</v>
      </c>
      <c r="L113" s="26">
        <f t="shared" si="23"/>
        <v>0</v>
      </c>
      <c r="M113" s="26">
        <f t="shared" si="23"/>
        <v>0</v>
      </c>
      <c r="N113" s="26">
        <f t="shared" si="23"/>
        <v>0</v>
      </c>
      <c r="O113" s="26">
        <f t="shared" si="23"/>
        <v>0</v>
      </c>
      <c r="P113" s="26">
        <f t="shared" si="23"/>
        <v>0</v>
      </c>
      <c r="Q113" s="26">
        <f t="shared" si="23"/>
        <v>0</v>
      </c>
      <c r="R113" s="26">
        <f t="shared" si="23"/>
        <v>0</v>
      </c>
      <c r="S113" s="26">
        <f t="shared" si="23"/>
        <v>0</v>
      </c>
      <c r="T113" s="26">
        <f t="shared" si="23"/>
        <v>1.1613</v>
      </c>
      <c r="U113" s="26">
        <f t="shared" si="23"/>
        <v>1.1613</v>
      </c>
      <c r="V113" s="26">
        <f t="shared" si="23"/>
        <v>1.1613</v>
      </c>
      <c r="W113" s="26">
        <f t="shared" si="23"/>
        <v>1.1613</v>
      </c>
      <c r="X113" s="26">
        <f t="shared" si="23"/>
        <v>1.1613</v>
      </c>
      <c r="Y113" s="26">
        <f t="shared" si="23"/>
        <v>1.1613</v>
      </c>
      <c r="Z113" s="26">
        <f t="shared" si="23"/>
        <v>0</v>
      </c>
      <c r="AA113" s="26">
        <f t="shared" si="23"/>
        <v>0</v>
      </c>
      <c r="AB113" s="26">
        <f t="shared" si="23"/>
        <v>0</v>
      </c>
      <c r="AC113" s="26">
        <f t="shared" si="23"/>
        <v>0</v>
      </c>
      <c r="AD113" s="26">
        <f t="shared" si="23"/>
        <v>0</v>
      </c>
      <c r="AE113" s="26">
        <f t="shared" si="23"/>
        <v>0</v>
      </c>
      <c r="AF113" s="26">
        <f t="shared" si="23"/>
        <v>0</v>
      </c>
      <c r="AG113" s="26">
        <f t="shared" si="23"/>
        <v>0</v>
      </c>
      <c r="AH113" s="26">
        <f t="shared" si="23"/>
        <v>0</v>
      </c>
      <c r="AI113" s="26">
        <f t="shared" si="23"/>
        <v>0</v>
      </c>
      <c r="AJ113" s="26">
        <f t="shared" si="23"/>
        <v>0</v>
      </c>
      <c r="AK113" s="26">
        <f t="shared" si="23"/>
        <v>0</v>
      </c>
      <c r="AL113" s="26">
        <f t="shared" si="23"/>
        <v>0</v>
      </c>
      <c r="AM113" s="26">
        <f t="shared" si="23"/>
        <v>0</v>
      </c>
      <c r="AN113" s="26">
        <f t="shared" si="23"/>
        <v>0</v>
      </c>
      <c r="AO113" s="26">
        <f t="shared" si="23"/>
        <v>0</v>
      </c>
      <c r="AP113" s="26">
        <f t="shared" si="23"/>
        <v>0</v>
      </c>
      <c r="AQ113" s="26">
        <f t="shared" si="23"/>
        <v>0</v>
      </c>
      <c r="AR113" s="26">
        <f t="shared" si="23"/>
        <v>0</v>
      </c>
      <c r="AS113" s="26">
        <f t="shared" si="23"/>
        <v>0</v>
      </c>
      <c r="AT113" s="26">
        <f t="shared" si="23"/>
        <v>0</v>
      </c>
      <c r="AU113" s="26">
        <f t="shared" si="23"/>
        <v>0</v>
      </c>
      <c r="AV113" s="26">
        <f t="shared" si="23"/>
        <v>0</v>
      </c>
      <c r="AW113" s="26">
        <f t="shared" si="23"/>
        <v>0</v>
      </c>
      <c r="AX113" s="26">
        <f t="shared" si="23"/>
        <v>0</v>
      </c>
    </row>
    <row r="114" spans="1:50" ht="15" customHeight="1">
      <c r="A114" s="125"/>
      <c r="B114" s="26"/>
      <c r="C114" s="26"/>
      <c r="D114" s="26"/>
      <c r="E114" s="102" t="s">
        <v>308</v>
      </c>
      <c r="F114" s="26"/>
      <c r="G114" s="13" t="str">
        <f>CONCATENATE(Inputs!$I$9,"m nominal prices")</f>
        <v>£m nominal prices</v>
      </c>
      <c r="H114" s="26"/>
      <c r="I114" s="107"/>
      <c r="J114" s="107"/>
      <c r="K114" s="195">
        <f t="shared" ref="K114:AX114" si="24">SUM(K108:K113)</f>
        <v>0</v>
      </c>
      <c r="L114" s="195">
        <f t="shared" si="24"/>
        <v>0</v>
      </c>
      <c r="M114" s="195">
        <f t="shared" si="24"/>
        <v>0</v>
      </c>
      <c r="N114" s="195">
        <f t="shared" si="24"/>
        <v>0</v>
      </c>
      <c r="O114" s="195">
        <f t="shared" si="24"/>
        <v>0</v>
      </c>
      <c r="P114" s="195">
        <f t="shared" si="24"/>
        <v>0</v>
      </c>
      <c r="Q114" s="195">
        <f t="shared" si="24"/>
        <v>0</v>
      </c>
      <c r="R114" s="195">
        <f t="shared" si="24"/>
        <v>0</v>
      </c>
      <c r="S114" s="195">
        <f t="shared" si="24"/>
        <v>0</v>
      </c>
      <c r="T114" s="195">
        <f t="shared" si="24"/>
        <v>35.239199999999997</v>
      </c>
      <c r="U114" s="195">
        <f t="shared" si="24"/>
        <v>22.768882400371663</v>
      </c>
      <c r="V114" s="195">
        <f t="shared" si="24"/>
        <v>28.235042070987472</v>
      </c>
      <c r="W114" s="195">
        <f t="shared" si="24"/>
        <v>35.223301228816325</v>
      </c>
      <c r="X114" s="195">
        <f t="shared" si="24"/>
        <v>45.692174902673393</v>
      </c>
      <c r="Y114" s="195">
        <f t="shared" si="24"/>
        <v>54.807037665521364</v>
      </c>
      <c r="Z114" s="195">
        <f t="shared" si="24"/>
        <v>0</v>
      </c>
      <c r="AA114" s="195">
        <f t="shared" si="24"/>
        <v>0</v>
      </c>
      <c r="AB114" s="195">
        <f t="shared" si="24"/>
        <v>0</v>
      </c>
      <c r="AC114" s="195">
        <f t="shared" si="24"/>
        <v>0</v>
      </c>
      <c r="AD114" s="195">
        <f t="shared" si="24"/>
        <v>0</v>
      </c>
      <c r="AE114" s="195">
        <f t="shared" si="24"/>
        <v>0</v>
      </c>
      <c r="AF114" s="195">
        <f t="shared" si="24"/>
        <v>0</v>
      </c>
      <c r="AG114" s="195">
        <f t="shared" si="24"/>
        <v>0</v>
      </c>
      <c r="AH114" s="195">
        <f t="shared" si="24"/>
        <v>0</v>
      </c>
      <c r="AI114" s="195">
        <f t="shared" si="24"/>
        <v>0</v>
      </c>
      <c r="AJ114" s="195">
        <f t="shared" si="24"/>
        <v>0</v>
      </c>
      <c r="AK114" s="195">
        <f t="shared" si="24"/>
        <v>0</v>
      </c>
      <c r="AL114" s="195">
        <f t="shared" si="24"/>
        <v>0</v>
      </c>
      <c r="AM114" s="195">
        <f t="shared" si="24"/>
        <v>0</v>
      </c>
      <c r="AN114" s="195">
        <f t="shared" si="24"/>
        <v>0</v>
      </c>
      <c r="AO114" s="195">
        <f t="shared" si="24"/>
        <v>0</v>
      </c>
      <c r="AP114" s="195">
        <f t="shared" si="24"/>
        <v>0</v>
      </c>
      <c r="AQ114" s="195">
        <f t="shared" si="24"/>
        <v>0</v>
      </c>
      <c r="AR114" s="195">
        <f t="shared" si="24"/>
        <v>0</v>
      </c>
      <c r="AS114" s="195">
        <f t="shared" si="24"/>
        <v>0</v>
      </c>
      <c r="AT114" s="195">
        <f t="shared" si="24"/>
        <v>0</v>
      </c>
      <c r="AU114" s="195">
        <f t="shared" si="24"/>
        <v>0</v>
      </c>
      <c r="AV114" s="195">
        <f t="shared" si="24"/>
        <v>0</v>
      </c>
      <c r="AW114" s="195">
        <f t="shared" si="24"/>
        <v>0</v>
      </c>
      <c r="AX114" s="195">
        <f t="shared" si="24"/>
        <v>0</v>
      </c>
    </row>
    <row r="115" spans="1:50" ht="15" customHeight="1">
      <c r="A115" s="27"/>
      <c r="B115" s="26"/>
      <c r="C115" s="26"/>
      <c r="D115" s="26"/>
      <c r="E115" s="26"/>
      <c r="F115" s="26"/>
      <c r="G115" s="26"/>
      <c r="H115" s="26"/>
      <c r="I115" s="107"/>
      <c r="J115" s="107"/>
      <c r="K115" s="107"/>
      <c r="L115" s="107"/>
      <c r="M115" s="107"/>
      <c r="N115" s="107"/>
      <c r="O115" s="107"/>
      <c r="P115" s="107"/>
      <c r="Q115" s="107"/>
      <c r="R115" s="107"/>
      <c r="S115" s="26"/>
      <c r="T115" s="26"/>
      <c r="U115" s="26"/>
      <c r="V115" s="26"/>
      <c r="W115" s="108"/>
      <c r="X115" s="108"/>
      <c r="Y115" s="108"/>
      <c r="Z115" s="108"/>
      <c r="AA115" s="108"/>
      <c r="AB115" s="108"/>
      <c r="AC115" s="108"/>
      <c r="AD115" s="108"/>
      <c r="AE115" s="108"/>
      <c r="AF115" s="108"/>
      <c r="AG115" s="108"/>
      <c r="AH115" s="108"/>
      <c r="AI115" s="108"/>
      <c r="AJ115" s="108"/>
      <c r="AK115" s="108"/>
      <c r="AL115" s="108"/>
      <c r="AM115" s="108"/>
      <c r="AN115" s="108"/>
      <c r="AO115" s="108"/>
      <c r="AP115" s="108"/>
      <c r="AQ115" s="108"/>
      <c r="AR115" s="108"/>
      <c r="AS115" s="108"/>
      <c r="AT115" s="108"/>
      <c r="AU115" s="108"/>
      <c r="AV115" s="108"/>
      <c r="AW115" s="108"/>
      <c r="AX115" s="108"/>
    </row>
    <row r="116" spans="1:50" ht="15" customHeight="1">
      <c r="A116" s="27"/>
      <c r="B116" s="26"/>
      <c r="C116" s="67" t="s">
        <v>374</v>
      </c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  <c r="AB116" s="67"/>
      <c r="AC116" s="67"/>
      <c r="AD116" s="67"/>
      <c r="AE116" s="67"/>
      <c r="AF116" s="67"/>
      <c r="AG116" s="67"/>
      <c r="AH116" s="67"/>
      <c r="AI116" s="67"/>
      <c r="AJ116" s="67"/>
      <c r="AK116" s="67"/>
      <c r="AL116" s="67"/>
      <c r="AM116" s="67"/>
      <c r="AN116" s="67"/>
      <c r="AO116" s="67"/>
      <c r="AP116" s="67"/>
      <c r="AQ116" s="67"/>
      <c r="AR116" s="67"/>
      <c r="AS116" s="67"/>
      <c r="AT116" s="67"/>
      <c r="AU116" s="67"/>
      <c r="AV116" s="67"/>
      <c r="AW116" s="67"/>
      <c r="AX116" s="67"/>
    </row>
    <row r="117" spans="1:50" ht="15" customHeight="1">
      <c r="A117" s="198"/>
      <c r="B117" s="128"/>
      <c r="C117" s="128"/>
      <c r="D117" s="122"/>
      <c r="E117" s="16"/>
      <c r="F117" s="16"/>
      <c r="G117" s="16"/>
      <c r="H117" s="16"/>
      <c r="I117" s="193"/>
      <c r="J117" s="193"/>
      <c r="K117" s="193"/>
      <c r="L117" s="193"/>
      <c r="M117" s="193"/>
      <c r="N117" s="193"/>
      <c r="O117" s="193"/>
      <c r="P117" s="193"/>
      <c r="Q117" s="193"/>
      <c r="R117" s="193"/>
      <c r="S117" s="193"/>
      <c r="T117" s="193"/>
      <c r="U117" s="193"/>
      <c r="V117" s="193"/>
      <c r="W117" s="193"/>
      <c r="X117" s="193"/>
      <c r="Y117" s="193"/>
      <c r="Z117" s="193"/>
      <c r="AA117" s="193"/>
      <c r="AB117" s="193"/>
      <c r="AC117" s="193"/>
      <c r="AD117" s="193"/>
      <c r="AE117" s="193"/>
      <c r="AF117" s="193"/>
      <c r="AG117" s="193"/>
      <c r="AH117" s="193"/>
      <c r="AI117" s="193"/>
      <c r="AJ117" s="193"/>
      <c r="AK117" s="193"/>
      <c r="AL117" s="193"/>
      <c r="AM117" s="193"/>
      <c r="AN117" s="193"/>
      <c r="AO117" s="193"/>
      <c r="AP117" s="193"/>
      <c r="AQ117" s="193"/>
      <c r="AR117" s="193"/>
      <c r="AS117" s="193"/>
      <c r="AT117" s="193"/>
      <c r="AU117" s="193"/>
      <c r="AV117" s="193"/>
      <c r="AW117" s="193"/>
      <c r="AX117" s="193"/>
    </row>
    <row r="118" spans="1:50" ht="15" customHeight="1">
      <c r="A118" s="198"/>
      <c r="B118" s="128"/>
      <c r="C118" s="128"/>
      <c r="D118" s="122"/>
      <c r="E118" s="16" t="s">
        <v>189</v>
      </c>
      <c r="F118" s="16"/>
      <c r="G118" s="26" t="s">
        <v>188</v>
      </c>
      <c r="H118" s="16"/>
      <c r="I118" s="194">
        <f>Inputs!I90</f>
        <v>2.1700000000000001E-2</v>
      </c>
      <c r="J118" s="193"/>
      <c r="K118" s="193"/>
      <c r="L118" s="193"/>
      <c r="M118" s="193"/>
      <c r="N118" s="193"/>
      <c r="O118" s="193"/>
      <c r="P118" s="193"/>
      <c r="Q118" s="193"/>
      <c r="R118" s="193"/>
      <c r="S118" s="193"/>
      <c r="T118" s="193"/>
      <c r="U118" s="193"/>
      <c r="V118" s="193"/>
      <c r="W118" s="193"/>
      <c r="X118" s="193"/>
      <c r="Y118" s="193"/>
      <c r="Z118" s="193"/>
      <c r="AA118" s="193"/>
      <c r="AB118" s="193"/>
      <c r="AC118" s="193"/>
      <c r="AD118" s="193"/>
      <c r="AE118" s="193"/>
      <c r="AF118" s="193"/>
      <c r="AG118" s="193"/>
      <c r="AH118" s="193"/>
      <c r="AI118" s="193"/>
      <c r="AJ118" s="193"/>
      <c r="AK118" s="193"/>
      <c r="AL118" s="193"/>
      <c r="AM118" s="193"/>
      <c r="AN118" s="193"/>
      <c r="AO118" s="193"/>
      <c r="AP118" s="193"/>
      <c r="AQ118" s="193"/>
      <c r="AR118" s="193"/>
      <c r="AS118" s="193"/>
      <c r="AT118" s="193"/>
      <c r="AU118" s="193"/>
      <c r="AV118" s="193"/>
      <c r="AW118" s="193"/>
      <c r="AX118" s="193"/>
    </row>
    <row r="119" spans="1:50" ht="15" customHeight="1">
      <c r="A119" s="198"/>
      <c r="B119" s="128"/>
      <c r="C119" s="128"/>
      <c r="D119" s="122"/>
      <c r="E119" s="13" t="s">
        <v>375</v>
      </c>
      <c r="F119" s="16"/>
      <c r="G119" s="26" t="s">
        <v>188</v>
      </c>
      <c r="H119" s="16"/>
      <c r="I119" s="193"/>
      <c r="J119" s="193"/>
      <c r="K119" s="199">
        <f>SUMIF(Inputs!$133:$133,Finance!K$16,Inputs!136:136)</f>
        <v>7.1999999999999995E-2</v>
      </c>
      <c r="L119" s="199">
        <f>SUMIF(Inputs!$133:$133,Finance!L$16,Inputs!136:136)</f>
        <v>7.1999999999999995E-2</v>
      </c>
      <c r="M119" s="199">
        <f>SUMIF(Inputs!$133:$133,Finance!M$16,Inputs!136:136)</f>
        <v>7.1999999999999995E-2</v>
      </c>
      <c r="N119" s="199">
        <f>SUMIF(Inputs!$133:$133,Finance!N$16,Inputs!136:136)</f>
        <v>7.1999999999999995E-2</v>
      </c>
      <c r="O119" s="199">
        <f>SUMIF(Inputs!$133:$133,Finance!O$16,Inputs!136:136)</f>
        <v>7.1999999999999995E-2</v>
      </c>
      <c r="P119" s="199">
        <f>SUMIF(Inputs!$133:$133,Finance!P$16,Inputs!136:136)</f>
        <v>7.1999999999999995E-2</v>
      </c>
      <c r="Q119" s="199">
        <f>SUMIF(Inputs!$133:$133,Finance!Q$16,Inputs!136:136)</f>
        <v>7.1999999999999995E-2</v>
      </c>
      <c r="R119" s="199">
        <f>SUMIF(Inputs!$133:$133,Finance!R$16,Inputs!136:136)</f>
        <v>7.1999999999999995E-2</v>
      </c>
      <c r="S119" s="199">
        <f>SUMIF(Inputs!$133:$133,Finance!S$16,Inputs!136:136)</f>
        <v>7.1999999999999995E-2</v>
      </c>
      <c r="T119" s="199">
        <f>SUMIF(Inputs!$133:$133,Finance!T$16,Inputs!136:136)</f>
        <v>7.1999999999999995E-2</v>
      </c>
      <c r="U119" s="199">
        <f>SUMIF(Inputs!$133:$133,Finance!U$16,Inputs!136:136)</f>
        <v>7.1999999999999995E-2</v>
      </c>
      <c r="V119" s="199">
        <f>SUMIF(Inputs!$133:$133,Finance!V$16,Inputs!136:136)</f>
        <v>7.1999999999999995E-2</v>
      </c>
      <c r="W119" s="199">
        <f>SUMIF(Inputs!$133:$133,Finance!W$16,Inputs!136:136)</f>
        <v>7.1999999999999995E-2</v>
      </c>
      <c r="X119" s="199">
        <f>SUMIF(Inputs!$133:$133,Finance!X$16,Inputs!136:136)</f>
        <v>7.1999999999999995E-2</v>
      </c>
      <c r="Y119" s="199">
        <f>SUMIF(Inputs!$133:$133,Finance!Y$16,Inputs!136:136)</f>
        <v>7.1999999999999995E-2</v>
      </c>
      <c r="Z119" s="199">
        <f>SUMIF(Inputs!$133:$133,Finance!Z$16,Inputs!136:136)</f>
        <v>1.7999999999999999E-2</v>
      </c>
      <c r="AA119" s="199">
        <f>SUMIF(Inputs!$133:$133,Finance!AA$16,Inputs!136:136)</f>
        <v>0.02</v>
      </c>
      <c r="AB119" s="199">
        <f>SUMIF(Inputs!$133:$133,Finance!AB$16,Inputs!136:136)</f>
        <v>0.02</v>
      </c>
      <c r="AC119" s="199">
        <f>SUMIF(Inputs!$133:$133,Finance!AC$16,Inputs!136:136)</f>
        <v>0.02</v>
      </c>
      <c r="AD119" s="199">
        <f>SUMIF(Inputs!$133:$133,Finance!AD$16,Inputs!136:136)</f>
        <v>0.02</v>
      </c>
      <c r="AE119" s="199">
        <f>SUMIF(Inputs!$133:$133,Finance!AE$16,Inputs!136:136)</f>
        <v>0.02</v>
      </c>
      <c r="AF119" s="199">
        <f>SUMIF(Inputs!$133:$133,Finance!AF$16,Inputs!136:136)</f>
        <v>2.1999999999999999E-2</v>
      </c>
      <c r="AG119" s="199">
        <f>SUMIF(Inputs!$133:$133,Finance!AG$16,Inputs!136:136)</f>
        <v>2.1999999999999999E-2</v>
      </c>
      <c r="AH119" s="199">
        <f>SUMIF(Inputs!$133:$133,Finance!AH$16,Inputs!136:136)</f>
        <v>2.1999999999999999E-2</v>
      </c>
      <c r="AI119" s="199">
        <f>SUMIF(Inputs!$133:$133,Finance!AI$16,Inputs!136:136)</f>
        <v>2.1999999999999999E-2</v>
      </c>
      <c r="AJ119" s="199">
        <f>SUMIF(Inputs!$133:$133,Finance!AJ$16,Inputs!136:136)</f>
        <v>2.1999999999999999E-2</v>
      </c>
      <c r="AK119" s="199">
        <f>SUMIF(Inputs!$133:$133,Finance!AK$16,Inputs!136:136)</f>
        <v>2.4E-2</v>
      </c>
      <c r="AL119" s="199">
        <f>SUMIF(Inputs!$133:$133,Finance!AL$16,Inputs!136:136)</f>
        <v>2.4E-2</v>
      </c>
      <c r="AM119" s="199">
        <f>SUMIF(Inputs!$133:$133,Finance!AM$16,Inputs!136:136)</f>
        <v>2.4E-2</v>
      </c>
      <c r="AN119" s="199">
        <f>SUMIF(Inputs!$133:$133,Finance!AN$16,Inputs!136:136)</f>
        <v>2.4E-2</v>
      </c>
      <c r="AO119" s="199">
        <f>SUMIF(Inputs!$133:$133,Finance!AO$16,Inputs!136:136)</f>
        <v>2.4E-2</v>
      </c>
      <c r="AP119" s="199">
        <f>SUMIF(Inputs!$133:$133,Finance!AP$16,Inputs!136:136)</f>
        <v>0</v>
      </c>
      <c r="AQ119" s="199">
        <f>SUMIF(Inputs!$133:$133,Finance!AQ$16,Inputs!136:136)</f>
        <v>0</v>
      </c>
      <c r="AR119" s="199">
        <f>SUMIF(Inputs!$133:$133,Finance!AR$16,Inputs!136:136)</f>
        <v>0</v>
      </c>
      <c r="AS119" s="199">
        <f>SUMIF(Inputs!$133:$133,Finance!AS$16,Inputs!136:136)</f>
        <v>0</v>
      </c>
      <c r="AT119" s="199">
        <f>SUMIF(Inputs!$133:$133,Finance!AT$16,Inputs!136:136)</f>
        <v>0</v>
      </c>
      <c r="AU119" s="199">
        <f>SUMIF(Inputs!$133:$133,Finance!AU$16,Inputs!136:136)</f>
        <v>0</v>
      </c>
      <c r="AV119" s="199">
        <f>SUMIF(Inputs!$133:$133,Finance!AV$16,Inputs!136:136)</f>
        <v>0</v>
      </c>
      <c r="AW119" s="199">
        <f>SUMIF(Inputs!$133:$133,Finance!AW$16,Inputs!136:136)</f>
        <v>0</v>
      </c>
      <c r="AX119" s="199">
        <f>SUMIF(Inputs!$133:$133,Finance!AX$16,Inputs!136:136)</f>
        <v>7.1999999999999995E-2</v>
      </c>
    </row>
    <row r="120" spans="1:50" ht="15" customHeight="1">
      <c r="A120" s="198"/>
      <c r="B120" s="128"/>
      <c r="C120" s="128"/>
      <c r="D120" s="122"/>
      <c r="E120" s="13" t="s">
        <v>376</v>
      </c>
      <c r="F120" s="16"/>
      <c r="G120" s="26" t="s">
        <v>188</v>
      </c>
      <c r="H120" s="16"/>
      <c r="I120" s="193"/>
      <c r="J120" s="193"/>
      <c r="K120" s="199">
        <f>SUMIF(Inputs!$133:$133,Finance!K$16,Inputs!137:137)</f>
        <v>7.1999999999999995E-2</v>
      </c>
      <c r="L120" s="199">
        <f>SUMIF(Inputs!$133:$133,Finance!L$16,Inputs!137:137)</f>
        <v>7.1999999999999995E-2</v>
      </c>
      <c r="M120" s="199">
        <f>SUMIF(Inputs!$133:$133,Finance!M$16,Inputs!137:137)</f>
        <v>7.1999999999999995E-2</v>
      </c>
      <c r="N120" s="199">
        <f>SUMIF(Inputs!$133:$133,Finance!N$16,Inputs!137:137)</f>
        <v>7.1999999999999995E-2</v>
      </c>
      <c r="O120" s="199">
        <f>SUMIF(Inputs!$133:$133,Finance!O$16,Inputs!137:137)</f>
        <v>7.1999999999999995E-2</v>
      </c>
      <c r="P120" s="199">
        <f>SUMIF(Inputs!$133:$133,Finance!P$16,Inputs!137:137)</f>
        <v>7.1999999999999995E-2</v>
      </c>
      <c r="Q120" s="199">
        <f>SUMIF(Inputs!$133:$133,Finance!Q$16,Inputs!137:137)</f>
        <v>7.1999999999999995E-2</v>
      </c>
      <c r="R120" s="199">
        <f>SUMIF(Inputs!$133:$133,Finance!R$16,Inputs!137:137)</f>
        <v>7.1999999999999995E-2</v>
      </c>
      <c r="S120" s="199">
        <f>SUMIF(Inputs!$133:$133,Finance!S$16,Inputs!137:137)</f>
        <v>7.1999999999999995E-2</v>
      </c>
      <c r="T120" s="199">
        <f>SUMIF(Inputs!$133:$133,Finance!T$16,Inputs!137:137)</f>
        <v>7.1999999999999995E-2</v>
      </c>
      <c r="U120" s="199">
        <f>SUMIF(Inputs!$133:$133,Finance!U$16,Inputs!137:137)</f>
        <v>7.1999999999999995E-2</v>
      </c>
      <c r="V120" s="199">
        <f>SUMIF(Inputs!$133:$133,Finance!V$16,Inputs!137:137)</f>
        <v>7.1999999999999995E-2</v>
      </c>
      <c r="W120" s="199">
        <f>SUMIF(Inputs!$133:$133,Finance!W$16,Inputs!137:137)</f>
        <v>7.1999999999999995E-2</v>
      </c>
      <c r="X120" s="199">
        <f>SUMIF(Inputs!$133:$133,Finance!X$16,Inputs!137:137)</f>
        <v>7.1999999999999995E-2</v>
      </c>
      <c r="Y120" s="199">
        <f>SUMIF(Inputs!$133:$133,Finance!Y$16,Inputs!137:137)</f>
        <v>7.1999999999999995E-2</v>
      </c>
      <c r="Z120" s="199">
        <f>SUMIF(Inputs!$133:$133,Finance!Z$16,Inputs!137:137)</f>
        <v>1.7999999999999999E-2</v>
      </c>
      <c r="AA120" s="199">
        <f>SUMIF(Inputs!$133:$133,Finance!AA$16,Inputs!137:137)</f>
        <v>0.02</v>
      </c>
      <c r="AB120" s="199">
        <f>SUMIF(Inputs!$133:$133,Finance!AB$16,Inputs!137:137)</f>
        <v>0.02</v>
      </c>
      <c r="AC120" s="199">
        <f>SUMIF(Inputs!$133:$133,Finance!AC$16,Inputs!137:137)</f>
        <v>0.02</v>
      </c>
      <c r="AD120" s="199">
        <f>SUMIF(Inputs!$133:$133,Finance!AD$16,Inputs!137:137)</f>
        <v>0.02</v>
      </c>
      <c r="AE120" s="199">
        <f>SUMIF(Inputs!$133:$133,Finance!AE$16,Inputs!137:137)</f>
        <v>0.02</v>
      </c>
      <c r="AF120" s="199">
        <f>SUMIF(Inputs!$133:$133,Finance!AF$16,Inputs!137:137)</f>
        <v>2.1999999999999999E-2</v>
      </c>
      <c r="AG120" s="199">
        <f>SUMIF(Inputs!$133:$133,Finance!AG$16,Inputs!137:137)</f>
        <v>2.1999999999999999E-2</v>
      </c>
      <c r="AH120" s="199">
        <f>SUMIF(Inputs!$133:$133,Finance!AH$16,Inputs!137:137)</f>
        <v>2.1999999999999999E-2</v>
      </c>
      <c r="AI120" s="199">
        <f>SUMIF(Inputs!$133:$133,Finance!AI$16,Inputs!137:137)</f>
        <v>2.1999999999999999E-2</v>
      </c>
      <c r="AJ120" s="199">
        <f>SUMIF(Inputs!$133:$133,Finance!AJ$16,Inputs!137:137)</f>
        <v>2.1999999999999999E-2</v>
      </c>
      <c r="AK120" s="199">
        <f>SUMIF(Inputs!$133:$133,Finance!AK$16,Inputs!137:137)</f>
        <v>2.4E-2</v>
      </c>
      <c r="AL120" s="199">
        <f>SUMIF(Inputs!$133:$133,Finance!AL$16,Inputs!137:137)</f>
        <v>2.4E-2</v>
      </c>
      <c r="AM120" s="199">
        <f>SUMIF(Inputs!$133:$133,Finance!AM$16,Inputs!137:137)</f>
        <v>2.4E-2</v>
      </c>
      <c r="AN120" s="199">
        <f>SUMIF(Inputs!$133:$133,Finance!AN$16,Inputs!137:137)</f>
        <v>2.4E-2</v>
      </c>
      <c r="AO120" s="199">
        <f>SUMIF(Inputs!$133:$133,Finance!AO$16,Inputs!137:137)</f>
        <v>2.4E-2</v>
      </c>
      <c r="AP120" s="199">
        <f>SUMIF(Inputs!$133:$133,Finance!AP$16,Inputs!137:137)</f>
        <v>0</v>
      </c>
      <c r="AQ120" s="199">
        <f>SUMIF(Inputs!$133:$133,Finance!AQ$16,Inputs!137:137)</f>
        <v>0</v>
      </c>
      <c r="AR120" s="199">
        <f>SUMIF(Inputs!$133:$133,Finance!AR$16,Inputs!137:137)</f>
        <v>0</v>
      </c>
      <c r="AS120" s="199">
        <f>SUMIF(Inputs!$133:$133,Finance!AS$16,Inputs!137:137)</f>
        <v>0</v>
      </c>
      <c r="AT120" s="199">
        <f>SUMIF(Inputs!$133:$133,Finance!AT$16,Inputs!137:137)</f>
        <v>0</v>
      </c>
      <c r="AU120" s="199">
        <f>SUMIF(Inputs!$133:$133,Finance!AU$16,Inputs!137:137)</f>
        <v>0</v>
      </c>
      <c r="AV120" s="199">
        <f>SUMIF(Inputs!$133:$133,Finance!AV$16,Inputs!137:137)</f>
        <v>0</v>
      </c>
      <c r="AW120" s="199">
        <f>SUMIF(Inputs!$133:$133,Finance!AW$16,Inputs!137:137)</f>
        <v>0</v>
      </c>
      <c r="AX120" s="199">
        <f>SUMIF(Inputs!$133:$133,Finance!AX$16,Inputs!137:137)</f>
        <v>7.1999999999999995E-2</v>
      </c>
    </row>
    <row r="121" spans="1:50" ht="15" customHeight="1">
      <c r="A121" s="198"/>
      <c r="B121" s="128"/>
      <c r="C121" s="128"/>
      <c r="D121" s="122"/>
      <c r="E121" s="13" t="s">
        <v>377</v>
      </c>
      <c r="F121" s="16"/>
      <c r="G121" s="26" t="s">
        <v>188</v>
      </c>
      <c r="H121" s="16"/>
      <c r="I121" s="193"/>
      <c r="J121" s="193"/>
      <c r="K121" s="199">
        <f>SUMIF(Inputs!$133:$133,Finance!K$16,Inputs!138:138)</f>
        <v>7.1999999999999995E-2</v>
      </c>
      <c r="L121" s="199">
        <f>SUMIF(Inputs!$133:$133,Finance!L$16,Inputs!138:138)</f>
        <v>7.1999999999999995E-2</v>
      </c>
      <c r="M121" s="199">
        <f>SUMIF(Inputs!$133:$133,Finance!M$16,Inputs!138:138)</f>
        <v>7.1999999999999995E-2</v>
      </c>
      <c r="N121" s="199">
        <f>SUMIF(Inputs!$133:$133,Finance!N$16,Inputs!138:138)</f>
        <v>7.1999999999999995E-2</v>
      </c>
      <c r="O121" s="199">
        <f>SUMIF(Inputs!$133:$133,Finance!O$16,Inputs!138:138)</f>
        <v>7.1999999999999995E-2</v>
      </c>
      <c r="P121" s="199">
        <f>SUMIF(Inputs!$133:$133,Finance!P$16,Inputs!138:138)</f>
        <v>7.1999999999999995E-2</v>
      </c>
      <c r="Q121" s="199">
        <f>SUMIF(Inputs!$133:$133,Finance!Q$16,Inputs!138:138)</f>
        <v>7.1999999999999995E-2</v>
      </c>
      <c r="R121" s="199">
        <f>SUMIF(Inputs!$133:$133,Finance!R$16,Inputs!138:138)</f>
        <v>7.1999999999999995E-2</v>
      </c>
      <c r="S121" s="199">
        <f>SUMIF(Inputs!$133:$133,Finance!S$16,Inputs!138:138)</f>
        <v>7.1999999999999995E-2</v>
      </c>
      <c r="T121" s="199">
        <f>SUMIF(Inputs!$133:$133,Finance!T$16,Inputs!138:138)</f>
        <v>7.1999999999999995E-2</v>
      </c>
      <c r="U121" s="199">
        <f>SUMIF(Inputs!$133:$133,Finance!U$16,Inputs!138:138)</f>
        <v>7.1999999999999995E-2</v>
      </c>
      <c r="V121" s="199">
        <f>SUMIF(Inputs!$133:$133,Finance!V$16,Inputs!138:138)</f>
        <v>7.1999999999999995E-2</v>
      </c>
      <c r="W121" s="199">
        <f>SUMIF(Inputs!$133:$133,Finance!W$16,Inputs!138:138)</f>
        <v>7.1999999999999995E-2</v>
      </c>
      <c r="X121" s="199">
        <f>SUMIF(Inputs!$133:$133,Finance!X$16,Inputs!138:138)</f>
        <v>7.1999999999999995E-2</v>
      </c>
      <c r="Y121" s="199">
        <f>SUMIF(Inputs!$133:$133,Finance!Y$16,Inputs!138:138)</f>
        <v>7.1999999999999995E-2</v>
      </c>
      <c r="Z121" s="199">
        <f>SUMIF(Inputs!$133:$133,Finance!Z$16,Inputs!138:138)</f>
        <v>1.7999999999999999E-2</v>
      </c>
      <c r="AA121" s="199">
        <f>SUMIF(Inputs!$133:$133,Finance!AA$16,Inputs!138:138)</f>
        <v>0.02</v>
      </c>
      <c r="AB121" s="199">
        <f>SUMIF(Inputs!$133:$133,Finance!AB$16,Inputs!138:138)</f>
        <v>0.02</v>
      </c>
      <c r="AC121" s="199">
        <f>SUMIF(Inputs!$133:$133,Finance!AC$16,Inputs!138:138)</f>
        <v>0.02</v>
      </c>
      <c r="AD121" s="199">
        <f>SUMIF(Inputs!$133:$133,Finance!AD$16,Inputs!138:138)</f>
        <v>0.02</v>
      </c>
      <c r="AE121" s="199">
        <f>SUMIF(Inputs!$133:$133,Finance!AE$16,Inputs!138:138)</f>
        <v>0.02</v>
      </c>
      <c r="AF121" s="199">
        <f>SUMIF(Inputs!$133:$133,Finance!AF$16,Inputs!138:138)</f>
        <v>2.1999999999999999E-2</v>
      </c>
      <c r="AG121" s="199">
        <f>SUMIF(Inputs!$133:$133,Finance!AG$16,Inputs!138:138)</f>
        <v>2.1999999999999999E-2</v>
      </c>
      <c r="AH121" s="199">
        <f>SUMIF(Inputs!$133:$133,Finance!AH$16,Inputs!138:138)</f>
        <v>2.1999999999999999E-2</v>
      </c>
      <c r="AI121" s="199">
        <f>SUMIF(Inputs!$133:$133,Finance!AI$16,Inputs!138:138)</f>
        <v>2.1999999999999999E-2</v>
      </c>
      <c r="AJ121" s="199">
        <f>SUMIF(Inputs!$133:$133,Finance!AJ$16,Inputs!138:138)</f>
        <v>2.1999999999999999E-2</v>
      </c>
      <c r="AK121" s="199">
        <f>SUMIF(Inputs!$133:$133,Finance!AK$16,Inputs!138:138)</f>
        <v>2.4E-2</v>
      </c>
      <c r="AL121" s="199">
        <f>SUMIF(Inputs!$133:$133,Finance!AL$16,Inputs!138:138)</f>
        <v>2.4E-2</v>
      </c>
      <c r="AM121" s="199">
        <f>SUMIF(Inputs!$133:$133,Finance!AM$16,Inputs!138:138)</f>
        <v>2.4E-2</v>
      </c>
      <c r="AN121" s="199">
        <f>SUMIF(Inputs!$133:$133,Finance!AN$16,Inputs!138:138)</f>
        <v>2.4E-2</v>
      </c>
      <c r="AO121" s="199">
        <f>SUMIF(Inputs!$133:$133,Finance!AO$16,Inputs!138:138)</f>
        <v>2.4E-2</v>
      </c>
      <c r="AP121" s="199">
        <f>SUMIF(Inputs!$133:$133,Finance!AP$16,Inputs!138:138)</f>
        <v>0</v>
      </c>
      <c r="AQ121" s="199">
        <f>SUMIF(Inputs!$133:$133,Finance!AQ$16,Inputs!138:138)</f>
        <v>0</v>
      </c>
      <c r="AR121" s="199">
        <f>SUMIF(Inputs!$133:$133,Finance!AR$16,Inputs!138:138)</f>
        <v>0</v>
      </c>
      <c r="AS121" s="199">
        <f>SUMIF(Inputs!$133:$133,Finance!AS$16,Inputs!138:138)</f>
        <v>0</v>
      </c>
      <c r="AT121" s="199">
        <f>SUMIF(Inputs!$133:$133,Finance!AT$16,Inputs!138:138)</f>
        <v>0</v>
      </c>
      <c r="AU121" s="199">
        <f>SUMIF(Inputs!$133:$133,Finance!AU$16,Inputs!138:138)</f>
        <v>0</v>
      </c>
      <c r="AV121" s="199">
        <f>SUMIF(Inputs!$133:$133,Finance!AV$16,Inputs!138:138)</f>
        <v>0</v>
      </c>
      <c r="AW121" s="199">
        <f>SUMIF(Inputs!$133:$133,Finance!AW$16,Inputs!138:138)</f>
        <v>0</v>
      </c>
      <c r="AX121" s="199">
        <f>SUMIF(Inputs!$133:$133,Finance!AX$16,Inputs!138:138)</f>
        <v>7.1999999999999995E-2</v>
      </c>
    </row>
    <row r="122" spans="1:50" ht="15" customHeight="1">
      <c r="A122" s="198"/>
      <c r="B122" s="128"/>
      <c r="C122" s="128"/>
      <c r="D122" s="122"/>
      <c r="E122" s="13" t="s">
        <v>378</v>
      </c>
      <c r="F122" s="16"/>
      <c r="G122" s="26" t="s">
        <v>188</v>
      </c>
      <c r="H122" s="16"/>
      <c r="I122" s="193"/>
      <c r="J122" s="193"/>
      <c r="K122" s="199">
        <f>SUMIF(Inputs!$133:$133,Finance!K$16,Inputs!139:139)</f>
        <v>7.1999999999999995E-2</v>
      </c>
      <c r="L122" s="199">
        <f>SUMIF(Inputs!$133:$133,Finance!L$16,Inputs!139:139)</f>
        <v>7.1999999999999995E-2</v>
      </c>
      <c r="M122" s="199">
        <f>SUMIF(Inputs!$133:$133,Finance!M$16,Inputs!139:139)</f>
        <v>7.1999999999999995E-2</v>
      </c>
      <c r="N122" s="199">
        <f>SUMIF(Inputs!$133:$133,Finance!N$16,Inputs!139:139)</f>
        <v>7.1999999999999995E-2</v>
      </c>
      <c r="O122" s="199">
        <f>SUMIF(Inputs!$133:$133,Finance!O$16,Inputs!139:139)</f>
        <v>7.1999999999999995E-2</v>
      </c>
      <c r="P122" s="199">
        <f>SUMIF(Inputs!$133:$133,Finance!P$16,Inputs!139:139)</f>
        <v>7.1999999999999995E-2</v>
      </c>
      <c r="Q122" s="199">
        <f>SUMIF(Inputs!$133:$133,Finance!Q$16,Inputs!139:139)</f>
        <v>7.1999999999999995E-2</v>
      </c>
      <c r="R122" s="199">
        <f>SUMIF(Inputs!$133:$133,Finance!R$16,Inputs!139:139)</f>
        <v>7.1999999999999995E-2</v>
      </c>
      <c r="S122" s="199">
        <f>SUMIF(Inputs!$133:$133,Finance!S$16,Inputs!139:139)</f>
        <v>7.1999999999999995E-2</v>
      </c>
      <c r="T122" s="199">
        <f>SUMIF(Inputs!$133:$133,Finance!T$16,Inputs!139:139)</f>
        <v>7.1999999999999995E-2</v>
      </c>
      <c r="U122" s="199">
        <f>SUMIF(Inputs!$133:$133,Finance!U$16,Inputs!139:139)</f>
        <v>7.1999999999999995E-2</v>
      </c>
      <c r="V122" s="199">
        <f>SUMIF(Inputs!$133:$133,Finance!V$16,Inputs!139:139)</f>
        <v>7.1999999999999995E-2</v>
      </c>
      <c r="W122" s="199">
        <f>SUMIF(Inputs!$133:$133,Finance!W$16,Inputs!139:139)</f>
        <v>7.1999999999999995E-2</v>
      </c>
      <c r="X122" s="199">
        <f>SUMIF(Inputs!$133:$133,Finance!X$16,Inputs!139:139)</f>
        <v>7.1999999999999995E-2</v>
      </c>
      <c r="Y122" s="199">
        <f>SUMIF(Inputs!$133:$133,Finance!Y$16,Inputs!139:139)</f>
        <v>7.1999999999999995E-2</v>
      </c>
      <c r="Z122" s="199">
        <f>SUMIF(Inputs!$133:$133,Finance!Z$16,Inputs!139:139)</f>
        <v>1.7999999999999999E-2</v>
      </c>
      <c r="AA122" s="199">
        <f>SUMIF(Inputs!$133:$133,Finance!AA$16,Inputs!139:139)</f>
        <v>0.02</v>
      </c>
      <c r="AB122" s="199">
        <f>SUMIF(Inputs!$133:$133,Finance!AB$16,Inputs!139:139)</f>
        <v>0.02</v>
      </c>
      <c r="AC122" s="199">
        <f>SUMIF(Inputs!$133:$133,Finance!AC$16,Inputs!139:139)</f>
        <v>0.02</v>
      </c>
      <c r="AD122" s="199">
        <f>SUMIF(Inputs!$133:$133,Finance!AD$16,Inputs!139:139)</f>
        <v>0.02</v>
      </c>
      <c r="AE122" s="199">
        <f>SUMIF(Inputs!$133:$133,Finance!AE$16,Inputs!139:139)</f>
        <v>0.02</v>
      </c>
      <c r="AF122" s="199">
        <f>SUMIF(Inputs!$133:$133,Finance!AF$16,Inputs!139:139)</f>
        <v>2.1999999999999999E-2</v>
      </c>
      <c r="AG122" s="199">
        <f>SUMIF(Inputs!$133:$133,Finance!AG$16,Inputs!139:139)</f>
        <v>2.1999999999999999E-2</v>
      </c>
      <c r="AH122" s="199">
        <f>SUMIF(Inputs!$133:$133,Finance!AH$16,Inputs!139:139)</f>
        <v>2.1999999999999999E-2</v>
      </c>
      <c r="AI122" s="199">
        <f>SUMIF(Inputs!$133:$133,Finance!AI$16,Inputs!139:139)</f>
        <v>2.1999999999999999E-2</v>
      </c>
      <c r="AJ122" s="199">
        <f>SUMIF(Inputs!$133:$133,Finance!AJ$16,Inputs!139:139)</f>
        <v>2.1999999999999999E-2</v>
      </c>
      <c r="AK122" s="199">
        <f>SUMIF(Inputs!$133:$133,Finance!AK$16,Inputs!139:139)</f>
        <v>2.4E-2</v>
      </c>
      <c r="AL122" s="199">
        <f>SUMIF(Inputs!$133:$133,Finance!AL$16,Inputs!139:139)</f>
        <v>2.4E-2</v>
      </c>
      <c r="AM122" s="199">
        <f>SUMIF(Inputs!$133:$133,Finance!AM$16,Inputs!139:139)</f>
        <v>2.4E-2</v>
      </c>
      <c r="AN122" s="199">
        <f>SUMIF(Inputs!$133:$133,Finance!AN$16,Inputs!139:139)</f>
        <v>2.4E-2</v>
      </c>
      <c r="AO122" s="199">
        <f>SUMIF(Inputs!$133:$133,Finance!AO$16,Inputs!139:139)</f>
        <v>2.4E-2</v>
      </c>
      <c r="AP122" s="199">
        <f>SUMIF(Inputs!$133:$133,Finance!AP$16,Inputs!139:139)</f>
        <v>0</v>
      </c>
      <c r="AQ122" s="199">
        <f>SUMIF(Inputs!$133:$133,Finance!AQ$16,Inputs!139:139)</f>
        <v>0</v>
      </c>
      <c r="AR122" s="199">
        <f>SUMIF(Inputs!$133:$133,Finance!AR$16,Inputs!139:139)</f>
        <v>0</v>
      </c>
      <c r="AS122" s="199">
        <f>SUMIF(Inputs!$133:$133,Finance!AS$16,Inputs!139:139)</f>
        <v>0</v>
      </c>
      <c r="AT122" s="199">
        <f>SUMIF(Inputs!$133:$133,Finance!AT$16,Inputs!139:139)</f>
        <v>0</v>
      </c>
      <c r="AU122" s="199">
        <f>SUMIF(Inputs!$133:$133,Finance!AU$16,Inputs!139:139)</f>
        <v>0</v>
      </c>
      <c r="AV122" s="199">
        <f>SUMIF(Inputs!$133:$133,Finance!AV$16,Inputs!139:139)</f>
        <v>0</v>
      </c>
      <c r="AW122" s="199">
        <f>SUMIF(Inputs!$133:$133,Finance!AW$16,Inputs!139:139)</f>
        <v>0</v>
      </c>
      <c r="AX122" s="199">
        <f>SUMIF(Inputs!$133:$133,Finance!AX$16,Inputs!139:139)</f>
        <v>7.1999999999999995E-2</v>
      </c>
    </row>
    <row r="123" spans="1:50" ht="15" customHeight="1">
      <c r="A123" s="198"/>
      <c r="B123" s="128"/>
      <c r="C123" s="128"/>
      <c r="D123" s="122"/>
      <c r="E123" s="13" t="s">
        <v>379</v>
      </c>
      <c r="F123" s="16"/>
      <c r="G123" s="26" t="s">
        <v>188</v>
      </c>
      <c r="H123" s="16"/>
      <c r="I123" s="193"/>
      <c r="J123" s="193"/>
      <c r="K123" s="199">
        <f>SUMIF(Inputs!$133:$133,Finance!K$16,Inputs!141:141)</f>
        <v>5.6999999999999995E-2</v>
      </c>
      <c r="L123" s="199">
        <f>SUMIF(Inputs!$133:$133,Finance!L$16,Inputs!141:141)</f>
        <v>5.6999999999999995E-2</v>
      </c>
      <c r="M123" s="199">
        <f>SUMIF(Inputs!$133:$133,Finance!M$16,Inputs!141:141)</f>
        <v>5.6999999999999995E-2</v>
      </c>
      <c r="N123" s="199">
        <f>SUMIF(Inputs!$133:$133,Finance!N$16,Inputs!141:141)</f>
        <v>5.6999999999999995E-2</v>
      </c>
      <c r="O123" s="199">
        <f>SUMIF(Inputs!$133:$133,Finance!O$16,Inputs!141:141)</f>
        <v>5.6999999999999995E-2</v>
      </c>
      <c r="P123" s="199">
        <f>SUMIF(Inputs!$133:$133,Finance!P$16,Inputs!141:141)</f>
        <v>5.6999999999999995E-2</v>
      </c>
      <c r="Q123" s="199">
        <f>SUMIF(Inputs!$133:$133,Finance!Q$16,Inputs!141:141)</f>
        <v>5.6999999999999995E-2</v>
      </c>
      <c r="R123" s="199">
        <f>SUMIF(Inputs!$133:$133,Finance!R$16,Inputs!141:141)</f>
        <v>5.6999999999999995E-2</v>
      </c>
      <c r="S123" s="199">
        <f>SUMIF(Inputs!$133:$133,Finance!S$16,Inputs!141:141)</f>
        <v>5.6999999999999995E-2</v>
      </c>
      <c r="T123" s="199">
        <f>SUMIF(Inputs!$133:$133,Finance!T$16,Inputs!141:141)</f>
        <v>5.6999999999999995E-2</v>
      </c>
      <c r="U123" s="199">
        <f>SUMIF(Inputs!$133:$133,Finance!U$16,Inputs!141:141)</f>
        <v>5.6999999999999995E-2</v>
      </c>
      <c r="V123" s="199">
        <f>SUMIF(Inputs!$133:$133,Finance!V$16,Inputs!141:141)</f>
        <v>5.6999999999999995E-2</v>
      </c>
      <c r="W123" s="199">
        <f>SUMIF(Inputs!$133:$133,Finance!W$16,Inputs!141:141)</f>
        <v>5.6999999999999995E-2</v>
      </c>
      <c r="X123" s="199">
        <f>SUMIF(Inputs!$133:$133,Finance!X$16,Inputs!141:141)</f>
        <v>5.6999999999999995E-2</v>
      </c>
      <c r="Y123" s="199">
        <f>SUMIF(Inputs!$133:$133,Finance!Y$16,Inputs!141:141)</f>
        <v>5.6999999999999995E-2</v>
      </c>
      <c r="Z123" s="199">
        <f>SUMIF(Inputs!$133:$133,Finance!Z$16,Inputs!141:141)</f>
        <v>1.2999999999999999E-2</v>
      </c>
      <c r="AA123" s="199">
        <f>SUMIF(Inputs!$133:$133,Finance!AA$16,Inputs!141:141)</f>
        <v>1.2999999999999999E-2</v>
      </c>
      <c r="AB123" s="199">
        <f>SUMIF(Inputs!$133:$133,Finance!AB$16,Inputs!141:141)</f>
        <v>1.2999999999999999E-2</v>
      </c>
      <c r="AC123" s="199">
        <f>SUMIF(Inputs!$133:$133,Finance!AC$16,Inputs!141:141)</f>
        <v>1.2999999999999999E-2</v>
      </c>
      <c r="AD123" s="199">
        <f>SUMIF(Inputs!$133:$133,Finance!AD$16,Inputs!141:141)</f>
        <v>1.2999999999999999E-2</v>
      </c>
      <c r="AE123" s="199">
        <f>SUMIF(Inputs!$133:$133,Finance!AE$16,Inputs!141:141)</f>
        <v>1.2999999999999999E-2</v>
      </c>
      <c r="AF123" s="199">
        <f>SUMIF(Inputs!$133:$133,Finance!AF$16,Inputs!141:141)</f>
        <v>1.2999999999999999E-2</v>
      </c>
      <c r="AG123" s="199">
        <f>SUMIF(Inputs!$133:$133,Finance!AG$16,Inputs!141:141)</f>
        <v>1.2999999999999999E-2</v>
      </c>
      <c r="AH123" s="199">
        <f>SUMIF(Inputs!$133:$133,Finance!AH$16,Inputs!141:141)</f>
        <v>1.2999999999999999E-2</v>
      </c>
      <c r="AI123" s="199">
        <f>SUMIF(Inputs!$133:$133,Finance!AI$16,Inputs!141:141)</f>
        <v>1.2999999999999999E-2</v>
      </c>
      <c r="AJ123" s="199">
        <f>SUMIF(Inputs!$133:$133,Finance!AJ$16,Inputs!141:141)</f>
        <v>1.2999999999999999E-2</v>
      </c>
      <c r="AK123" s="199">
        <f>SUMIF(Inputs!$133:$133,Finance!AK$16,Inputs!141:141)</f>
        <v>1.2999999999999999E-2</v>
      </c>
      <c r="AL123" s="199">
        <f>SUMIF(Inputs!$133:$133,Finance!AL$16,Inputs!141:141)</f>
        <v>1.2999999999999999E-2</v>
      </c>
      <c r="AM123" s="199">
        <f>SUMIF(Inputs!$133:$133,Finance!AM$16,Inputs!141:141)</f>
        <v>1.2999999999999999E-2</v>
      </c>
      <c r="AN123" s="199">
        <f>SUMIF(Inputs!$133:$133,Finance!AN$16,Inputs!141:141)</f>
        <v>1.2999999999999999E-2</v>
      </c>
      <c r="AO123" s="199">
        <f>SUMIF(Inputs!$133:$133,Finance!AO$16,Inputs!141:141)</f>
        <v>1.2999999999999999E-2</v>
      </c>
      <c r="AP123" s="199">
        <f>SUMIF(Inputs!$133:$133,Finance!AP$16,Inputs!141:141)</f>
        <v>0</v>
      </c>
      <c r="AQ123" s="199">
        <f>SUMIF(Inputs!$133:$133,Finance!AQ$16,Inputs!141:141)</f>
        <v>0</v>
      </c>
      <c r="AR123" s="199">
        <f>SUMIF(Inputs!$133:$133,Finance!AR$16,Inputs!141:141)</f>
        <v>0</v>
      </c>
      <c r="AS123" s="199">
        <f>SUMIF(Inputs!$133:$133,Finance!AS$16,Inputs!141:141)</f>
        <v>0</v>
      </c>
      <c r="AT123" s="199">
        <f>SUMIF(Inputs!$133:$133,Finance!AT$16,Inputs!141:141)</f>
        <v>0</v>
      </c>
      <c r="AU123" s="199">
        <f>SUMIF(Inputs!$133:$133,Finance!AU$16,Inputs!141:141)</f>
        <v>0</v>
      </c>
      <c r="AV123" s="199">
        <f>SUMIF(Inputs!$133:$133,Finance!AV$16,Inputs!141:141)</f>
        <v>0</v>
      </c>
      <c r="AW123" s="199">
        <f>SUMIF(Inputs!$133:$133,Finance!AW$16,Inputs!141:141)</f>
        <v>0</v>
      </c>
      <c r="AX123" s="199">
        <f>SUMIF(Inputs!$133:$133,Finance!AX$16,Inputs!141:141)</f>
        <v>5.6999999999999995E-2</v>
      </c>
    </row>
    <row r="124" spans="1:50" ht="15" customHeight="1">
      <c r="A124" s="198"/>
      <c r="B124" s="128"/>
      <c r="C124" s="128"/>
      <c r="D124" s="122"/>
      <c r="E124" s="16"/>
      <c r="F124" s="16"/>
      <c r="G124" s="16"/>
      <c r="H124" s="16"/>
      <c r="I124" s="193"/>
      <c r="J124" s="193"/>
      <c r="K124" s="193"/>
      <c r="L124" s="193"/>
      <c r="M124" s="193"/>
      <c r="N124" s="193"/>
      <c r="O124" s="193"/>
      <c r="P124" s="193"/>
      <c r="Q124" s="193"/>
      <c r="R124" s="193"/>
      <c r="S124" s="193"/>
      <c r="T124" s="193"/>
      <c r="U124" s="193"/>
      <c r="V124" s="193"/>
      <c r="W124" s="193"/>
      <c r="X124" s="193"/>
      <c r="Y124" s="193"/>
      <c r="Z124" s="193"/>
      <c r="AA124" s="193"/>
      <c r="AB124" s="193"/>
      <c r="AC124" s="193"/>
      <c r="AD124" s="193"/>
      <c r="AE124" s="193"/>
      <c r="AF124" s="193"/>
      <c r="AG124" s="193"/>
      <c r="AH124" s="193"/>
      <c r="AI124" s="193"/>
      <c r="AJ124" s="193"/>
      <c r="AK124" s="193"/>
      <c r="AL124" s="193"/>
      <c r="AM124" s="193"/>
      <c r="AN124" s="193"/>
      <c r="AO124" s="193"/>
      <c r="AP124" s="193"/>
      <c r="AQ124" s="193"/>
      <c r="AR124" s="193"/>
      <c r="AS124" s="193"/>
      <c r="AT124" s="193"/>
      <c r="AU124" s="193"/>
      <c r="AV124" s="193"/>
      <c r="AW124" s="193"/>
      <c r="AX124" s="193"/>
    </row>
    <row r="125" spans="1:50" ht="15" customHeight="1">
      <c r="A125" s="198"/>
      <c r="B125" s="128"/>
      <c r="C125" s="128"/>
      <c r="D125" s="122"/>
      <c r="E125" s="16" t="s">
        <v>356</v>
      </c>
      <c r="F125" s="16"/>
      <c r="G125" s="16" t="s">
        <v>188</v>
      </c>
      <c r="H125" s="16"/>
      <c r="I125" s="193"/>
      <c r="J125" s="193"/>
      <c r="K125" s="202">
        <f t="shared" ref="K125:AX125" si="25">($I$118+K119)*(K$16&lt;&gt;0)</f>
        <v>0</v>
      </c>
      <c r="L125" s="202">
        <f t="shared" si="25"/>
        <v>0</v>
      </c>
      <c r="M125" s="202">
        <f t="shared" si="25"/>
        <v>0</v>
      </c>
      <c r="N125" s="202">
        <f t="shared" si="25"/>
        <v>0</v>
      </c>
      <c r="O125" s="202">
        <f t="shared" si="25"/>
        <v>0</v>
      </c>
      <c r="P125" s="202">
        <f t="shared" si="25"/>
        <v>0</v>
      </c>
      <c r="Q125" s="202">
        <f t="shared" si="25"/>
        <v>0</v>
      </c>
      <c r="R125" s="202">
        <f t="shared" si="25"/>
        <v>0</v>
      </c>
      <c r="S125" s="202">
        <f t="shared" si="25"/>
        <v>0</v>
      </c>
      <c r="T125" s="202">
        <f t="shared" si="25"/>
        <v>0</v>
      </c>
      <c r="U125" s="202">
        <f t="shared" si="25"/>
        <v>0</v>
      </c>
      <c r="V125" s="202">
        <f t="shared" si="25"/>
        <v>0</v>
      </c>
      <c r="W125" s="202">
        <f t="shared" si="25"/>
        <v>0</v>
      </c>
      <c r="X125" s="202">
        <f t="shared" si="25"/>
        <v>0</v>
      </c>
      <c r="Y125" s="202">
        <f t="shared" si="25"/>
        <v>0</v>
      </c>
      <c r="Z125" s="202">
        <f t="shared" si="25"/>
        <v>3.9699999999999999E-2</v>
      </c>
      <c r="AA125" s="202">
        <f t="shared" si="25"/>
        <v>4.1700000000000001E-2</v>
      </c>
      <c r="AB125" s="202">
        <f t="shared" si="25"/>
        <v>4.1700000000000001E-2</v>
      </c>
      <c r="AC125" s="202">
        <f t="shared" si="25"/>
        <v>4.1700000000000001E-2</v>
      </c>
      <c r="AD125" s="202">
        <f t="shared" si="25"/>
        <v>4.1700000000000001E-2</v>
      </c>
      <c r="AE125" s="202">
        <f t="shared" si="25"/>
        <v>4.1700000000000001E-2</v>
      </c>
      <c r="AF125" s="202">
        <f t="shared" si="25"/>
        <v>4.3700000000000003E-2</v>
      </c>
      <c r="AG125" s="202">
        <f t="shared" si="25"/>
        <v>4.3700000000000003E-2</v>
      </c>
      <c r="AH125" s="202">
        <f t="shared" si="25"/>
        <v>4.3700000000000003E-2</v>
      </c>
      <c r="AI125" s="202">
        <f t="shared" si="25"/>
        <v>4.3700000000000003E-2</v>
      </c>
      <c r="AJ125" s="202">
        <f t="shared" si="25"/>
        <v>4.3700000000000003E-2</v>
      </c>
      <c r="AK125" s="202">
        <f t="shared" si="25"/>
        <v>4.5700000000000005E-2</v>
      </c>
      <c r="AL125" s="202">
        <f t="shared" si="25"/>
        <v>4.5700000000000005E-2</v>
      </c>
      <c r="AM125" s="202">
        <f t="shared" si="25"/>
        <v>4.5700000000000005E-2</v>
      </c>
      <c r="AN125" s="202">
        <f t="shared" si="25"/>
        <v>4.5700000000000005E-2</v>
      </c>
      <c r="AO125" s="202">
        <f t="shared" si="25"/>
        <v>4.5700000000000005E-2</v>
      </c>
      <c r="AP125" s="202">
        <f t="shared" si="25"/>
        <v>2.1700000000000001E-2</v>
      </c>
      <c r="AQ125" s="202">
        <f t="shared" si="25"/>
        <v>2.1700000000000001E-2</v>
      </c>
      <c r="AR125" s="202">
        <f t="shared" si="25"/>
        <v>2.1700000000000001E-2</v>
      </c>
      <c r="AS125" s="202">
        <f t="shared" si="25"/>
        <v>2.1700000000000001E-2</v>
      </c>
      <c r="AT125" s="202">
        <f t="shared" si="25"/>
        <v>2.1700000000000001E-2</v>
      </c>
      <c r="AU125" s="202">
        <f t="shared" si="25"/>
        <v>2.1700000000000001E-2</v>
      </c>
      <c r="AV125" s="202">
        <f t="shared" si="25"/>
        <v>2.1700000000000001E-2</v>
      </c>
      <c r="AW125" s="202">
        <f t="shared" si="25"/>
        <v>2.1700000000000001E-2</v>
      </c>
      <c r="AX125" s="202">
        <f t="shared" si="25"/>
        <v>0</v>
      </c>
    </row>
    <row r="126" spans="1:50" ht="15" customHeight="1">
      <c r="A126" s="198"/>
      <c r="B126" s="128"/>
      <c r="C126" s="128"/>
      <c r="D126" s="122"/>
      <c r="E126" s="16" t="s">
        <v>357</v>
      </c>
      <c r="F126" s="16"/>
      <c r="G126" s="16" t="s">
        <v>188</v>
      </c>
      <c r="H126" s="16"/>
      <c r="I126" s="193"/>
      <c r="J126" s="193"/>
      <c r="K126" s="202">
        <f t="shared" ref="K126:AX126" si="26">($I$118+K120)*(K$16&lt;&gt;0)</f>
        <v>0</v>
      </c>
      <c r="L126" s="202">
        <f t="shared" si="26"/>
        <v>0</v>
      </c>
      <c r="M126" s="202">
        <f t="shared" si="26"/>
        <v>0</v>
      </c>
      <c r="N126" s="202">
        <f t="shared" si="26"/>
        <v>0</v>
      </c>
      <c r="O126" s="202">
        <f t="shared" si="26"/>
        <v>0</v>
      </c>
      <c r="P126" s="202">
        <f t="shared" si="26"/>
        <v>0</v>
      </c>
      <c r="Q126" s="202">
        <f t="shared" si="26"/>
        <v>0</v>
      </c>
      <c r="R126" s="202">
        <f t="shared" si="26"/>
        <v>0</v>
      </c>
      <c r="S126" s="202">
        <f t="shared" si="26"/>
        <v>0</v>
      </c>
      <c r="T126" s="202">
        <f t="shared" si="26"/>
        <v>0</v>
      </c>
      <c r="U126" s="202">
        <f t="shared" si="26"/>
        <v>0</v>
      </c>
      <c r="V126" s="202">
        <f t="shared" si="26"/>
        <v>0</v>
      </c>
      <c r="W126" s="202">
        <f t="shared" si="26"/>
        <v>0</v>
      </c>
      <c r="X126" s="202">
        <f t="shared" si="26"/>
        <v>0</v>
      </c>
      <c r="Y126" s="202">
        <f t="shared" si="26"/>
        <v>0</v>
      </c>
      <c r="Z126" s="202">
        <f t="shared" si="26"/>
        <v>3.9699999999999999E-2</v>
      </c>
      <c r="AA126" s="202">
        <f t="shared" si="26"/>
        <v>4.1700000000000001E-2</v>
      </c>
      <c r="AB126" s="202">
        <f t="shared" si="26"/>
        <v>4.1700000000000001E-2</v>
      </c>
      <c r="AC126" s="202">
        <f t="shared" si="26"/>
        <v>4.1700000000000001E-2</v>
      </c>
      <c r="AD126" s="202">
        <f t="shared" si="26"/>
        <v>4.1700000000000001E-2</v>
      </c>
      <c r="AE126" s="202">
        <f t="shared" si="26"/>
        <v>4.1700000000000001E-2</v>
      </c>
      <c r="AF126" s="202">
        <f t="shared" si="26"/>
        <v>4.3700000000000003E-2</v>
      </c>
      <c r="AG126" s="202">
        <f t="shared" si="26"/>
        <v>4.3700000000000003E-2</v>
      </c>
      <c r="AH126" s="202">
        <f t="shared" si="26"/>
        <v>4.3700000000000003E-2</v>
      </c>
      <c r="AI126" s="202">
        <f t="shared" si="26"/>
        <v>4.3700000000000003E-2</v>
      </c>
      <c r="AJ126" s="202">
        <f t="shared" si="26"/>
        <v>4.3700000000000003E-2</v>
      </c>
      <c r="AK126" s="202">
        <f t="shared" si="26"/>
        <v>4.5700000000000005E-2</v>
      </c>
      <c r="AL126" s="202">
        <f t="shared" si="26"/>
        <v>4.5700000000000005E-2</v>
      </c>
      <c r="AM126" s="202">
        <f t="shared" si="26"/>
        <v>4.5700000000000005E-2</v>
      </c>
      <c r="AN126" s="202">
        <f t="shared" si="26"/>
        <v>4.5700000000000005E-2</v>
      </c>
      <c r="AO126" s="202">
        <f t="shared" si="26"/>
        <v>4.5700000000000005E-2</v>
      </c>
      <c r="AP126" s="202">
        <f t="shared" si="26"/>
        <v>2.1700000000000001E-2</v>
      </c>
      <c r="AQ126" s="202">
        <f t="shared" si="26"/>
        <v>2.1700000000000001E-2</v>
      </c>
      <c r="AR126" s="202">
        <f t="shared" si="26"/>
        <v>2.1700000000000001E-2</v>
      </c>
      <c r="AS126" s="202">
        <f t="shared" si="26"/>
        <v>2.1700000000000001E-2</v>
      </c>
      <c r="AT126" s="202">
        <f t="shared" si="26"/>
        <v>2.1700000000000001E-2</v>
      </c>
      <c r="AU126" s="202">
        <f t="shared" si="26"/>
        <v>2.1700000000000001E-2</v>
      </c>
      <c r="AV126" s="202">
        <f t="shared" si="26"/>
        <v>2.1700000000000001E-2</v>
      </c>
      <c r="AW126" s="202">
        <f t="shared" si="26"/>
        <v>2.1700000000000001E-2</v>
      </c>
      <c r="AX126" s="202">
        <f t="shared" si="26"/>
        <v>0</v>
      </c>
    </row>
    <row r="127" spans="1:50" ht="15" customHeight="1">
      <c r="A127" s="198"/>
      <c r="B127" s="128"/>
      <c r="C127" s="128"/>
      <c r="D127" s="122"/>
      <c r="E127" s="16" t="s">
        <v>358</v>
      </c>
      <c r="F127" s="16"/>
      <c r="G127" s="16" t="s">
        <v>188</v>
      </c>
      <c r="H127" s="16"/>
      <c r="I127" s="193"/>
      <c r="J127" s="193"/>
      <c r="K127" s="202">
        <f t="shared" ref="K127:AX127" si="27">($I$118+K121)*(K$16&lt;&gt;0)</f>
        <v>0</v>
      </c>
      <c r="L127" s="202">
        <f t="shared" si="27"/>
        <v>0</v>
      </c>
      <c r="M127" s="202">
        <f t="shared" si="27"/>
        <v>0</v>
      </c>
      <c r="N127" s="202">
        <f t="shared" si="27"/>
        <v>0</v>
      </c>
      <c r="O127" s="202">
        <f t="shared" si="27"/>
        <v>0</v>
      </c>
      <c r="P127" s="202">
        <f t="shared" si="27"/>
        <v>0</v>
      </c>
      <c r="Q127" s="202">
        <f t="shared" si="27"/>
        <v>0</v>
      </c>
      <c r="R127" s="202">
        <f t="shared" si="27"/>
        <v>0</v>
      </c>
      <c r="S127" s="202">
        <f t="shared" si="27"/>
        <v>0</v>
      </c>
      <c r="T127" s="202">
        <f t="shared" si="27"/>
        <v>0</v>
      </c>
      <c r="U127" s="202">
        <f t="shared" si="27"/>
        <v>0</v>
      </c>
      <c r="V127" s="202">
        <f t="shared" si="27"/>
        <v>0</v>
      </c>
      <c r="W127" s="202">
        <f t="shared" si="27"/>
        <v>0</v>
      </c>
      <c r="X127" s="202">
        <f t="shared" si="27"/>
        <v>0</v>
      </c>
      <c r="Y127" s="202">
        <f t="shared" si="27"/>
        <v>0</v>
      </c>
      <c r="Z127" s="202">
        <f t="shared" si="27"/>
        <v>3.9699999999999999E-2</v>
      </c>
      <c r="AA127" s="202">
        <f t="shared" si="27"/>
        <v>4.1700000000000001E-2</v>
      </c>
      <c r="AB127" s="202">
        <f t="shared" si="27"/>
        <v>4.1700000000000001E-2</v>
      </c>
      <c r="AC127" s="202">
        <f t="shared" si="27"/>
        <v>4.1700000000000001E-2</v>
      </c>
      <c r="AD127" s="202">
        <f t="shared" si="27"/>
        <v>4.1700000000000001E-2</v>
      </c>
      <c r="AE127" s="202">
        <f t="shared" si="27"/>
        <v>4.1700000000000001E-2</v>
      </c>
      <c r="AF127" s="202">
        <f t="shared" si="27"/>
        <v>4.3700000000000003E-2</v>
      </c>
      <c r="AG127" s="202">
        <f t="shared" si="27"/>
        <v>4.3700000000000003E-2</v>
      </c>
      <c r="AH127" s="202">
        <f t="shared" si="27"/>
        <v>4.3700000000000003E-2</v>
      </c>
      <c r="AI127" s="202">
        <f t="shared" si="27"/>
        <v>4.3700000000000003E-2</v>
      </c>
      <c r="AJ127" s="202">
        <f t="shared" si="27"/>
        <v>4.3700000000000003E-2</v>
      </c>
      <c r="AK127" s="202">
        <f t="shared" si="27"/>
        <v>4.5700000000000005E-2</v>
      </c>
      <c r="AL127" s="202">
        <f t="shared" si="27"/>
        <v>4.5700000000000005E-2</v>
      </c>
      <c r="AM127" s="202">
        <f t="shared" si="27"/>
        <v>4.5700000000000005E-2</v>
      </c>
      <c r="AN127" s="202">
        <f t="shared" si="27"/>
        <v>4.5700000000000005E-2</v>
      </c>
      <c r="AO127" s="202">
        <f t="shared" si="27"/>
        <v>4.5700000000000005E-2</v>
      </c>
      <c r="AP127" s="202">
        <f t="shared" si="27"/>
        <v>2.1700000000000001E-2</v>
      </c>
      <c r="AQ127" s="202">
        <f t="shared" si="27"/>
        <v>2.1700000000000001E-2</v>
      </c>
      <c r="AR127" s="202">
        <f t="shared" si="27"/>
        <v>2.1700000000000001E-2</v>
      </c>
      <c r="AS127" s="202">
        <f t="shared" si="27"/>
        <v>2.1700000000000001E-2</v>
      </c>
      <c r="AT127" s="202">
        <f t="shared" si="27"/>
        <v>2.1700000000000001E-2</v>
      </c>
      <c r="AU127" s="202">
        <f t="shared" si="27"/>
        <v>2.1700000000000001E-2</v>
      </c>
      <c r="AV127" s="202">
        <f t="shared" si="27"/>
        <v>2.1700000000000001E-2</v>
      </c>
      <c r="AW127" s="202">
        <f t="shared" si="27"/>
        <v>2.1700000000000001E-2</v>
      </c>
      <c r="AX127" s="202">
        <f t="shared" si="27"/>
        <v>0</v>
      </c>
    </row>
    <row r="128" spans="1:50" ht="15" customHeight="1">
      <c r="A128" s="198"/>
      <c r="B128" s="128"/>
      <c r="C128" s="128"/>
      <c r="D128" s="122"/>
      <c r="E128" s="16" t="s">
        <v>359</v>
      </c>
      <c r="F128" s="16"/>
      <c r="G128" s="16" t="s">
        <v>188</v>
      </c>
      <c r="H128" s="16"/>
      <c r="I128" s="193"/>
      <c r="J128" s="193"/>
      <c r="K128" s="202">
        <f t="shared" ref="K128:AX128" si="28">($I$118+K122)*(K$16&lt;&gt;0)</f>
        <v>0</v>
      </c>
      <c r="L128" s="202">
        <f t="shared" si="28"/>
        <v>0</v>
      </c>
      <c r="M128" s="202">
        <f t="shared" si="28"/>
        <v>0</v>
      </c>
      <c r="N128" s="202">
        <f t="shared" si="28"/>
        <v>0</v>
      </c>
      <c r="O128" s="202">
        <f t="shared" si="28"/>
        <v>0</v>
      </c>
      <c r="P128" s="202">
        <f t="shared" si="28"/>
        <v>0</v>
      </c>
      <c r="Q128" s="202">
        <f t="shared" si="28"/>
        <v>0</v>
      </c>
      <c r="R128" s="202">
        <f t="shared" si="28"/>
        <v>0</v>
      </c>
      <c r="S128" s="202">
        <f t="shared" si="28"/>
        <v>0</v>
      </c>
      <c r="T128" s="202">
        <f t="shared" si="28"/>
        <v>0</v>
      </c>
      <c r="U128" s="202">
        <f t="shared" si="28"/>
        <v>0</v>
      </c>
      <c r="V128" s="202">
        <f t="shared" si="28"/>
        <v>0</v>
      </c>
      <c r="W128" s="202">
        <f t="shared" si="28"/>
        <v>0</v>
      </c>
      <c r="X128" s="202">
        <f t="shared" si="28"/>
        <v>0</v>
      </c>
      <c r="Y128" s="202">
        <f t="shared" si="28"/>
        <v>0</v>
      </c>
      <c r="Z128" s="202">
        <f t="shared" si="28"/>
        <v>3.9699999999999999E-2</v>
      </c>
      <c r="AA128" s="202">
        <f t="shared" si="28"/>
        <v>4.1700000000000001E-2</v>
      </c>
      <c r="AB128" s="202">
        <f t="shared" si="28"/>
        <v>4.1700000000000001E-2</v>
      </c>
      <c r="AC128" s="202">
        <f t="shared" si="28"/>
        <v>4.1700000000000001E-2</v>
      </c>
      <c r="AD128" s="202">
        <f t="shared" si="28"/>
        <v>4.1700000000000001E-2</v>
      </c>
      <c r="AE128" s="202">
        <f t="shared" si="28"/>
        <v>4.1700000000000001E-2</v>
      </c>
      <c r="AF128" s="202">
        <f t="shared" si="28"/>
        <v>4.3700000000000003E-2</v>
      </c>
      <c r="AG128" s="202">
        <f t="shared" si="28"/>
        <v>4.3700000000000003E-2</v>
      </c>
      <c r="AH128" s="202">
        <f t="shared" si="28"/>
        <v>4.3700000000000003E-2</v>
      </c>
      <c r="AI128" s="202">
        <f t="shared" si="28"/>
        <v>4.3700000000000003E-2</v>
      </c>
      <c r="AJ128" s="202">
        <f t="shared" si="28"/>
        <v>4.3700000000000003E-2</v>
      </c>
      <c r="AK128" s="202">
        <f t="shared" si="28"/>
        <v>4.5700000000000005E-2</v>
      </c>
      <c r="AL128" s="202">
        <f t="shared" si="28"/>
        <v>4.5700000000000005E-2</v>
      </c>
      <c r="AM128" s="202">
        <f t="shared" si="28"/>
        <v>4.5700000000000005E-2</v>
      </c>
      <c r="AN128" s="202">
        <f t="shared" si="28"/>
        <v>4.5700000000000005E-2</v>
      </c>
      <c r="AO128" s="202">
        <f t="shared" si="28"/>
        <v>4.5700000000000005E-2</v>
      </c>
      <c r="AP128" s="202">
        <f t="shared" si="28"/>
        <v>2.1700000000000001E-2</v>
      </c>
      <c r="AQ128" s="202">
        <f t="shared" si="28"/>
        <v>2.1700000000000001E-2</v>
      </c>
      <c r="AR128" s="202">
        <f t="shared" si="28"/>
        <v>2.1700000000000001E-2</v>
      </c>
      <c r="AS128" s="202">
        <f t="shared" si="28"/>
        <v>2.1700000000000001E-2</v>
      </c>
      <c r="AT128" s="202">
        <f t="shared" si="28"/>
        <v>2.1700000000000001E-2</v>
      </c>
      <c r="AU128" s="202">
        <f t="shared" si="28"/>
        <v>2.1700000000000001E-2</v>
      </c>
      <c r="AV128" s="202">
        <f t="shared" si="28"/>
        <v>2.1700000000000001E-2</v>
      </c>
      <c r="AW128" s="202">
        <f t="shared" si="28"/>
        <v>2.1700000000000001E-2</v>
      </c>
      <c r="AX128" s="202">
        <f t="shared" si="28"/>
        <v>0</v>
      </c>
    </row>
    <row r="129" spans="1:50" ht="15" customHeight="1">
      <c r="A129" s="198"/>
      <c r="B129" s="128"/>
      <c r="C129" s="128"/>
      <c r="D129" s="122"/>
      <c r="E129" s="16" t="s">
        <v>361</v>
      </c>
      <c r="F129" s="16"/>
      <c r="G129" s="16" t="s">
        <v>188</v>
      </c>
      <c r="H129" s="16"/>
      <c r="I129" s="193"/>
      <c r="J129" s="193"/>
      <c r="K129" s="202">
        <f t="shared" ref="K129:AX129" si="29">($I$118+K123)*(K$16&lt;&gt;0)</f>
        <v>0</v>
      </c>
      <c r="L129" s="202">
        <f t="shared" si="29"/>
        <v>0</v>
      </c>
      <c r="M129" s="202">
        <f t="shared" si="29"/>
        <v>0</v>
      </c>
      <c r="N129" s="202">
        <f t="shared" si="29"/>
        <v>0</v>
      </c>
      <c r="O129" s="202">
        <f t="shared" si="29"/>
        <v>0</v>
      </c>
      <c r="P129" s="202">
        <f t="shared" si="29"/>
        <v>0</v>
      </c>
      <c r="Q129" s="202">
        <f t="shared" si="29"/>
        <v>0</v>
      </c>
      <c r="R129" s="202">
        <f t="shared" si="29"/>
        <v>0</v>
      </c>
      <c r="S129" s="202">
        <f t="shared" si="29"/>
        <v>0</v>
      </c>
      <c r="T129" s="202">
        <f t="shared" si="29"/>
        <v>0</v>
      </c>
      <c r="U129" s="202">
        <f t="shared" si="29"/>
        <v>0</v>
      </c>
      <c r="V129" s="202">
        <f t="shared" si="29"/>
        <v>0</v>
      </c>
      <c r="W129" s="202">
        <f t="shared" si="29"/>
        <v>0</v>
      </c>
      <c r="X129" s="202">
        <f t="shared" si="29"/>
        <v>0</v>
      </c>
      <c r="Y129" s="202">
        <f t="shared" si="29"/>
        <v>0</v>
      </c>
      <c r="Z129" s="202">
        <f t="shared" si="29"/>
        <v>3.4700000000000002E-2</v>
      </c>
      <c r="AA129" s="202">
        <f t="shared" si="29"/>
        <v>3.4700000000000002E-2</v>
      </c>
      <c r="AB129" s="202">
        <f t="shared" si="29"/>
        <v>3.4700000000000002E-2</v>
      </c>
      <c r="AC129" s="202">
        <f t="shared" si="29"/>
        <v>3.4700000000000002E-2</v>
      </c>
      <c r="AD129" s="202">
        <f t="shared" si="29"/>
        <v>3.4700000000000002E-2</v>
      </c>
      <c r="AE129" s="202">
        <f t="shared" si="29"/>
        <v>3.4700000000000002E-2</v>
      </c>
      <c r="AF129" s="202">
        <f t="shared" si="29"/>
        <v>3.4700000000000002E-2</v>
      </c>
      <c r="AG129" s="202">
        <f t="shared" si="29"/>
        <v>3.4700000000000002E-2</v>
      </c>
      <c r="AH129" s="202">
        <f t="shared" si="29"/>
        <v>3.4700000000000002E-2</v>
      </c>
      <c r="AI129" s="202">
        <f t="shared" si="29"/>
        <v>3.4700000000000002E-2</v>
      </c>
      <c r="AJ129" s="202">
        <f t="shared" si="29"/>
        <v>3.4700000000000002E-2</v>
      </c>
      <c r="AK129" s="202">
        <f t="shared" si="29"/>
        <v>3.4700000000000002E-2</v>
      </c>
      <c r="AL129" s="202">
        <f t="shared" si="29"/>
        <v>3.4700000000000002E-2</v>
      </c>
      <c r="AM129" s="202">
        <f t="shared" si="29"/>
        <v>3.4700000000000002E-2</v>
      </c>
      <c r="AN129" s="202">
        <f t="shared" si="29"/>
        <v>3.4700000000000002E-2</v>
      </c>
      <c r="AO129" s="202">
        <f t="shared" si="29"/>
        <v>3.4700000000000002E-2</v>
      </c>
      <c r="AP129" s="202">
        <f t="shared" si="29"/>
        <v>2.1700000000000001E-2</v>
      </c>
      <c r="AQ129" s="202">
        <f t="shared" si="29"/>
        <v>2.1700000000000001E-2</v>
      </c>
      <c r="AR129" s="202">
        <f t="shared" si="29"/>
        <v>2.1700000000000001E-2</v>
      </c>
      <c r="AS129" s="202">
        <f t="shared" si="29"/>
        <v>2.1700000000000001E-2</v>
      </c>
      <c r="AT129" s="202">
        <f t="shared" si="29"/>
        <v>2.1700000000000001E-2</v>
      </c>
      <c r="AU129" s="202">
        <f t="shared" si="29"/>
        <v>2.1700000000000001E-2</v>
      </c>
      <c r="AV129" s="202">
        <f t="shared" si="29"/>
        <v>2.1700000000000001E-2</v>
      </c>
      <c r="AW129" s="202">
        <f t="shared" si="29"/>
        <v>2.1700000000000001E-2</v>
      </c>
      <c r="AX129" s="202">
        <f t="shared" si="29"/>
        <v>0</v>
      </c>
    </row>
    <row r="130" spans="1:50" ht="15" customHeight="1">
      <c r="A130" s="198"/>
      <c r="B130" s="128"/>
      <c r="C130" s="128"/>
      <c r="D130" s="122"/>
      <c r="E130" s="203"/>
      <c r="F130" s="16"/>
      <c r="G130" s="16"/>
      <c r="H130" s="16"/>
      <c r="I130" s="193"/>
      <c r="J130" s="193"/>
      <c r="K130" s="202"/>
      <c r="L130" s="202"/>
      <c r="M130" s="202"/>
      <c r="N130" s="202"/>
      <c r="O130" s="202"/>
      <c r="P130" s="202"/>
      <c r="Q130" s="202"/>
      <c r="R130" s="202"/>
      <c r="S130" s="202"/>
      <c r="T130" s="202"/>
      <c r="U130" s="202"/>
      <c r="V130" s="202"/>
      <c r="W130" s="202"/>
      <c r="X130" s="202"/>
      <c r="Y130" s="202"/>
      <c r="Z130" s="202"/>
      <c r="AA130" s="202"/>
      <c r="AB130" s="202"/>
      <c r="AC130" s="202"/>
      <c r="AD130" s="202"/>
      <c r="AE130" s="202"/>
      <c r="AF130" s="202"/>
      <c r="AG130" s="202"/>
      <c r="AH130" s="202"/>
      <c r="AI130" s="202"/>
      <c r="AJ130" s="202"/>
      <c r="AK130" s="202"/>
      <c r="AL130" s="202"/>
      <c r="AM130" s="202"/>
      <c r="AN130" s="202"/>
      <c r="AO130" s="202"/>
      <c r="AP130" s="202"/>
      <c r="AQ130" s="202"/>
      <c r="AR130" s="202"/>
      <c r="AS130" s="202"/>
      <c r="AT130" s="202"/>
      <c r="AU130" s="202"/>
      <c r="AV130" s="202"/>
      <c r="AW130" s="202"/>
      <c r="AX130" s="202"/>
    </row>
    <row r="131" spans="1:50" ht="15" customHeight="1">
      <c r="A131" s="198"/>
      <c r="B131" s="128"/>
      <c r="C131" s="128"/>
      <c r="D131" s="122"/>
      <c r="E131" s="16" t="s">
        <v>362</v>
      </c>
      <c r="F131" s="26"/>
      <c r="G131" s="102" t="s">
        <v>194</v>
      </c>
      <c r="H131" s="16"/>
      <c r="I131" s="194">
        <f>Inputs!I95</f>
        <v>0.35</v>
      </c>
      <c r="J131" s="193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202"/>
      <c r="AE131" s="202"/>
      <c r="AF131" s="202"/>
      <c r="AG131" s="202"/>
      <c r="AH131" s="202"/>
      <c r="AI131" s="202"/>
      <c r="AJ131" s="202"/>
      <c r="AK131" s="202"/>
      <c r="AL131" s="202"/>
      <c r="AM131" s="202"/>
      <c r="AN131" s="202"/>
      <c r="AO131" s="202"/>
      <c r="AP131" s="202"/>
      <c r="AQ131" s="202"/>
      <c r="AR131" s="202"/>
      <c r="AS131" s="202"/>
      <c r="AT131" s="202"/>
      <c r="AU131" s="202"/>
      <c r="AV131" s="202"/>
      <c r="AW131" s="202"/>
      <c r="AX131" s="202"/>
    </row>
    <row r="132" spans="1:50" ht="15" customHeight="1">
      <c r="A132" s="198"/>
      <c r="B132" s="128"/>
      <c r="C132" s="128"/>
      <c r="D132" s="122"/>
      <c r="E132" s="16" t="s">
        <v>363</v>
      </c>
      <c r="F132" s="26"/>
      <c r="G132" s="102" t="s">
        <v>194</v>
      </c>
      <c r="H132" s="16"/>
      <c r="I132" s="194">
        <f>Inputs!I103</f>
        <v>0.35</v>
      </c>
      <c r="J132" s="193"/>
      <c r="K132" s="202"/>
      <c r="L132" s="202"/>
      <c r="M132" s="202"/>
      <c r="N132" s="202"/>
      <c r="O132" s="202"/>
      <c r="P132" s="202"/>
      <c r="Q132" s="202"/>
      <c r="R132" s="202"/>
      <c r="S132" s="202"/>
      <c r="T132" s="202"/>
      <c r="U132" s="202"/>
      <c r="V132" s="202"/>
      <c r="W132" s="202"/>
      <c r="X132" s="202"/>
      <c r="Y132" s="202"/>
      <c r="Z132" s="202"/>
      <c r="AA132" s="202"/>
      <c r="AB132" s="202"/>
      <c r="AC132" s="202"/>
      <c r="AD132" s="202"/>
      <c r="AE132" s="202"/>
      <c r="AF132" s="202"/>
      <c r="AG132" s="202"/>
      <c r="AH132" s="202"/>
      <c r="AI132" s="202"/>
      <c r="AJ132" s="202"/>
      <c r="AK132" s="202"/>
      <c r="AL132" s="202"/>
      <c r="AM132" s="202"/>
      <c r="AN132" s="202"/>
      <c r="AO132" s="202"/>
      <c r="AP132" s="202"/>
      <c r="AQ132" s="202"/>
      <c r="AR132" s="202"/>
      <c r="AS132" s="202"/>
      <c r="AT132" s="202"/>
      <c r="AU132" s="202"/>
      <c r="AV132" s="202"/>
      <c r="AW132" s="202"/>
      <c r="AX132" s="202"/>
    </row>
    <row r="133" spans="1:50" ht="15" customHeight="1">
      <c r="A133" s="198"/>
      <c r="B133" s="128"/>
      <c r="C133" s="128"/>
      <c r="D133" s="122"/>
      <c r="E133" s="16" t="s">
        <v>364</v>
      </c>
      <c r="F133" s="26"/>
      <c r="G133" s="102" t="s">
        <v>194</v>
      </c>
      <c r="H133" s="16"/>
      <c r="I133" s="194">
        <f>Inputs!I109</f>
        <v>0.35</v>
      </c>
      <c r="J133" s="193"/>
      <c r="K133" s="202"/>
      <c r="L133" s="202"/>
      <c r="M133" s="202"/>
      <c r="N133" s="202"/>
      <c r="O133" s="202"/>
      <c r="P133" s="202"/>
      <c r="Q133" s="202"/>
      <c r="R133" s="202"/>
      <c r="S133" s="202"/>
      <c r="T133" s="202"/>
      <c r="U133" s="202"/>
      <c r="V133" s="202"/>
      <c r="W133" s="202"/>
      <c r="X133" s="202"/>
      <c r="Y133" s="202"/>
      <c r="Z133" s="202"/>
      <c r="AA133" s="202"/>
      <c r="AB133" s="202"/>
      <c r="AC133" s="202"/>
      <c r="AD133" s="202"/>
      <c r="AE133" s="202"/>
      <c r="AF133" s="202"/>
      <c r="AG133" s="202"/>
      <c r="AH133" s="202"/>
      <c r="AI133" s="202"/>
      <c r="AJ133" s="202"/>
      <c r="AK133" s="202"/>
      <c r="AL133" s="202"/>
      <c r="AM133" s="202"/>
      <c r="AN133" s="202"/>
      <c r="AO133" s="202"/>
      <c r="AP133" s="202"/>
      <c r="AQ133" s="202"/>
      <c r="AR133" s="202"/>
      <c r="AS133" s="202"/>
      <c r="AT133" s="202"/>
      <c r="AU133" s="202"/>
      <c r="AV133" s="202"/>
      <c r="AW133" s="202"/>
      <c r="AX133" s="202"/>
    </row>
    <row r="134" spans="1:50" ht="15" customHeight="1">
      <c r="A134" s="198"/>
      <c r="B134" s="128"/>
      <c r="C134" s="128"/>
      <c r="D134" s="122"/>
      <c r="E134" s="16" t="s">
        <v>365</v>
      </c>
      <c r="F134" s="26"/>
      <c r="G134" s="102" t="s">
        <v>194</v>
      </c>
      <c r="H134" s="16"/>
      <c r="I134" s="194">
        <f>Inputs!I114</f>
        <v>0.35</v>
      </c>
      <c r="J134" s="193"/>
      <c r="K134" s="202"/>
      <c r="L134" s="202"/>
      <c r="M134" s="202"/>
      <c r="N134" s="202"/>
      <c r="O134" s="202"/>
      <c r="P134" s="202"/>
      <c r="Q134" s="202"/>
      <c r="R134" s="202"/>
      <c r="S134" s="202"/>
      <c r="T134" s="202"/>
      <c r="U134" s="202"/>
      <c r="V134" s="202"/>
      <c r="W134" s="202"/>
      <c r="X134" s="202"/>
      <c r="Y134" s="202"/>
      <c r="Z134" s="202"/>
      <c r="AA134" s="202"/>
      <c r="AB134" s="202"/>
      <c r="AC134" s="202"/>
      <c r="AD134" s="202"/>
      <c r="AE134" s="202"/>
      <c r="AF134" s="202"/>
      <c r="AG134" s="202"/>
      <c r="AH134" s="202"/>
      <c r="AI134" s="202"/>
      <c r="AJ134" s="202"/>
      <c r="AK134" s="202"/>
      <c r="AL134" s="202"/>
      <c r="AM134" s="202"/>
      <c r="AN134" s="202"/>
      <c r="AO134" s="202"/>
      <c r="AP134" s="202"/>
      <c r="AQ134" s="202"/>
      <c r="AR134" s="202"/>
      <c r="AS134" s="202"/>
      <c r="AT134" s="202"/>
      <c r="AU134" s="202"/>
      <c r="AV134" s="202"/>
      <c r="AW134" s="202"/>
      <c r="AX134" s="202"/>
    </row>
    <row r="135" spans="1:50" ht="15" customHeight="1">
      <c r="A135" s="198"/>
      <c r="B135" s="128"/>
      <c r="C135" s="128"/>
      <c r="D135" s="122"/>
      <c r="E135" s="16" t="s">
        <v>367</v>
      </c>
      <c r="F135" s="26"/>
      <c r="G135" s="102" t="s">
        <v>194</v>
      </c>
      <c r="H135" s="16"/>
      <c r="I135" s="194">
        <f>Inputs!I125</f>
        <v>0</v>
      </c>
      <c r="J135" s="193"/>
      <c r="K135" s="202"/>
      <c r="L135" s="202"/>
      <c r="M135" s="202"/>
      <c r="N135" s="202"/>
      <c r="O135" s="202"/>
      <c r="P135" s="202"/>
      <c r="Q135" s="202"/>
      <c r="R135" s="202"/>
      <c r="S135" s="202"/>
      <c r="T135" s="202"/>
      <c r="U135" s="202"/>
      <c r="V135" s="202"/>
      <c r="W135" s="202"/>
      <c r="X135" s="202"/>
      <c r="Y135" s="202"/>
      <c r="Z135" s="202"/>
      <c r="AA135" s="202"/>
      <c r="AB135" s="202"/>
      <c r="AC135" s="202"/>
      <c r="AD135" s="202"/>
      <c r="AE135" s="202"/>
      <c r="AF135" s="202"/>
      <c r="AG135" s="202"/>
      <c r="AH135" s="202"/>
      <c r="AI135" s="202"/>
      <c r="AJ135" s="202"/>
      <c r="AK135" s="202"/>
      <c r="AL135" s="202"/>
      <c r="AM135" s="202"/>
      <c r="AN135" s="202"/>
      <c r="AO135" s="202"/>
      <c r="AP135" s="202"/>
      <c r="AQ135" s="202"/>
      <c r="AR135" s="202"/>
      <c r="AS135" s="202"/>
      <c r="AT135" s="202"/>
      <c r="AU135" s="202"/>
      <c r="AV135" s="202"/>
      <c r="AW135" s="202"/>
      <c r="AX135" s="202"/>
    </row>
    <row r="136" spans="1:50" ht="15" customHeight="1">
      <c r="A136" s="198"/>
      <c r="B136" s="128"/>
      <c r="C136" s="128"/>
      <c r="D136" s="122"/>
      <c r="E136" s="203"/>
      <c r="F136" s="16"/>
      <c r="G136" s="16"/>
      <c r="H136" s="16"/>
      <c r="I136" s="193"/>
      <c r="J136" s="193"/>
      <c r="K136" s="202"/>
      <c r="L136" s="202"/>
      <c r="M136" s="202"/>
      <c r="N136" s="202"/>
      <c r="O136" s="202"/>
      <c r="P136" s="202"/>
      <c r="Q136" s="202"/>
      <c r="R136" s="202"/>
      <c r="S136" s="202"/>
      <c r="T136" s="202"/>
      <c r="U136" s="202"/>
      <c r="V136" s="202"/>
      <c r="W136" s="202"/>
      <c r="X136" s="202"/>
      <c r="Y136" s="202"/>
      <c r="Z136" s="202"/>
      <c r="AA136" s="202"/>
      <c r="AB136" s="202"/>
      <c r="AC136" s="202"/>
      <c r="AD136" s="202"/>
      <c r="AE136" s="202"/>
      <c r="AF136" s="202"/>
      <c r="AG136" s="202"/>
      <c r="AH136" s="202"/>
      <c r="AI136" s="202"/>
      <c r="AJ136" s="202"/>
      <c r="AK136" s="202"/>
      <c r="AL136" s="202"/>
      <c r="AM136" s="202"/>
      <c r="AN136" s="202"/>
      <c r="AO136" s="202"/>
      <c r="AP136" s="202"/>
      <c r="AQ136" s="202"/>
      <c r="AR136" s="202"/>
      <c r="AS136" s="202"/>
      <c r="AT136" s="202"/>
      <c r="AU136" s="202"/>
      <c r="AV136" s="202"/>
      <c r="AW136" s="202"/>
      <c r="AX136" s="202"/>
    </row>
    <row r="137" spans="1:50" ht="15" customHeight="1">
      <c r="A137" s="198"/>
      <c r="B137" s="128"/>
      <c r="C137" s="128"/>
      <c r="D137" s="122"/>
      <c r="E137" s="26" t="s">
        <v>370</v>
      </c>
      <c r="F137" s="26"/>
      <c r="G137" s="13" t="str">
        <f>CONCATENATE(Inputs!$I$9,"m nominal prices")</f>
        <v>£m nominal prices</v>
      </c>
      <c r="H137" s="16"/>
      <c r="I137" s="193"/>
      <c r="J137" s="193"/>
      <c r="K137" s="26">
        <f t="shared" ref="K137:AX137" si="30">SUM(K63:K64)*K125</f>
        <v>0</v>
      </c>
      <c r="L137" s="26">
        <f t="shared" si="30"/>
        <v>0</v>
      </c>
      <c r="M137" s="26">
        <f t="shared" si="30"/>
        <v>0</v>
      </c>
      <c r="N137" s="26">
        <f t="shared" si="30"/>
        <v>0</v>
      </c>
      <c r="O137" s="26">
        <f t="shared" si="30"/>
        <v>0</v>
      </c>
      <c r="P137" s="26">
        <f t="shared" si="30"/>
        <v>0</v>
      </c>
      <c r="Q137" s="26">
        <f t="shared" si="30"/>
        <v>0</v>
      </c>
      <c r="R137" s="26">
        <f t="shared" si="30"/>
        <v>0</v>
      </c>
      <c r="S137" s="26">
        <f t="shared" si="30"/>
        <v>0</v>
      </c>
      <c r="T137" s="26">
        <f t="shared" si="30"/>
        <v>0</v>
      </c>
      <c r="U137" s="26">
        <f t="shared" si="30"/>
        <v>0</v>
      </c>
      <c r="V137" s="26">
        <f t="shared" si="30"/>
        <v>0</v>
      </c>
      <c r="W137" s="26">
        <f t="shared" si="30"/>
        <v>0</v>
      </c>
      <c r="X137" s="26">
        <f t="shared" si="30"/>
        <v>0</v>
      </c>
      <c r="Y137" s="26">
        <f t="shared" si="30"/>
        <v>0</v>
      </c>
      <c r="Z137" s="26">
        <f t="shared" si="30"/>
        <v>52.459693704433967</v>
      </c>
      <c r="AA137" s="26">
        <f t="shared" si="30"/>
        <v>52.875745638283078</v>
      </c>
      <c r="AB137" s="26">
        <f t="shared" si="30"/>
        <v>50.600482755485658</v>
      </c>
      <c r="AC137" s="26">
        <f t="shared" si="30"/>
        <v>48.707601091386827</v>
      </c>
      <c r="AD137" s="26">
        <f t="shared" si="30"/>
        <v>46.093065517107497</v>
      </c>
      <c r="AE137" s="26">
        <f t="shared" si="30"/>
        <v>43.208022682714294</v>
      </c>
      <c r="AF137" s="26">
        <f t="shared" si="30"/>
        <v>42.017919769196823</v>
      </c>
      <c r="AG137" s="26">
        <f t="shared" si="30"/>
        <v>38.594876670318506</v>
      </c>
      <c r="AH137" s="26">
        <f t="shared" si="30"/>
        <v>34.912857792422905</v>
      </c>
      <c r="AI137" s="26">
        <f t="shared" si="30"/>
        <v>30.956913400742668</v>
      </c>
      <c r="AJ137" s="26">
        <f t="shared" si="30"/>
        <v>26.714173557351589</v>
      </c>
      <c r="AK137" s="26">
        <f t="shared" si="30"/>
        <v>26.872062645517918</v>
      </c>
      <c r="AL137" s="26">
        <f t="shared" si="30"/>
        <v>22.309233301292725</v>
      </c>
      <c r="AM137" s="26">
        <f t="shared" si="30"/>
        <v>17.084256660271528</v>
      </c>
      <c r="AN137" s="26">
        <f t="shared" si="30"/>
        <v>11.508971515772364</v>
      </c>
      <c r="AO137" s="26">
        <f t="shared" si="30"/>
        <v>5.5716976381988328</v>
      </c>
      <c r="AP137" s="26">
        <f t="shared" si="30"/>
        <v>-0.3523290987563435</v>
      </c>
      <c r="AQ137" s="26">
        <f t="shared" si="30"/>
        <v>-0.3523290987563435</v>
      </c>
      <c r="AR137" s="26">
        <f t="shared" si="30"/>
        <v>-0.3523290987563435</v>
      </c>
      <c r="AS137" s="26">
        <f t="shared" si="30"/>
        <v>-0.3523290987563435</v>
      </c>
      <c r="AT137" s="26">
        <f t="shared" si="30"/>
        <v>-0.3523290987563435</v>
      </c>
      <c r="AU137" s="26">
        <f t="shared" si="30"/>
        <v>-0.3523290987563435</v>
      </c>
      <c r="AV137" s="26">
        <f t="shared" si="30"/>
        <v>-0.3523290987563435</v>
      </c>
      <c r="AW137" s="26">
        <f t="shared" si="30"/>
        <v>-0.3523290987563435</v>
      </c>
      <c r="AX137" s="26">
        <f t="shared" si="30"/>
        <v>0</v>
      </c>
    </row>
    <row r="138" spans="1:50" ht="15" customHeight="1">
      <c r="A138" s="198"/>
      <c r="B138" s="128"/>
      <c r="C138" s="128"/>
      <c r="D138" s="122"/>
      <c r="E138" s="26" t="s">
        <v>371</v>
      </c>
      <c r="F138" s="26"/>
      <c r="G138" s="13" t="str">
        <f>CONCATENATE(Inputs!$I$9,"m nominal prices")</f>
        <v>£m nominal prices</v>
      </c>
      <c r="H138" s="16"/>
      <c r="I138" s="193"/>
      <c r="J138" s="193"/>
      <c r="K138" s="26">
        <f t="shared" ref="K138:AX138" si="31">$I$70*K127</f>
        <v>0</v>
      </c>
      <c r="L138" s="26">
        <f t="shared" si="31"/>
        <v>0</v>
      </c>
      <c r="M138" s="26">
        <f t="shared" si="31"/>
        <v>0</v>
      </c>
      <c r="N138" s="26">
        <f t="shared" si="31"/>
        <v>0</v>
      </c>
      <c r="O138" s="26">
        <f t="shared" si="31"/>
        <v>0</v>
      </c>
      <c r="P138" s="26">
        <f t="shared" si="31"/>
        <v>0</v>
      </c>
      <c r="Q138" s="26">
        <f t="shared" si="31"/>
        <v>0</v>
      </c>
      <c r="R138" s="26">
        <f t="shared" si="31"/>
        <v>0</v>
      </c>
      <c r="S138" s="26">
        <f t="shared" si="31"/>
        <v>0</v>
      </c>
      <c r="T138" s="26">
        <f t="shared" si="31"/>
        <v>0</v>
      </c>
      <c r="U138" s="26">
        <f t="shared" si="31"/>
        <v>0</v>
      </c>
      <c r="V138" s="26">
        <f t="shared" si="31"/>
        <v>0</v>
      </c>
      <c r="W138" s="26">
        <f t="shared" si="31"/>
        <v>0</v>
      </c>
      <c r="X138" s="26">
        <f t="shared" si="31"/>
        <v>0</v>
      </c>
      <c r="Y138" s="26">
        <f t="shared" si="31"/>
        <v>0</v>
      </c>
      <c r="Z138" s="26">
        <f t="shared" si="31"/>
        <v>0.19850000000000001</v>
      </c>
      <c r="AA138" s="26">
        <f t="shared" si="31"/>
        <v>0.20850000000000002</v>
      </c>
      <c r="AB138" s="26">
        <f t="shared" si="31"/>
        <v>0.20850000000000002</v>
      </c>
      <c r="AC138" s="26">
        <f t="shared" si="31"/>
        <v>0.20850000000000002</v>
      </c>
      <c r="AD138" s="26">
        <f t="shared" si="31"/>
        <v>0.20850000000000002</v>
      </c>
      <c r="AE138" s="26">
        <f t="shared" si="31"/>
        <v>0.20850000000000002</v>
      </c>
      <c r="AF138" s="26">
        <f t="shared" si="31"/>
        <v>0.21850000000000003</v>
      </c>
      <c r="AG138" s="26">
        <f t="shared" si="31"/>
        <v>0.21850000000000003</v>
      </c>
      <c r="AH138" s="26">
        <f t="shared" si="31"/>
        <v>0.21850000000000003</v>
      </c>
      <c r="AI138" s="26">
        <f t="shared" si="31"/>
        <v>0.21850000000000003</v>
      </c>
      <c r="AJ138" s="26">
        <f t="shared" si="31"/>
        <v>0.21850000000000003</v>
      </c>
      <c r="AK138" s="26">
        <f t="shared" si="31"/>
        <v>0.22850000000000004</v>
      </c>
      <c r="AL138" s="26">
        <f t="shared" si="31"/>
        <v>0.22850000000000004</v>
      </c>
      <c r="AM138" s="26">
        <f t="shared" si="31"/>
        <v>0.22850000000000004</v>
      </c>
      <c r="AN138" s="26">
        <f t="shared" si="31"/>
        <v>0.22850000000000004</v>
      </c>
      <c r="AO138" s="26">
        <f t="shared" si="31"/>
        <v>0.22850000000000004</v>
      </c>
      <c r="AP138" s="26">
        <f t="shared" si="31"/>
        <v>0.1085</v>
      </c>
      <c r="AQ138" s="26">
        <f t="shared" si="31"/>
        <v>0.1085</v>
      </c>
      <c r="AR138" s="26">
        <f t="shared" si="31"/>
        <v>0.1085</v>
      </c>
      <c r="AS138" s="26">
        <f t="shared" si="31"/>
        <v>0.1085</v>
      </c>
      <c r="AT138" s="26">
        <f t="shared" si="31"/>
        <v>0.1085</v>
      </c>
      <c r="AU138" s="26">
        <f t="shared" si="31"/>
        <v>0.1085</v>
      </c>
      <c r="AV138" s="26">
        <f t="shared" si="31"/>
        <v>0.1085</v>
      </c>
      <c r="AW138" s="26">
        <f t="shared" si="31"/>
        <v>0.1085</v>
      </c>
      <c r="AX138" s="26">
        <f t="shared" si="31"/>
        <v>0</v>
      </c>
    </row>
    <row r="139" spans="1:50" ht="15" customHeight="1">
      <c r="A139" s="198"/>
      <c r="B139" s="128"/>
      <c r="C139" s="128"/>
      <c r="D139" s="122"/>
      <c r="E139" s="26" t="s">
        <v>373</v>
      </c>
      <c r="F139" s="26"/>
      <c r="G139" s="13" t="str">
        <f>CONCATENATE(Inputs!$I$9,"m nominal prices")</f>
        <v>£m nominal prices</v>
      </c>
      <c r="H139" s="16"/>
      <c r="I139" s="193"/>
      <c r="J139" s="193"/>
      <c r="K139" s="26">
        <f t="shared" ref="K139:AX139" si="32">($I$68*(K126-$I$118)*$I$132+($I$69-$I$70)*(K127-$I$118)*$I$133+$I$74*(K129-$I$118)*$I$135)*(K$16&lt;&gt;0)</f>
        <v>0</v>
      </c>
      <c r="L139" s="26">
        <f t="shared" si="32"/>
        <v>0</v>
      </c>
      <c r="M139" s="26">
        <f t="shared" si="32"/>
        <v>0</v>
      </c>
      <c r="N139" s="26">
        <f t="shared" si="32"/>
        <v>0</v>
      </c>
      <c r="O139" s="26">
        <f t="shared" si="32"/>
        <v>0</v>
      </c>
      <c r="P139" s="26">
        <f t="shared" si="32"/>
        <v>0</v>
      </c>
      <c r="Q139" s="26">
        <f t="shared" si="32"/>
        <v>0</v>
      </c>
      <c r="R139" s="26">
        <f t="shared" si="32"/>
        <v>0</v>
      </c>
      <c r="S139" s="26">
        <f t="shared" si="32"/>
        <v>0</v>
      </c>
      <c r="T139" s="26">
        <f t="shared" si="32"/>
        <v>0</v>
      </c>
      <c r="U139" s="26">
        <f t="shared" si="32"/>
        <v>0</v>
      </c>
      <c r="V139" s="26">
        <f t="shared" si="32"/>
        <v>0</v>
      </c>
      <c r="W139" s="26">
        <f t="shared" si="32"/>
        <v>0</v>
      </c>
      <c r="X139" s="26">
        <f t="shared" si="32"/>
        <v>0</v>
      </c>
      <c r="Y139" s="26">
        <f t="shared" si="32"/>
        <v>0</v>
      </c>
      <c r="Z139" s="26">
        <f t="shared" si="32"/>
        <v>0.74339999999999984</v>
      </c>
      <c r="AA139" s="26">
        <f t="shared" si="32"/>
        <v>0.82600000000000007</v>
      </c>
      <c r="AB139" s="26">
        <f t="shared" si="32"/>
        <v>0.82600000000000007</v>
      </c>
      <c r="AC139" s="26">
        <f t="shared" si="32"/>
        <v>0.82600000000000007</v>
      </c>
      <c r="AD139" s="26">
        <f t="shared" si="32"/>
        <v>0.82600000000000007</v>
      </c>
      <c r="AE139" s="26">
        <f t="shared" si="32"/>
        <v>0.82600000000000007</v>
      </c>
      <c r="AF139" s="26">
        <f t="shared" si="32"/>
        <v>0.90860000000000007</v>
      </c>
      <c r="AG139" s="26">
        <f t="shared" si="32"/>
        <v>0.90860000000000007</v>
      </c>
      <c r="AH139" s="26">
        <f t="shared" si="32"/>
        <v>0.90860000000000007</v>
      </c>
      <c r="AI139" s="26">
        <f t="shared" si="32"/>
        <v>0.90860000000000007</v>
      </c>
      <c r="AJ139" s="26">
        <f t="shared" si="32"/>
        <v>0.90860000000000007</v>
      </c>
      <c r="AK139" s="26">
        <f t="shared" si="32"/>
        <v>0.99120000000000008</v>
      </c>
      <c r="AL139" s="26">
        <f t="shared" si="32"/>
        <v>0.99120000000000008</v>
      </c>
      <c r="AM139" s="26">
        <f t="shared" si="32"/>
        <v>0.99120000000000008</v>
      </c>
      <c r="AN139" s="26">
        <f t="shared" si="32"/>
        <v>0.99120000000000008</v>
      </c>
      <c r="AO139" s="26">
        <f t="shared" si="32"/>
        <v>0.99120000000000008</v>
      </c>
      <c r="AP139" s="26">
        <f t="shared" si="32"/>
        <v>0</v>
      </c>
      <c r="AQ139" s="26">
        <f t="shared" si="32"/>
        <v>0</v>
      </c>
      <c r="AR139" s="26">
        <f t="shared" si="32"/>
        <v>0</v>
      </c>
      <c r="AS139" s="26">
        <f t="shared" si="32"/>
        <v>0</v>
      </c>
      <c r="AT139" s="26">
        <f t="shared" si="32"/>
        <v>0</v>
      </c>
      <c r="AU139" s="26">
        <f t="shared" si="32"/>
        <v>0</v>
      </c>
      <c r="AV139" s="26">
        <f t="shared" si="32"/>
        <v>0</v>
      </c>
      <c r="AW139" s="26">
        <f t="shared" si="32"/>
        <v>0</v>
      </c>
      <c r="AX139" s="26">
        <f t="shared" si="32"/>
        <v>0</v>
      </c>
    </row>
    <row r="140" spans="1:50" ht="15" customHeight="1">
      <c r="A140" s="125"/>
      <c r="B140" s="26"/>
      <c r="C140" s="26"/>
      <c r="D140" s="26"/>
      <c r="E140" s="102" t="s">
        <v>374</v>
      </c>
      <c r="F140" s="26"/>
      <c r="G140" s="13" t="str">
        <f>CONCATENATE(Inputs!$I$9,"m nominal prices")</f>
        <v>£m nominal prices</v>
      </c>
      <c r="H140" s="26"/>
      <c r="I140" s="107"/>
      <c r="J140" s="107"/>
      <c r="K140" s="195">
        <f t="shared" ref="K140:AX140" si="33">SUM(K137:K139)</f>
        <v>0</v>
      </c>
      <c r="L140" s="195">
        <f t="shared" si="33"/>
        <v>0</v>
      </c>
      <c r="M140" s="195">
        <f t="shared" si="33"/>
        <v>0</v>
      </c>
      <c r="N140" s="195">
        <f t="shared" si="33"/>
        <v>0</v>
      </c>
      <c r="O140" s="195">
        <f t="shared" si="33"/>
        <v>0</v>
      </c>
      <c r="P140" s="195">
        <f t="shared" si="33"/>
        <v>0</v>
      </c>
      <c r="Q140" s="195">
        <f t="shared" si="33"/>
        <v>0</v>
      </c>
      <c r="R140" s="195">
        <f t="shared" si="33"/>
        <v>0</v>
      </c>
      <c r="S140" s="195">
        <f t="shared" si="33"/>
        <v>0</v>
      </c>
      <c r="T140" s="195">
        <f t="shared" si="33"/>
        <v>0</v>
      </c>
      <c r="U140" s="195">
        <f t="shared" si="33"/>
        <v>0</v>
      </c>
      <c r="V140" s="195">
        <f t="shared" si="33"/>
        <v>0</v>
      </c>
      <c r="W140" s="195">
        <f t="shared" si="33"/>
        <v>0</v>
      </c>
      <c r="X140" s="195">
        <f t="shared" si="33"/>
        <v>0</v>
      </c>
      <c r="Y140" s="195">
        <f t="shared" si="33"/>
        <v>0</v>
      </c>
      <c r="Z140" s="195">
        <f t="shared" si="33"/>
        <v>53.401593704433971</v>
      </c>
      <c r="AA140" s="195">
        <f t="shared" si="33"/>
        <v>53.910245638283079</v>
      </c>
      <c r="AB140" s="195">
        <f t="shared" si="33"/>
        <v>51.634982755485659</v>
      </c>
      <c r="AC140" s="195">
        <f t="shared" si="33"/>
        <v>49.742101091386829</v>
      </c>
      <c r="AD140" s="195">
        <f t="shared" si="33"/>
        <v>47.127565517107499</v>
      </c>
      <c r="AE140" s="195">
        <f t="shared" si="33"/>
        <v>44.242522682714295</v>
      </c>
      <c r="AF140" s="195">
        <f t="shared" si="33"/>
        <v>43.145019769196821</v>
      </c>
      <c r="AG140" s="195">
        <f t="shared" si="33"/>
        <v>39.721976670318504</v>
      </c>
      <c r="AH140" s="195">
        <f t="shared" si="33"/>
        <v>36.039957792422904</v>
      </c>
      <c r="AI140" s="195">
        <f t="shared" si="33"/>
        <v>32.08401340074267</v>
      </c>
      <c r="AJ140" s="195">
        <f t="shared" si="33"/>
        <v>27.841273557351588</v>
      </c>
      <c r="AK140" s="195">
        <f t="shared" si="33"/>
        <v>28.091762645517917</v>
      </c>
      <c r="AL140" s="195">
        <f t="shared" si="33"/>
        <v>23.528933301292724</v>
      </c>
      <c r="AM140" s="195">
        <f t="shared" si="33"/>
        <v>18.303956660271528</v>
      </c>
      <c r="AN140" s="195">
        <f t="shared" si="33"/>
        <v>12.728671515772366</v>
      </c>
      <c r="AO140" s="195">
        <f t="shared" si="33"/>
        <v>6.7913976381988332</v>
      </c>
      <c r="AP140" s="195">
        <f t="shared" si="33"/>
        <v>-0.24382909875634351</v>
      </c>
      <c r="AQ140" s="195">
        <f t="shared" si="33"/>
        <v>-0.24382909875634351</v>
      </c>
      <c r="AR140" s="195">
        <f t="shared" si="33"/>
        <v>-0.24382909875634351</v>
      </c>
      <c r="AS140" s="195">
        <f t="shared" si="33"/>
        <v>-0.24382909875634351</v>
      </c>
      <c r="AT140" s="195">
        <f t="shared" si="33"/>
        <v>-0.24382909875634351</v>
      </c>
      <c r="AU140" s="195">
        <f t="shared" si="33"/>
        <v>-0.24382909875634351</v>
      </c>
      <c r="AV140" s="195">
        <f t="shared" si="33"/>
        <v>-0.24382909875634351</v>
      </c>
      <c r="AW140" s="195">
        <f t="shared" si="33"/>
        <v>-0.24382909875634351</v>
      </c>
      <c r="AX140" s="195">
        <f t="shared" si="33"/>
        <v>0</v>
      </c>
    </row>
    <row r="141" spans="1:50" ht="15" customHeight="1">
      <c r="A141" s="27"/>
      <c r="B141" s="26"/>
      <c r="C141" s="26"/>
      <c r="D141" s="26"/>
      <c r="E141" s="26"/>
      <c r="F141" s="26"/>
      <c r="G141" s="26"/>
      <c r="H141" s="26"/>
      <c r="I141" s="107"/>
      <c r="J141" s="107"/>
      <c r="K141" s="107"/>
      <c r="L141" s="107"/>
      <c r="M141" s="107"/>
      <c r="N141" s="107"/>
      <c r="O141" s="107"/>
      <c r="P141" s="107"/>
      <c r="Q141" s="107"/>
      <c r="R141" s="107"/>
      <c r="S141" s="26"/>
      <c r="T141" s="26"/>
      <c r="U141" s="26"/>
      <c r="V141" s="26"/>
      <c r="W141" s="108"/>
      <c r="X141" s="108"/>
      <c r="Y141" s="108"/>
      <c r="Z141" s="108"/>
      <c r="AA141" s="108"/>
      <c r="AB141" s="108"/>
      <c r="AC141" s="108"/>
      <c r="AD141" s="108"/>
      <c r="AE141" s="108"/>
      <c r="AF141" s="108"/>
      <c r="AG141" s="108"/>
      <c r="AH141" s="108"/>
      <c r="AI141" s="108"/>
      <c r="AJ141" s="108"/>
      <c r="AK141" s="108"/>
      <c r="AL141" s="108"/>
      <c r="AM141" s="108"/>
      <c r="AN141" s="108"/>
      <c r="AO141" s="108"/>
      <c r="AP141" s="108"/>
      <c r="AQ141" s="108"/>
      <c r="AR141" s="108"/>
      <c r="AS141" s="108"/>
      <c r="AT141" s="108"/>
      <c r="AU141" s="108"/>
      <c r="AV141" s="108"/>
      <c r="AW141" s="108"/>
      <c r="AX141" s="108"/>
    </row>
    <row r="142" spans="1:50" ht="15" customHeight="1">
      <c r="A142" s="27"/>
      <c r="B142" s="26"/>
      <c r="C142" s="67" t="s">
        <v>380</v>
      </c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  <c r="AA142" s="67"/>
      <c r="AB142" s="67"/>
      <c r="AC142" s="67"/>
      <c r="AD142" s="67"/>
      <c r="AE142" s="67"/>
      <c r="AF142" s="67"/>
      <c r="AG142" s="67"/>
      <c r="AH142" s="67"/>
      <c r="AI142" s="67"/>
      <c r="AJ142" s="67"/>
      <c r="AK142" s="67"/>
      <c r="AL142" s="67"/>
      <c r="AM142" s="67"/>
      <c r="AN142" s="67"/>
      <c r="AO142" s="67"/>
      <c r="AP142" s="67"/>
      <c r="AQ142" s="67"/>
      <c r="AR142" s="67"/>
      <c r="AS142" s="67"/>
      <c r="AT142" s="67"/>
      <c r="AU142" s="67"/>
      <c r="AV142" s="67"/>
      <c r="AW142" s="67"/>
      <c r="AX142" s="67"/>
    </row>
    <row r="143" spans="1:50" ht="15" customHeight="1">
      <c r="A143" s="198"/>
      <c r="B143" s="128"/>
      <c r="C143" s="128"/>
      <c r="D143" s="122"/>
      <c r="E143" s="16"/>
      <c r="F143" s="16"/>
      <c r="G143" s="16"/>
      <c r="H143" s="16"/>
      <c r="I143" s="193"/>
      <c r="J143" s="193"/>
      <c r="K143" s="193"/>
      <c r="L143" s="193"/>
      <c r="M143" s="193"/>
      <c r="N143" s="193"/>
      <c r="O143" s="193"/>
      <c r="P143" s="193"/>
      <c r="Q143" s="193"/>
      <c r="R143" s="193"/>
      <c r="S143" s="193"/>
      <c r="T143" s="193"/>
      <c r="U143" s="193"/>
      <c r="V143" s="193"/>
      <c r="W143" s="193"/>
      <c r="X143" s="193"/>
      <c r="Y143" s="193"/>
      <c r="Z143" s="193"/>
      <c r="AA143" s="193"/>
      <c r="AB143" s="193"/>
      <c r="AC143" s="193"/>
      <c r="AD143" s="193"/>
      <c r="AE143" s="193"/>
      <c r="AF143" s="193"/>
      <c r="AG143" s="193"/>
      <c r="AH143" s="193"/>
      <c r="AI143" s="193"/>
      <c r="AJ143" s="193"/>
      <c r="AK143" s="193"/>
      <c r="AL143" s="193"/>
      <c r="AM143" s="193"/>
      <c r="AN143" s="193"/>
      <c r="AO143" s="193"/>
      <c r="AP143" s="193"/>
      <c r="AQ143" s="193"/>
      <c r="AR143" s="193"/>
      <c r="AS143" s="193"/>
      <c r="AT143" s="193"/>
      <c r="AU143" s="193"/>
      <c r="AV143" s="193"/>
      <c r="AW143" s="193"/>
      <c r="AX143" s="193"/>
    </row>
    <row r="144" spans="1:50" ht="15" customHeight="1">
      <c r="A144" s="198"/>
      <c r="B144" s="26"/>
      <c r="C144" s="26"/>
      <c r="D144" s="26"/>
      <c r="E144" s="26" t="s">
        <v>381</v>
      </c>
      <c r="F144" s="26"/>
      <c r="G144" s="13" t="str">
        <f>CONCATENATE(Inputs!$I$9,"m nominal prices")</f>
        <v>£m nominal prices</v>
      </c>
      <c r="H144" s="26"/>
      <c r="I144" s="66"/>
      <c r="J144" s="107"/>
      <c r="K144" s="26">
        <f t="shared" ref="K144:AX144" si="34">-K65</f>
        <v>0</v>
      </c>
      <c r="L144" s="26">
        <f t="shared" si="34"/>
        <v>0</v>
      </c>
      <c r="M144" s="26">
        <f t="shared" si="34"/>
        <v>0</v>
      </c>
      <c r="N144" s="26">
        <f t="shared" si="34"/>
        <v>0</v>
      </c>
      <c r="O144" s="26">
        <f t="shared" si="34"/>
        <v>0</v>
      </c>
      <c r="P144" s="26">
        <f t="shared" si="34"/>
        <v>0</v>
      </c>
      <c r="Q144" s="26">
        <f t="shared" si="34"/>
        <v>0</v>
      </c>
      <c r="R144" s="26">
        <f t="shared" si="34"/>
        <v>0</v>
      </c>
      <c r="S144" s="26">
        <f t="shared" si="34"/>
        <v>0</v>
      </c>
      <c r="T144" s="26">
        <f t="shared" si="34"/>
        <v>0</v>
      </c>
      <c r="U144" s="26">
        <f t="shared" si="34"/>
        <v>0</v>
      </c>
      <c r="V144" s="26">
        <f t="shared" si="34"/>
        <v>0</v>
      </c>
      <c r="W144" s="26">
        <f t="shared" si="34"/>
        <v>0</v>
      </c>
      <c r="X144" s="26">
        <f t="shared" si="34"/>
        <v>0</v>
      </c>
      <c r="Y144" s="26">
        <f t="shared" si="34"/>
        <v>0</v>
      </c>
      <c r="Z144" s="26">
        <f t="shared" si="34"/>
        <v>53.399371566761779</v>
      </c>
      <c r="AA144" s="26">
        <f t="shared" si="34"/>
        <v>54.562659059890215</v>
      </c>
      <c r="AB144" s="26">
        <f t="shared" si="34"/>
        <v>45.392845661842422</v>
      </c>
      <c r="AC144" s="26">
        <f t="shared" si="34"/>
        <v>62.698694826842548</v>
      </c>
      <c r="AD144" s="26">
        <f t="shared" si="34"/>
        <v>69.185679481851309</v>
      </c>
      <c r="AE144" s="26">
        <f t="shared" si="34"/>
        <v>74.655151956663005</v>
      </c>
      <c r="AF144" s="26">
        <f t="shared" si="34"/>
        <v>78.330505695155921</v>
      </c>
      <c r="AG144" s="26">
        <f t="shared" si="34"/>
        <v>84.256724894636164</v>
      </c>
      <c r="AH144" s="26">
        <f t="shared" si="34"/>
        <v>90.525043287877367</v>
      </c>
      <c r="AI144" s="26">
        <f t="shared" si="34"/>
        <v>97.087868269818742</v>
      </c>
      <c r="AJ144" s="26">
        <f t="shared" si="34"/>
        <v>23.298195855887716</v>
      </c>
      <c r="AK144" s="26">
        <f t="shared" si="34"/>
        <v>99.843092871448405</v>
      </c>
      <c r="AL144" s="26">
        <f t="shared" si="34"/>
        <v>114.33209280133909</v>
      </c>
      <c r="AM144" s="26">
        <f t="shared" si="34"/>
        <v>121.99748675052869</v>
      </c>
      <c r="AN144" s="26">
        <f t="shared" si="34"/>
        <v>129.91846559241861</v>
      </c>
      <c r="AO144" s="26">
        <f t="shared" si="34"/>
        <v>138.15534951656218</v>
      </c>
      <c r="AP144" s="26">
        <f t="shared" si="34"/>
        <v>0</v>
      </c>
      <c r="AQ144" s="26">
        <f t="shared" si="34"/>
        <v>0</v>
      </c>
      <c r="AR144" s="26">
        <f t="shared" si="34"/>
        <v>0</v>
      </c>
      <c r="AS144" s="26">
        <f t="shared" si="34"/>
        <v>0</v>
      </c>
      <c r="AT144" s="26">
        <f t="shared" si="34"/>
        <v>0</v>
      </c>
      <c r="AU144" s="26">
        <f t="shared" si="34"/>
        <v>0</v>
      </c>
      <c r="AV144" s="26">
        <f t="shared" si="34"/>
        <v>0</v>
      </c>
      <c r="AW144" s="26">
        <f t="shared" si="34"/>
        <v>0</v>
      </c>
      <c r="AX144" s="26">
        <f t="shared" si="34"/>
        <v>0</v>
      </c>
    </row>
    <row r="145" spans="1:52" ht="15" customHeight="1">
      <c r="A145" s="198"/>
      <c r="B145" s="26"/>
      <c r="C145" s="26"/>
      <c r="D145" s="26"/>
      <c r="E145" s="26" t="s">
        <v>374</v>
      </c>
      <c r="F145" s="26"/>
      <c r="G145" s="13" t="str">
        <f>CONCATENATE(Inputs!$I$9,"m nominal prices")</f>
        <v>£m nominal prices</v>
      </c>
      <c r="H145" s="26"/>
      <c r="I145" s="66"/>
      <c r="J145" s="107"/>
      <c r="K145" s="26">
        <f t="shared" ref="K145:AX145" si="35">K140</f>
        <v>0</v>
      </c>
      <c r="L145" s="26">
        <f t="shared" si="35"/>
        <v>0</v>
      </c>
      <c r="M145" s="26">
        <f t="shared" si="35"/>
        <v>0</v>
      </c>
      <c r="N145" s="26">
        <f t="shared" si="35"/>
        <v>0</v>
      </c>
      <c r="O145" s="26">
        <f t="shared" si="35"/>
        <v>0</v>
      </c>
      <c r="P145" s="26">
        <f t="shared" si="35"/>
        <v>0</v>
      </c>
      <c r="Q145" s="26">
        <f t="shared" si="35"/>
        <v>0</v>
      </c>
      <c r="R145" s="26">
        <f t="shared" si="35"/>
        <v>0</v>
      </c>
      <c r="S145" s="26">
        <f t="shared" si="35"/>
        <v>0</v>
      </c>
      <c r="T145" s="26">
        <f t="shared" si="35"/>
        <v>0</v>
      </c>
      <c r="U145" s="26">
        <f t="shared" si="35"/>
        <v>0</v>
      </c>
      <c r="V145" s="26">
        <f t="shared" si="35"/>
        <v>0</v>
      </c>
      <c r="W145" s="26">
        <f t="shared" si="35"/>
        <v>0</v>
      </c>
      <c r="X145" s="26">
        <f t="shared" si="35"/>
        <v>0</v>
      </c>
      <c r="Y145" s="26">
        <f t="shared" si="35"/>
        <v>0</v>
      </c>
      <c r="Z145" s="26">
        <f t="shared" si="35"/>
        <v>53.401593704433971</v>
      </c>
      <c r="AA145" s="26">
        <f t="shared" si="35"/>
        <v>53.910245638283079</v>
      </c>
      <c r="AB145" s="26">
        <f t="shared" si="35"/>
        <v>51.634982755485659</v>
      </c>
      <c r="AC145" s="26">
        <f t="shared" si="35"/>
        <v>49.742101091386829</v>
      </c>
      <c r="AD145" s="26">
        <f t="shared" si="35"/>
        <v>47.127565517107499</v>
      </c>
      <c r="AE145" s="26">
        <f t="shared" si="35"/>
        <v>44.242522682714295</v>
      </c>
      <c r="AF145" s="26">
        <f t="shared" si="35"/>
        <v>43.145019769196821</v>
      </c>
      <c r="AG145" s="26">
        <f t="shared" si="35"/>
        <v>39.721976670318504</v>
      </c>
      <c r="AH145" s="26">
        <f t="shared" si="35"/>
        <v>36.039957792422904</v>
      </c>
      <c r="AI145" s="26">
        <f t="shared" si="35"/>
        <v>32.08401340074267</v>
      </c>
      <c r="AJ145" s="26">
        <f t="shared" si="35"/>
        <v>27.841273557351588</v>
      </c>
      <c r="AK145" s="26">
        <f t="shared" si="35"/>
        <v>28.091762645517917</v>
      </c>
      <c r="AL145" s="26">
        <f t="shared" si="35"/>
        <v>23.528933301292724</v>
      </c>
      <c r="AM145" s="26">
        <f t="shared" si="35"/>
        <v>18.303956660271528</v>
      </c>
      <c r="AN145" s="26">
        <f t="shared" si="35"/>
        <v>12.728671515772366</v>
      </c>
      <c r="AO145" s="26">
        <f t="shared" si="35"/>
        <v>6.7913976381988332</v>
      </c>
      <c r="AP145" s="26">
        <f t="shared" si="35"/>
        <v>-0.24382909875634351</v>
      </c>
      <c r="AQ145" s="26">
        <f t="shared" si="35"/>
        <v>-0.24382909875634351</v>
      </c>
      <c r="AR145" s="26">
        <f t="shared" si="35"/>
        <v>-0.24382909875634351</v>
      </c>
      <c r="AS145" s="26">
        <f t="shared" si="35"/>
        <v>-0.24382909875634351</v>
      </c>
      <c r="AT145" s="26">
        <f t="shared" si="35"/>
        <v>-0.24382909875634351</v>
      </c>
      <c r="AU145" s="26">
        <f t="shared" si="35"/>
        <v>-0.24382909875634351</v>
      </c>
      <c r="AV145" s="26">
        <f t="shared" si="35"/>
        <v>-0.24382909875634351</v>
      </c>
      <c r="AW145" s="26">
        <f t="shared" si="35"/>
        <v>-0.24382909875634351</v>
      </c>
      <c r="AX145" s="26">
        <f t="shared" si="35"/>
        <v>0</v>
      </c>
    </row>
    <row r="146" spans="1:52" ht="15" customHeight="1">
      <c r="A146" s="125"/>
      <c r="B146" s="26"/>
      <c r="C146" s="26"/>
      <c r="D146" s="26"/>
      <c r="E146" s="102" t="s">
        <v>382</v>
      </c>
      <c r="F146" s="26"/>
      <c r="G146" s="13" t="str">
        <f>CONCATENATE(Inputs!$I$9,"m nominal prices")</f>
        <v>£m nominal prices</v>
      </c>
      <c r="H146" s="26"/>
      <c r="I146" s="107"/>
      <c r="J146" s="107"/>
      <c r="K146" s="181">
        <f t="shared" ref="K146:AX146" si="36">SUM(K144:K145)</f>
        <v>0</v>
      </c>
      <c r="L146" s="181">
        <f t="shared" si="36"/>
        <v>0</v>
      </c>
      <c r="M146" s="181">
        <f t="shared" si="36"/>
        <v>0</v>
      </c>
      <c r="N146" s="181">
        <f t="shared" si="36"/>
        <v>0</v>
      </c>
      <c r="O146" s="181">
        <f t="shared" si="36"/>
        <v>0</v>
      </c>
      <c r="P146" s="181">
        <f t="shared" si="36"/>
        <v>0</v>
      </c>
      <c r="Q146" s="181">
        <f t="shared" si="36"/>
        <v>0</v>
      </c>
      <c r="R146" s="181">
        <f t="shared" si="36"/>
        <v>0</v>
      </c>
      <c r="S146" s="181">
        <f t="shared" si="36"/>
        <v>0</v>
      </c>
      <c r="T146" s="181">
        <f t="shared" si="36"/>
        <v>0</v>
      </c>
      <c r="U146" s="181">
        <f t="shared" si="36"/>
        <v>0</v>
      </c>
      <c r="V146" s="181">
        <f t="shared" si="36"/>
        <v>0</v>
      </c>
      <c r="W146" s="181">
        <f t="shared" si="36"/>
        <v>0</v>
      </c>
      <c r="X146" s="181">
        <f t="shared" si="36"/>
        <v>0</v>
      </c>
      <c r="Y146" s="181">
        <f t="shared" si="36"/>
        <v>0</v>
      </c>
      <c r="Z146" s="181">
        <f t="shared" si="36"/>
        <v>106.80096527119575</v>
      </c>
      <c r="AA146" s="181">
        <f t="shared" si="36"/>
        <v>108.47290469817329</v>
      </c>
      <c r="AB146" s="181">
        <f t="shared" si="36"/>
        <v>97.027828417328081</v>
      </c>
      <c r="AC146" s="181">
        <f t="shared" si="36"/>
        <v>112.44079591822938</v>
      </c>
      <c r="AD146" s="181">
        <f t="shared" si="36"/>
        <v>116.31324499895881</v>
      </c>
      <c r="AE146" s="181">
        <f t="shared" si="36"/>
        <v>118.8976746393773</v>
      </c>
      <c r="AF146" s="181">
        <f t="shared" si="36"/>
        <v>121.47552546435274</v>
      </c>
      <c r="AG146" s="181">
        <f t="shared" si="36"/>
        <v>123.97870156495466</v>
      </c>
      <c r="AH146" s="181">
        <f t="shared" si="36"/>
        <v>126.56500108030028</v>
      </c>
      <c r="AI146" s="181">
        <f t="shared" si="36"/>
        <v>129.17188167056142</v>
      </c>
      <c r="AJ146" s="181">
        <f t="shared" si="36"/>
        <v>51.139469413239304</v>
      </c>
      <c r="AK146" s="181">
        <f t="shared" si="36"/>
        <v>127.93485551696632</v>
      </c>
      <c r="AL146" s="181">
        <f t="shared" si="36"/>
        <v>137.8610261026318</v>
      </c>
      <c r="AM146" s="181">
        <f t="shared" si="36"/>
        <v>140.30144341080023</v>
      </c>
      <c r="AN146" s="181">
        <f t="shared" si="36"/>
        <v>142.64713710819098</v>
      </c>
      <c r="AO146" s="181">
        <f t="shared" si="36"/>
        <v>144.94674715476103</v>
      </c>
      <c r="AP146" s="181">
        <f t="shared" si="36"/>
        <v>-0.24382909875634351</v>
      </c>
      <c r="AQ146" s="181">
        <f t="shared" si="36"/>
        <v>-0.24382909875634351</v>
      </c>
      <c r="AR146" s="181">
        <f t="shared" si="36"/>
        <v>-0.24382909875634351</v>
      </c>
      <c r="AS146" s="181">
        <f t="shared" si="36"/>
        <v>-0.24382909875634351</v>
      </c>
      <c r="AT146" s="181">
        <f t="shared" si="36"/>
        <v>-0.24382909875634351</v>
      </c>
      <c r="AU146" s="181">
        <f t="shared" si="36"/>
        <v>-0.24382909875634351</v>
      </c>
      <c r="AV146" s="181">
        <f t="shared" si="36"/>
        <v>-0.24382909875634351</v>
      </c>
      <c r="AW146" s="181">
        <f t="shared" si="36"/>
        <v>-0.24382909875634351</v>
      </c>
      <c r="AX146" s="181">
        <f t="shared" si="36"/>
        <v>0</v>
      </c>
    </row>
    <row r="147" spans="1:52" ht="15" customHeight="1">
      <c r="A147" s="27"/>
      <c r="B147" s="26"/>
      <c r="C147" s="26"/>
      <c r="D147" s="26"/>
      <c r="E147" s="26"/>
      <c r="F147" s="26"/>
      <c r="G147" s="26"/>
      <c r="H147" s="26"/>
      <c r="I147" s="107"/>
      <c r="J147" s="107"/>
      <c r="K147" s="107"/>
      <c r="L147" s="107"/>
      <c r="M147" s="107"/>
      <c r="N147" s="107"/>
      <c r="O147" s="107"/>
      <c r="P147" s="107"/>
      <c r="Q147" s="107"/>
      <c r="R147" s="107"/>
      <c r="S147" s="26"/>
      <c r="T147" s="26"/>
      <c r="U147" s="26"/>
      <c r="V147" s="26"/>
      <c r="W147" s="108"/>
      <c r="X147" s="108"/>
      <c r="Y147" s="108"/>
      <c r="Z147" s="108"/>
      <c r="AA147" s="108"/>
      <c r="AB147" s="108"/>
      <c r="AC147" s="108"/>
      <c r="AD147" s="108"/>
      <c r="AE147" s="108"/>
      <c r="AF147" s="108"/>
      <c r="AG147" s="108"/>
      <c r="AH147" s="108"/>
      <c r="AI147" s="108"/>
      <c r="AJ147" s="108"/>
      <c r="AK147" s="108"/>
      <c r="AL147" s="108"/>
      <c r="AM147" s="108"/>
      <c r="AN147" s="108"/>
      <c r="AO147" s="108"/>
      <c r="AP147" s="108"/>
      <c r="AQ147" s="108"/>
      <c r="AR147" s="108"/>
      <c r="AS147" s="108"/>
      <c r="AT147" s="108"/>
      <c r="AU147" s="108"/>
      <c r="AV147" s="108"/>
      <c r="AW147" s="108"/>
      <c r="AX147" s="108"/>
    </row>
    <row r="148" spans="1:52" ht="15" customHeight="1">
      <c r="A148" s="27"/>
      <c r="B148" s="26"/>
      <c r="C148" s="26"/>
      <c r="D148" s="26"/>
      <c r="E148" s="16" t="s">
        <v>185</v>
      </c>
      <c r="F148" s="26"/>
      <c r="G148" s="102" t="str">
        <f>Inputs!G87</f>
        <v>DSCRx</v>
      </c>
      <c r="H148" s="16"/>
      <c r="I148" s="204">
        <f>Inputs!I87</f>
        <v>1.2</v>
      </c>
      <c r="J148" s="107"/>
      <c r="K148" s="107"/>
      <c r="L148" s="107"/>
      <c r="M148" s="107"/>
      <c r="N148" s="107"/>
      <c r="O148" s="107"/>
      <c r="P148" s="107"/>
      <c r="Q148" s="107"/>
      <c r="R148" s="107"/>
      <c r="S148" s="26"/>
      <c r="T148" s="26"/>
      <c r="U148" s="26"/>
      <c r="V148" s="26"/>
      <c r="W148" s="108"/>
      <c r="X148" s="108"/>
      <c r="Y148" s="108"/>
      <c r="Z148" s="108"/>
      <c r="AA148" s="108"/>
      <c r="AB148" s="108"/>
      <c r="AC148" s="108"/>
      <c r="AD148" s="108"/>
      <c r="AE148" s="108"/>
      <c r="AF148" s="108"/>
      <c r="AG148" s="108"/>
      <c r="AH148" s="108"/>
      <c r="AI148" s="108"/>
      <c r="AJ148" s="108"/>
      <c r="AK148" s="108"/>
      <c r="AL148" s="108"/>
      <c r="AM148" s="108"/>
      <c r="AN148" s="108"/>
      <c r="AO148" s="108"/>
      <c r="AP148" s="108"/>
      <c r="AQ148" s="108"/>
      <c r="AR148" s="108"/>
      <c r="AS148" s="108"/>
      <c r="AT148" s="108"/>
      <c r="AU148" s="108"/>
      <c r="AV148" s="108"/>
      <c r="AW148" s="108"/>
      <c r="AX148" s="108"/>
    </row>
    <row r="149" spans="1:52" ht="15" customHeight="1">
      <c r="A149" s="27"/>
      <c r="B149" s="26"/>
      <c r="C149" s="26"/>
      <c r="D149" s="26"/>
      <c r="E149" s="26"/>
      <c r="F149" s="26"/>
      <c r="G149" s="26"/>
      <c r="H149" s="26"/>
      <c r="I149" s="107"/>
      <c r="J149" s="107"/>
      <c r="K149" s="107"/>
      <c r="L149" s="107"/>
      <c r="M149" s="107"/>
      <c r="N149" s="107"/>
      <c r="O149" s="107"/>
      <c r="P149" s="107"/>
      <c r="Q149" s="107"/>
      <c r="R149" s="107"/>
      <c r="S149" s="26"/>
      <c r="T149" s="26"/>
      <c r="U149" s="26"/>
      <c r="V149" s="26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108"/>
      <c r="AG149" s="108"/>
      <c r="AH149" s="108"/>
      <c r="AI149" s="108"/>
      <c r="AJ149" s="108"/>
      <c r="AK149" s="108"/>
      <c r="AL149" s="108"/>
      <c r="AM149" s="108"/>
      <c r="AN149" s="108"/>
      <c r="AO149" s="108"/>
      <c r="AP149" s="108"/>
      <c r="AQ149" s="108"/>
      <c r="AR149" s="108"/>
      <c r="AS149" s="108"/>
      <c r="AT149" s="108"/>
      <c r="AU149" s="108"/>
      <c r="AV149" s="108"/>
      <c r="AW149" s="108"/>
      <c r="AX149" s="108"/>
    </row>
    <row r="150" spans="1:52" ht="15" customHeight="1">
      <c r="A150" s="198"/>
      <c r="B150" s="26"/>
      <c r="C150" s="26"/>
      <c r="D150" s="26"/>
      <c r="E150" s="26" t="s">
        <v>383</v>
      </c>
      <c r="F150" s="26"/>
      <c r="G150" s="13" t="str">
        <f>CONCATENATE(Inputs!$I$9,"m nominal prices")</f>
        <v>£m nominal prices</v>
      </c>
      <c r="H150" s="26"/>
      <c r="I150" s="66"/>
      <c r="J150" s="107"/>
      <c r="K150" s="26">
        <f t="shared" ref="K150:AX150" si="37">K146*$I$148</f>
        <v>0</v>
      </c>
      <c r="L150" s="26">
        <f t="shared" si="37"/>
        <v>0</v>
      </c>
      <c r="M150" s="26">
        <f t="shared" si="37"/>
        <v>0</v>
      </c>
      <c r="N150" s="26">
        <f t="shared" si="37"/>
        <v>0</v>
      </c>
      <c r="O150" s="26">
        <f t="shared" si="37"/>
        <v>0</v>
      </c>
      <c r="P150" s="26">
        <f t="shared" si="37"/>
        <v>0</v>
      </c>
      <c r="Q150" s="26">
        <f t="shared" si="37"/>
        <v>0</v>
      </c>
      <c r="R150" s="26">
        <f t="shared" si="37"/>
        <v>0</v>
      </c>
      <c r="S150" s="26">
        <f t="shared" si="37"/>
        <v>0</v>
      </c>
      <c r="T150" s="26">
        <f t="shared" si="37"/>
        <v>0</v>
      </c>
      <c r="U150" s="26">
        <f t="shared" si="37"/>
        <v>0</v>
      </c>
      <c r="V150" s="26">
        <f t="shared" si="37"/>
        <v>0</v>
      </c>
      <c r="W150" s="26">
        <f t="shared" si="37"/>
        <v>0</v>
      </c>
      <c r="X150" s="26">
        <f t="shared" si="37"/>
        <v>0</v>
      </c>
      <c r="Y150" s="26">
        <f t="shared" si="37"/>
        <v>0</v>
      </c>
      <c r="Z150" s="26">
        <f t="shared" si="37"/>
        <v>128.16115832543488</v>
      </c>
      <c r="AA150" s="26">
        <f t="shared" si="37"/>
        <v>130.16748563780794</v>
      </c>
      <c r="AB150" s="26">
        <f t="shared" si="37"/>
        <v>116.43339410079369</v>
      </c>
      <c r="AC150" s="26">
        <f t="shared" si="37"/>
        <v>134.92895510187526</v>
      </c>
      <c r="AD150" s="26">
        <f t="shared" si="37"/>
        <v>139.57589399875056</v>
      </c>
      <c r="AE150" s="26">
        <f t="shared" si="37"/>
        <v>142.67720956725276</v>
      </c>
      <c r="AF150" s="26">
        <f t="shared" si="37"/>
        <v>145.77063055722328</v>
      </c>
      <c r="AG150" s="26">
        <f t="shared" si="37"/>
        <v>148.77444187794558</v>
      </c>
      <c r="AH150" s="26">
        <f t="shared" si="37"/>
        <v>151.87800129636034</v>
      </c>
      <c r="AI150" s="26">
        <f t="shared" si="37"/>
        <v>155.0062580046737</v>
      </c>
      <c r="AJ150" s="26">
        <f t="shared" si="37"/>
        <v>61.367363295887159</v>
      </c>
      <c r="AK150" s="26">
        <f t="shared" si="37"/>
        <v>153.52182662035958</v>
      </c>
      <c r="AL150" s="26">
        <f t="shared" si="37"/>
        <v>165.43323132315814</v>
      </c>
      <c r="AM150" s="26">
        <f t="shared" si="37"/>
        <v>168.36173209296027</v>
      </c>
      <c r="AN150" s="26">
        <f t="shared" si="37"/>
        <v>171.17656452982916</v>
      </c>
      <c r="AO150" s="26">
        <f t="shared" si="37"/>
        <v>173.93609658571322</v>
      </c>
      <c r="AP150" s="26">
        <f t="shared" si="37"/>
        <v>-0.29259491850761221</v>
      </c>
      <c r="AQ150" s="26">
        <f t="shared" si="37"/>
        <v>-0.29259491850761221</v>
      </c>
      <c r="AR150" s="26">
        <f t="shared" si="37"/>
        <v>-0.29259491850761221</v>
      </c>
      <c r="AS150" s="26">
        <f t="shared" si="37"/>
        <v>-0.29259491850761221</v>
      </c>
      <c r="AT150" s="26">
        <f t="shared" si="37"/>
        <v>-0.29259491850761221</v>
      </c>
      <c r="AU150" s="26">
        <f t="shared" si="37"/>
        <v>-0.29259491850761221</v>
      </c>
      <c r="AV150" s="26">
        <f t="shared" si="37"/>
        <v>-0.29259491850761221</v>
      </c>
      <c r="AW150" s="26">
        <f t="shared" si="37"/>
        <v>-0.29259491850761221</v>
      </c>
      <c r="AX150" s="26">
        <f t="shared" si="37"/>
        <v>0</v>
      </c>
    </row>
    <row r="151" spans="1:52" ht="15" customHeight="1">
      <c r="A151" s="198"/>
      <c r="B151" s="26"/>
      <c r="C151" s="26"/>
      <c r="D151" s="26"/>
      <c r="E151" s="26" t="s">
        <v>383</v>
      </c>
      <c r="F151" s="26"/>
      <c r="G151" s="26" t="str">
        <f>Inputs!$I$11</f>
        <v>£m 20/21 prices</v>
      </c>
      <c r="H151" s="113"/>
      <c r="I151" s="113"/>
      <c r="J151" s="107"/>
      <c r="K151" s="20">
        <f>K150/Inputs!K$32</f>
        <v>0</v>
      </c>
      <c r="L151" s="20">
        <f>L150/Inputs!L$32</f>
        <v>0</v>
      </c>
      <c r="M151" s="20">
        <f>M150/Inputs!M$32</f>
        <v>0</v>
      </c>
      <c r="N151" s="20">
        <f>N150/Inputs!N$32</f>
        <v>0</v>
      </c>
      <c r="O151" s="20">
        <f>O150/Inputs!O$32</f>
        <v>0</v>
      </c>
      <c r="P151" s="20">
        <f>P150/Inputs!P$32</f>
        <v>0</v>
      </c>
      <c r="Q151" s="20">
        <f>Q150/Inputs!Q$32</f>
        <v>0</v>
      </c>
      <c r="R151" s="20">
        <f>R150/Inputs!R$32</f>
        <v>0</v>
      </c>
      <c r="S151" s="20">
        <f>S150/Inputs!S$32</f>
        <v>0</v>
      </c>
      <c r="T151" s="20">
        <f>T150/Inputs!T$32</f>
        <v>0</v>
      </c>
      <c r="U151" s="20">
        <f>U150/Inputs!U$32</f>
        <v>0</v>
      </c>
      <c r="V151" s="20">
        <f>V150/Inputs!V$32</f>
        <v>0</v>
      </c>
      <c r="W151" s="20">
        <f>W150/Inputs!W$32</f>
        <v>0</v>
      </c>
      <c r="X151" s="20">
        <f>X150/Inputs!X$32</f>
        <v>0</v>
      </c>
      <c r="Y151" s="20">
        <f>Y150/Inputs!Y$32</f>
        <v>0</v>
      </c>
      <c r="Z151" s="20">
        <f>Z150/Inputs!Z$32</f>
        <v>90.535451104086945</v>
      </c>
      <c r="AA151" s="20">
        <f>AA150/Inputs!AA$32</f>
        <v>88.911969084923626</v>
      </c>
      <c r="AB151" s="20">
        <f>AB150/Inputs!AB$32</f>
        <v>76.900778546497975</v>
      </c>
      <c r="AC151" s="20">
        <f>AC150/Inputs!AC$32</f>
        <v>86.169545603461685</v>
      </c>
      <c r="AD151" s="20">
        <f>AD150/Inputs!AD$32</f>
        <v>86.189533563043682</v>
      </c>
      <c r="AE151" s="20">
        <f>AE150/Inputs!AE$32</f>
        <v>85.191092106530434</v>
      </c>
      <c r="AF151" s="20">
        <f>AF150/Inputs!AF$32</f>
        <v>84.159874215950211</v>
      </c>
      <c r="AG151" s="20">
        <f>AG150/Inputs!AG$32</f>
        <v>83.053672607336907</v>
      </c>
      <c r="AH151" s="20">
        <f>AH150/Inputs!AH$32</f>
        <v>81.982442230033229</v>
      </c>
      <c r="AI151" s="20">
        <f>AI150/Inputs!AI$32</f>
        <v>80.904127215000784</v>
      </c>
      <c r="AJ151" s="20">
        <f>AJ150/Inputs!AJ$32</f>
        <v>30.970939184038851</v>
      </c>
      <c r="AK151" s="20">
        <f>AK150/Inputs!AK$32</f>
        <v>74.917367285484303</v>
      </c>
      <c r="AL151" s="20">
        <f>AL150/Inputs!AL$32</f>
        <v>78.060368545429384</v>
      </c>
      <c r="AM151" s="20">
        <f>AM150/Inputs!AM$32</f>
        <v>76.815116994567276</v>
      </c>
      <c r="AN151" s="20">
        <f>AN150/Inputs!AN$32</f>
        <v>75.516713959279301</v>
      </c>
      <c r="AO151" s="20">
        <f>AO150/Inputs!AO$32</f>
        <v>74.196593065954787</v>
      </c>
      <c r="AP151" s="20">
        <f>AP150/Inputs!AP$32</f>
        <v>-0.12068588803492669</v>
      </c>
      <c r="AQ151" s="20">
        <f>AQ150/Inputs!AQ$32</f>
        <v>-0.11669492171236386</v>
      </c>
      <c r="AR151" s="20">
        <f>AR150/Inputs!AR$32</f>
        <v>-0.1128359328102532</v>
      </c>
      <c r="AS151" s="20">
        <f>AS150/Inputs!AS$32</f>
        <v>-0.10910455696214773</v>
      </c>
      <c r="AT151" s="20">
        <f>AT150/Inputs!AT$32</f>
        <v>-0.10549657412700418</v>
      </c>
      <c r="AU151" s="20">
        <f>AU150/Inputs!AU$32</f>
        <v>-0.10200790381648056</v>
      </c>
      <c r="AV151" s="20">
        <f>AV150/Inputs!AV$32</f>
        <v>-9.8634600480062409E-2</v>
      </c>
      <c r="AW151" s="20">
        <f>AW150/Inputs!AW$32</f>
        <v>-9.5372849042798705E-2</v>
      </c>
      <c r="AX151" s="20">
        <f>AX150/Inputs!AX$32</f>
        <v>0</v>
      </c>
    </row>
    <row r="152" spans="1:52" ht="15" customHeight="1">
      <c r="A152" s="27"/>
      <c r="B152" s="26"/>
      <c r="C152" s="26"/>
      <c r="D152" s="26"/>
      <c r="E152" s="26"/>
      <c r="F152" s="26"/>
      <c r="G152" s="26"/>
      <c r="H152" s="26"/>
      <c r="I152" s="107"/>
      <c r="J152" s="107"/>
      <c r="K152" s="107"/>
      <c r="L152" s="107"/>
      <c r="M152" s="107"/>
      <c r="N152" s="107"/>
      <c r="O152" s="107"/>
      <c r="P152" s="107"/>
      <c r="Q152" s="107"/>
      <c r="R152" s="107"/>
      <c r="S152" s="26"/>
      <c r="T152" s="26"/>
      <c r="U152" s="26"/>
      <c r="V152" s="26"/>
      <c r="W152" s="108"/>
      <c r="X152" s="108"/>
      <c r="Y152" s="108"/>
      <c r="Z152" s="108"/>
      <c r="AA152" s="108"/>
      <c r="AB152" s="108"/>
      <c r="AC152" s="108"/>
      <c r="AD152" s="108"/>
      <c r="AE152" s="108"/>
      <c r="AF152" s="108"/>
      <c r="AG152" s="108"/>
      <c r="AH152" s="108"/>
      <c r="AI152" s="108"/>
      <c r="AJ152" s="108"/>
      <c r="AK152" s="108"/>
      <c r="AL152" s="108"/>
      <c r="AM152" s="108"/>
      <c r="AN152" s="108"/>
      <c r="AO152" s="108"/>
      <c r="AP152" s="108"/>
      <c r="AQ152" s="108"/>
      <c r="AR152" s="108"/>
      <c r="AS152" s="108"/>
      <c r="AT152" s="108"/>
      <c r="AU152" s="108"/>
      <c r="AV152" s="108"/>
      <c r="AW152" s="108"/>
      <c r="AX152" s="108"/>
    </row>
    <row r="153" spans="1:52" ht="15" customHeight="1">
      <c r="A153" s="114"/>
      <c r="B153" s="26"/>
      <c r="C153" s="67" t="s">
        <v>384</v>
      </c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  <c r="AA153" s="67"/>
      <c r="AB153" s="67"/>
      <c r="AC153" s="67"/>
      <c r="AD153" s="67"/>
      <c r="AE153" s="67"/>
      <c r="AF153" s="67"/>
      <c r="AG153" s="67"/>
      <c r="AH153" s="67"/>
      <c r="AI153" s="67"/>
      <c r="AJ153" s="67"/>
      <c r="AK153" s="67"/>
      <c r="AL153" s="67"/>
      <c r="AM153" s="67"/>
      <c r="AN153" s="67"/>
      <c r="AO153" s="67"/>
      <c r="AP153" s="67"/>
      <c r="AQ153" s="67"/>
      <c r="AR153" s="67"/>
      <c r="AS153" s="67"/>
      <c r="AT153" s="67"/>
      <c r="AU153" s="67"/>
      <c r="AV153" s="67"/>
      <c r="AW153" s="67"/>
      <c r="AX153" s="67"/>
      <c r="AZ153" s="13"/>
    </row>
    <row r="154" spans="1:52" ht="15" customHeight="1">
      <c r="A154" s="114"/>
      <c r="B154" s="26"/>
      <c r="C154" s="205"/>
      <c r="D154" s="26"/>
      <c r="E154" s="26"/>
      <c r="F154" s="26"/>
      <c r="G154" s="26"/>
      <c r="H154" s="26"/>
      <c r="I154" s="66"/>
      <c r="J154" s="107"/>
      <c r="K154" s="113"/>
      <c r="L154" s="113"/>
      <c r="M154" s="113"/>
      <c r="N154" s="113"/>
      <c r="O154" s="113"/>
      <c r="P154" s="113"/>
      <c r="Q154" s="113"/>
      <c r="R154" s="113"/>
      <c r="S154" s="113"/>
      <c r="T154" s="113"/>
      <c r="U154" s="113"/>
      <c r="V154" s="113"/>
      <c r="W154" s="113"/>
      <c r="X154" s="113"/>
      <c r="Y154" s="113"/>
      <c r="Z154" s="113"/>
      <c r="AA154" s="113"/>
      <c r="AB154" s="113"/>
      <c r="AC154" s="113"/>
      <c r="AD154" s="113"/>
      <c r="AE154" s="113"/>
      <c r="AF154" s="113"/>
      <c r="AG154" s="113"/>
      <c r="AH154" s="113"/>
      <c r="AI154" s="113"/>
      <c r="AJ154" s="113"/>
      <c r="AK154" s="113"/>
      <c r="AL154" s="113"/>
      <c r="AM154" s="113"/>
      <c r="AN154" s="113"/>
      <c r="AO154" s="113"/>
      <c r="AP154" s="113"/>
      <c r="AQ154" s="113"/>
      <c r="AR154" s="113"/>
      <c r="AS154" s="113"/>
      <c r="AT154" s="113"/>
      <c r="AU154" s="113"/>
      <c r="AV154" s="113"/>
      <c r="AW154" s="113"/>
      <c r="AX154" s="113"/>
      <c r="AZ154" s="13"/>
    </row>
    <row r="155" spans="1:52" ht="15" customHeight="1">
      <c r="A155" s="114"/>
      <c r="B155" s="26"/>
      <c r="C155" s="26"/>
      <c r="D155" s="26"/>
      <c r="E155" s="26" t="s">
        <v>385</v>
      </c>
      <c r="F155" s="26"/>
      <c r="G155" s="26"/>
      <c r="H155" s="26"/>
      <c r="I155" s="206"/>
      <c r="J155" s="107"/>
      <c r="K155" s="20">
        <f>Inputs!$I$100*Finance!K12*(Inputs!$I$127=2)</f>
        <v>0</v>
      </c>
      <c r="L155" s="20">
        <f>Inputs!$I$100*Finance!L12*(Inputs!$I$127=2)</f>
        <v>0</v>
      </c>
      <c r="M155" s="20">
        <f>Inputs!$I$100*Finance!M12*(Inputs!$I$127=2)</f>
        <v>0</v>
      </c>
      <c r="N155" s="20">
        <f>Inputs!$I$100*Finance!N12*(Inputs!$I$127=2)</f>
        <v>0</v>
      </c>
      <c r="O155" s="20">
        <f>Inputs!$I$100*Finance!O12*(Inputs!$I$127=2)</f>
        <v>0</v>
      </c>
      <c r="P155" s="20">
        <f>Inputs!$I$100*Finance!P12*(Inputs!$I$127=2)</f>
        <v>0</v>
      </c>
      <c r="Q155" s="20">
        <f>Inputs!$I$100*Finance!Q12*(Inputs!$I$127=2)</f>
        <v>0</v>
      </c>
      <c r="R155" s="20">
        <f>Inputs!$I$100*Finance!R12*(Inputs!$I$127=2)</f>
        <v>0</v>
      </c>
      <c r="S155" s="20">
        <f>Inputs!$I$100*Finance!S12*(Inputs!$I$127=2)</f>
        <v>0</v>
      </c>
      <c r="T155" s="20">
        <f>Inputs!$I$100*Finance!T12*(Inputs!$I$127=2)</f>
        <v>0</v>
      </c>
      <c r="U155" s="20">
        <f>Inputs!$I$100*Finance!U12*(Inputs!$I$127=2)</f>
        <v>0</v>
      </c>
      <c r="V155" s="20">
        <f>Inputs!$I$100*Finance!V12*(Inputs!$I$127=2)</f>
        <v>0</v>
      </c>
      <c r="W155" s="20">
        <f>Inputs!$I$100*Finance!W12*(Inputs!$I$127=2)</f>
        <v>0</v>
      </c>
      <c r="X155" s="20">
        <f>Inputs!$I$100*Finance!X12*(Inputs!$I$127=2)</f>
        <v>0</v>
      </c>
      <c r="Y155" s="20">
        <f>Inputs!$I$100*Finance!Y12*(Inputs!$I$127=2)</f>
        <v>0</v>
      </c>
      <c r="Z155" s="20">
        <f>Inputs!$I$100*Finance!Z12*(Inputs!$I$127=2)</f>
        <v>0</v>
      </c>
      <c r="AA155" s="20">
        <f>Inputs!$I$100*Finance!AA12*(Inputs!$I$127=2)</f>
        <v>0</v>
      </c>
      <c r="AB155" s="20">
        <f>Inputs!$I$100*Finance!AB12*(Inputs!$I$127=2)</f>
        <v>0</v>
      </c>
      <c r="AC155" s="20">
        <f>Inputs!$I$100*Finance!AC12*(Inputs!$I$127=2)</f>
        <v>0</v>
      </c>
      <c r="AD155" s="20">
        <f>Inputs!$I$100*Finance!AD12*(Inputs!$I$127=2)</f>
        <v>0</v>
      </c>
      <c r="AE155" s="20">
        <f>Inputs!$I$100*Finance!AE12*(Inputs!$I$127=2)</f>
        <v>0</v>
      </c>
      <c r="AF155" s="20">
        <f>Inputs!$I$100*Finance!AF12*(Inputs!$I$127=2)</f>
        <v>0</v>
      </c>
      <c r="AG155" s="20">
        <f>Inputs!$I$100*Finance!AG12*(Inputs!$I$127=2)</f>
        <v>0</v>
      </c>
      <c r="AH155" s="20">
        <f>Inputs!$I$100*Finance!AH12*(Inputs!$I$127=2)</f>
        <v>0</v>
      </c>
      <c r="AI155" s="20">
        <f>Inputs!$I$100*Finance!AI12*(Inputs!$I$127=2)</f>
        <v>0</v>
      </c>
      <c r="AJ155" s="20">
        <f>Inputs!$I$100*Finance!AJ12*(Inputs!$I$127=2)</f>
        <v>0</v>
      </c>
      <c r="AK155" s="20">
        <f>Inputs!$I$100*Finance!AK12*(Inputs!$I$127=2)</f>
        <v>0</v>
      </c>
      <c r="AL155" s="20">
        <f>Inputs!$I$100*Finance!AL12*(Inputs!$I$127=2)</f>
        <v>0</v>
      </c>
      <c r="AM155" s="20">
        <f>Inputs!$I$100*Finance!AM12*(Inputs!$I$127=2)</f>
        <v>0</v>
      </c>
      <c r="AN155" s="20">
        <f>Inputs!$I$100*Finance!AN12*(Inputs!$I$127=2)</f>
        <v>0</v>
      </c>
      <c r="AO155" s="20">
        <f>Inputs!$I$100*Finance!AO12*(Inputs!$I$127=2)</f>
        <v>0</v>
      </c>
      <c r="AP155" s="20">
        <f>Inputs!$I$100*Finance!AP12*(Inputs!$I$127=2)</f>
        <v>0</v>
      </c>
      <c r="AQ155" s="20">
        <f>Inputs!$I$100*Finance!AQ12*(Inputs!$I$127=2)</f>
        <v>0</v>
      </c>
      <c r="AR155" s="20">
        <f>Inputs!$I$100*Finance!AR12*(Inputs!$I$127=2)</f>
        <v>0</v>
      </c>
      <c r="AS155" s="20">
        <f>Inputs!$I$100*Finance!AS12*(Inputs!$I$127=2)</f>
        <v>0</v>
      </c>
      <c r="AT155" s="20">
        <f>Inputs!$I$100*Finance!AT12*(Inputs!$I$127=2)</f>
        <v>0</v>
      </c>
      <c r="AU155" s="20">
        <f>Inputs!$I$100*Finance!AU12*(Inputs!$I$127=2)</f>
        <v>0</v>
      </c>
      <c r="AV155" s="20">
        <f>Inputs!$I$100*Finance!AV12*(Inputs!$I$127=2)</f>
        <v>0</v>
      </c>
      <c r="AW155" s="20">
        <f>Inputs!$I$100*Finance!AW12*(Inputs!$I$127=2)</f>
        <v>0</v>
      </c>
      <c r="AX155" s="20">
        <f>Inputs!$I$100*Finance!AX12*(Inputs!$I$127=2)</f>
        <v>0</v>
      </c>
      <c r="AZ155" s="13"/>
    </row>
    <row r="156" spans="1:52" ht="15" customHeight="1">
      <c r="A156" s="125"/>
      <c r="B156" s="26"/>
      <c r="C156" s="26"/>
      <c r="D156" s="26"/>
      <c r="E156" s="26"/>
      <c r="F156" s="26"/>
      <c r="G156" s="26"/>
      <c r="H156" s="26"/>
      <c r="I156" s="66"/>
      <c r="J156" s="107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</row>
    <row r="157" spans="1:52" ht="15" customHeight="1">
      <c r="A157"/>
      <c r="B157" s="14" t="s">
        <v>47</v>
      </c>
      <c r="C157" s="58"/>
      <c r="D157" s="58"/>
      <c r="E157" s="58"/>
      <c r="F157" s="59"/>
      <c r="G157" s="59"/>
      <c r="H157" s="59"/>
      <c r="I157" s="178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  <c r="AA157" s="59"/>
      <c r="AB157" s="59"/>
      <c r="AC157" s="59"/>
      <c r="AD157" s="59"/>
      <c r="AE157" s="59"/>
      <c r="AF157" s="59"/>
      <c r="AG157" s="59"/>
      <c r="AH157" s="59"/>
      <c r="AI157" s="59"/>
      <c r="AJ157" s="59"/>
      <c r="AK157" s="59"/>
      <c r="AL157" s="59"/>
      <c r="AM157" s="59"/>
      <c r="AN157" s="59"/>
      <c r="AO157" s="59"/>
      <c r="AP157" s="59"/>
      <c r="AQ157" s="59"/>
      <c r="AR157" s="59"/>
      <c r="AS157" s="59"/>
      <c r="AT157" s="59"/>
      <c r="AU157" s="59"/>
      <c r="AV157" s="59"/>
      <c r="AW157" s="59"/>
      <c r="AX157" s="59"/>
    </row>
    <row r="158" spans="1:52" ht="15" customHeight="1"/>
    <row r="159" spans="1:52" ht="0" hidden="1" customHeight="1"/>
    <row r="160" spans="1:52" ht="0" hidden="1" customHeight="1"/>
  </sheetData>
  <sheetProtection sheet="1" objects="1" scenarios="1"/>
  <pageMargins left="0.23622047244094502" right="0.23622047244094502" top="0.74803149606299213" bottom="0.74803149606299213" header="0.31496062992126012" footer="0.31496062992126012"/>
  <pageSetup paperSize="0" orientation="landscape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C0DA"/>
    <pageSetUpPr fitToPage="1"/>
  </sheetPr>
  <dimension ref="A1:AY59"/>
  <sheetViews>
    <sheetView workbookViewId="0"/>
  </sheetViews>
  <sheetFormatPr defaultColWidth="0" defaultRowHeight="0" customHeight="1" zeroHeight="1"/>
  <cols>
    <col min="1" max="4" width="2.59765625" style="13" customWidth="1"/>
    <col min="5" max="5" width="50.59765625" style="13" customWidth="1"/>
    <col min="6" max="6" width="1.59765625" style="13" customWidth="1"/>
    <col min="7" max="7" width="15.59765625" style="13" customWidth="1"/>
    <col min="8" max="8" width="10.69921875" style="13" bestFit="1" customWidth="1"/>
    <col min="9" max="9" width="10.59765625" style="192" customWidth="1"/>
    <col min="10" max="10" width="1.59765625" style="13" customWidth="1"/>
    <col min="11" max="35" width="10.59765625" style="13" customWidth="1"/>
    <col min="36" max="36" width="3.09765625" customWidth="1"/>
    <col min="37" max="50" width="10.59765625" hidden="1" customWidth="1"/>
    <col min="51" max="51" width="2.59765625" hidden="1" customWidth="1"/>
    <col min="52" max="52" width="9.09765625" hidden="1" customWidth="1"/>
    <col min="53" max="16384" width="9.09765625" hidden="1"/>
  </cols>
  <sheetData>
    <row r="1" spans="1:35" ht="14.5">
      <c r="A1" s="52" t="s">
        <v>30</v>
      </c>
      <c r="B1" s="53"/>
      <c r="C1" s="53"/>
      <c r="D1" s="53"/>
      <c r="E1" s="53"/>
      <c r="F1" s="53"/>
      <c r="G1" s="53"/>
      <c r="H1" s="53" t="s">
        <v>101</v>
      </c>
      <c r="I1" s="176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3"/>
      <c r="AH1" s="53"/>
      <c r="AI1" s="53"/>
    </row>
    <row r="2" spans="1:35" ht="15" customHeight="1">
      <c r="A2" s="53"/>
      <c r="B2" s="53"/>
      <c r="C2" s="53"/>
      <c r="D2" s="53"/>
      <c r="E2" s="55" t="s">
        <v>102</v>
      </c>
      <c r="F2" s="55"/>
      <c r="G2" s="55" t="s">
        <v>103</v>
      </c>
      <c r="H2" s="55" t="s">
        <v>104</v>
      </c>
      <c r="I2" s="56" t="s">
        <v>105</v>
      </c>
      <c r="J2" s="57"/>
      <c r="K2" s="55" t="s">
        <v>106</v>
      </c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</row>
    <row r="3" spans="1:35" ht="15" customHeight="1">
      <c r="A3" s="53"/>
      <c r="B3" s="53"/>
      <c r="C3" s="53"/>
      <c r="D3" s="53"/>
      <c r="E3" s="57" t="s">
        <v>386</v>
      </c>
      <c r="F3" s="55"/>
      <c r="G3" s="55"/>
      <c r="H3" s="55"/>
      <c r="I3" s="56"/>
      <c r="J3" s="57"/>
      <c r="K3" s="97" t="s">
        <v>133</v>
      </c>
      <c r="L3" s="97" t="s">
        <v>134</v>
      </c>
      <c r="M3" s="97" t="s">
        <v>135</v>
      </c>
      <c r="N3" s="97" t="s">
        <v>136</v>
      </c>
      <c r="O3" s="97" t="s">
        <v>137</v>
      </c>
      <c r="P3" s="97" t="s">
        <v>138</v>
      </c>
      <c r="Q3" s="97" t="s">
        <v>139</v>
      </c>
      <c r="R3" s="97" t="s">
        <v>140</v>
      </c>
      <c r="S3" s="97" t="s">
        <v>141</v>
      </c>
      <c r="T3" s="97" t="s">
        <v>142</v>
      </c>
      <c r="U3" s="97" t="s">
        <v>143</v>
      </c>
      <c r="V3" s="97" t="s">
        <v>144</v>
      </c>
      <c r="W3" s="97" t="s">
        <v>145</v>
      </c>
      <c r="X3" s="97" t="s">
        <v>146</v>
      </c>
      <c r="Y3" s="97" t="s">
        <v>147</v>
      </c>
      <c r="Z3" s="97" t="s">
        <v>148</v>
      </c>
      <c r="AA3" s="97" t="s">
        <v>149</v>
      </c>
      <c r="AB3" s="97" t="s">
        <v>150</v>
      </c>
      <c r="AC3" s="97" t="s">
        <v>151</v>
      </c>
      <c r="AD3" s="97" t="s">
        <v>152</v>
      </c>
      <c r="AE3" s="97" t="s">
        <v>153</v>
      </c>
      <c r="AF3" s="97" t="s">
        <v>154</v>
      </c>
      <c r="AG3" s="97" t="s">
        <v>155</v>
      </c>
      <c r="AH3" s="97" t="s">
        <v>156</v>
      </c>
      <c r="AI3" s="97" t="s">
        <v>157</v>
      </c>
    </row>
    <row r="4" spans="1:35" ht="15" customHeight="1">
      <c r="A4" s="26"/>
      <c r="B4" s="26"/>
      <c r="C4" s="26"/>
      <c r="D4" s="26"/>
      <c r="E4" s="26"/>
      <c r="F4" s="26"/>
      <c r="G4" s="26"/>
      <c r="H4" s="26"/>
      <c r="I4" s="66"/>
      <c r="J4" s="107"/>
      <c r="K4" s="107"/>
      <c r="L4" s="107"/>
      <c r="M4" s="107"/>
      <c r="N4" s="107"/>
      <c r="O4" s="107"/>
      <c r="P4" s="107"/>
      <c r="Q4" s="107"/>
      <c r="R4" s="107"/>
      <c r="S4" s="26"/>
      <c r="T4" s="26"/>
      <c r="U4" s="26"/>
      <c r="V4" s="26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</row>
    <row r="5" spans="1:35" ht="15" customHeight="1">
      <c r="A5" s="26"/>
      <c r="B5" s="14" t="s">
        <v>294</v>
      </c>
      <c r="C5" s="15"/>
      <c r="D5" s="15"/>
      <c r="E5" s="15"/>
      <c r="F5" s="106"/>
      <c r="G5" s="106"/>
      <c r="H5" s="106"/>
      <c r="I5" s="207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</row>
    <row r="6" spans="1:35" ht="15" customHeight="1">
      <c r="A6" s="26"/>
      <c r="B6" s="26"/>
      <c r="C6" s="26"/>
      <c r="D6" s="26"/>
      <c r="E6" s="26"/>
      <c r="F6" s="26"/>
      <c r="G6" s="26"/>
      <c r="H6" s="26"/>
      <c r="I6" s="66"/>
      <c r="J6" s="107"/>
      <c r="K6" s="107"/>
      <c r="L6" s="107"/>
      <c r="M6" s="107"/>
      <c r="N6" s="107"/>
      <c r="O6" s="107"/>
      <c r="P6" s="107"/>
      <c r="Q6" s="107"/>
      <c r="R6" s="107"/>
      <c r="S6" s="26"/>
      <c r="T6" s="26"/>
      <c r="U6" s="26"/>
      <c r="V6" s="26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</row>
    <row r="7" spans="1:35" ht="15" customHeight="1">
      <c r="A7" s="26"/>
      <c r="B7" s="26"/>
      <c r="C7" s="67" t="s">
        <v>387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</row>
    <row r="8" spans="1:35" ht="15" customHeight="1">
      <c r="A8" s="26"/>
      <c r="B8" s="26"/>
      <c r="C8" s="26"/>
      <c r="D8" s="26"/>
      <c r="E8" s="26"/>
      <c r="F8" s="26"/>
      <c r="G8" s="26"/>
      <c r="H8" s="2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</row>
    <row r="9" spans="1:35" ht="15" customHeight="1">
      <c r="A9"/>
      <c r="B9" s="26"/>
      <c r="C9" s="26"/>
      <c r="D9" s="26"/>
      <c r="E9" s="107" t="s">
        <v>388</v>
      </c>
      <c r="F9" s="26"/>
      <c r="G9" s="26" t="str">
        <f>Inputs!$I$11</f>
        <v>£m 20/21 prices</v>
      </c>
      <c r="H9" s="26"/>
      <c r="I9" s="66"/>
      <c r="J9" s="66"/>
      <c r="K9" s="26">
        <f t="shared" ref="K9:AI9" si="0">J15</f>
        <v>0</v>
      </c>
      <c r="L9" s="26">
        <f t="shared" si="0"/>
        <v>887.1000416741598</v>
      </c>
      <c r="M9" s="26">
        <f t="shared" si="0"/>
        <v>850.13753993773651</v>
      </c>
      <c r="N9" s="26">
        <f t="shared" si="0"/>
        <v>813.17503820131321</v>
      </c>
      <c r="O9" s="26">
        <f t="shared" si="0"/>
        <v>776.21253646488992</v>
      </c>
      <c r="P9" s="26">
        <f t="shared" si="0"/>
        <v>739.25003472846663</v>
      </c>
      <c r="Q9" s="26">
        <f t="shared" si="0"/>
        <v>702.28753299204334</v>
      </c>
      <c r="R9" s="26">
        <f t="shared" si="0"/>
        <v>665.32503125562005</v>
      </c>
      <c r="S9" s="26">
        <f t="shared" si="0"/>
        <v>629.06889095093732</v>
      </c>
      <c r="T9" s="26">
        <f t="shared" si="0"/>
        <v>592.44346648105181</v>
      </c>
      <c r="U9" s="26">
        <f t="shared" si="0"/>
        <v>555.61091166386996</v>
      </c>
      <c r="V9" s="26">
        <f t="shared" si="0"/>
        <v>518.95258632053401</v>
      </c>
      <c r="W9" s="26">
        <f t="shared" si="0"/>
        <v>482.64258310030954</v>
      </c>
      <c r="X9" s="26">
        <f t="shared" si="0"/>
        <v>446.91144261648947</v>
      </c>
      <c r="Y9" s="26">
        <f t="shared" si="0"/>
        <v>409.95998324979178</v>
      </c>
      <c r="Z9" s="26">
        <f t="shared" si="0"/>
        <v>372.98109799796953</v>
      </c>
      <c r="AA9" s="26">
        <f t="shared" si="0"/>
        <v>337.30009575500367</v>
      </c>
      <c r="AB9" s="26">
        <f t="shared" si="0"/>
        <v>300.11251147230348</v>
      </c>
      <c r="AC9" s="26">
        <f t="shared" si="0"/>
        <v>262.88960838960861</v>
      </c>
      <c r="AD9" s="26">
        <f t="shared" si="0"/>
        <v>225.62415418275842</v>
      </c>
      <c r="AE9" s="26">
        <f t="shared" si="0"/>
        <v>188.35721174436566</v>
      </c>
      <c r="AF9" s="26">
        <f t="shared" si="0"/>
        <v>151.54139317101112</v>
      </c>
      <c r="AG9" s="26">
        <f t="shared" si="0"/>
        <v>114.69639976506886</v>
      </c>
      <c r="AH9" s="26">
        <f t="shared" si="0"/>
        <v>76.754470644568357</v>
      </c>
      <c r="AI9" s="26">
        <f t="shared" si="0"/>
        <v>38.701881262349545</v>
      </c>
    </row>
    <row r="10" spans="1:35" ht="15" customHeight="1">
      <c r="A10"/>
      <c r="B10" s="26"/>
      <c r="C10" s="26"/>
      <c r="D10" s="26"/>
      <c r="E10" s="107" t="s">
        <v>389</v>
      </c>
      <c r="F10" s="26"/>
      <c r="G10" s="26" t="str">
        <f>Inputs!$I$11</f>
        <v>£m 20/21 prices</v>
      </c>
      <c r="H10" s="26"/>
      <c r="I10" s="66"/>
      <c r="J10" s="66"/>
      <c r="K10" s="208">
        <f>-SUM(Finance!K49:AX49)</f>
        <v>41.183507945671231</v>
      </c>
      <c r="L10" s="209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</row>
    <row r="11" spans="1:35" ht="15" customHeight="1">
      <c r="A11"/>
      <c r="B11" s="26"/>
      <c r="C11" s="26"/>
      <c r="D11" s="26"/>
      <c r="E11" s="107" t="s">
        <v>390</v>
      </c>
      <c r="F11" s="26"/>
      <c r="G11" s="26" t="str">
        <f>Inputs!$I$11</f>
        <v>£m 20/21 prices</v>
      </c>
      <c r="H11" s="26"/>
      <c r="I11" s="66"/>
      <c r="J11" s="66"/>
      <c r="K11" s="208">
        <f>-SUM(Pre_Op_RAV!K25:AX25)</f>
        <v>882.87903546491191</v>
      </c>
      <c r="L11" s="210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</row>
    <row r="12" spans="1:35" ht="15" customHeight="1">
      <c r="A12"/>
      <c r="B12" s="26"/>
      <c r="C12" s="26"/>
      <c r="D12" s="26"/>
      <c r="E12" s="107" t="s">
        <v>391</v>
      </c>
      <c r="F12" s="26"/>
      <c r="G12" s="26" t="str">
        <f>Inputs!$I$11</f>
        <v>£m 20/21 prices</v>
      </c>
      <c r="H12" s="26"/>
      <c r="I12" s="66"/>
      <c r="J12" s="66"/>
      <c r="K12" s="196">
        <f t="shared" ref="K12:AI12" si="1">SUM(K9:K11)</f>
        <v>924.06254341058309</v>
      </c>
      <c r="L12" s="196">
        <f t="shared" si="1"/>
        <v>887.1000416741598</v>
      </c>
      <c r="M12" s="196">
        <f t="shared" si="1"/>
        <v>850.13753993773651</v>
      </c>
      <c r="N12" s="196">
        <f t="shared" si="1"/>
        <v>813.17503820131321</v>
      </c>
      <c r="O12" s="196">
        <f t="shared" si="1"/>
        <v>776.21253646488992</v>
      </c>
      <c r="P12" s="196">
        <f t="shared" si="1"/>
        <v>739.25003472846663</v>
      </c>
      <c r="Q12" s="196">
        <f t="shared" si="1"/>
        <v>702.28753299204334</v>
      </c>
      <c r="R12" s="196">
        <f t="shared" si="1"/>
        <v>665.32503125562005</v>
      </c>
      <c r="S12" s="196">
        <f t="shared" si="1"/>
        <v>629.06889095093732</v>
      </c>
      <c r="T12" s="196">
        <f t="shared" si="1"/>
        <v>592.44346648105181</v>
      </c>
      <c r="U12" s="196">
        <f t="shared" si="1"/>
        <v>555.61091166386996</v>
      </c>
      <c r="V12" s="196">
        <f t="shared" si="1"/>
        <v>518.95258632053401</v>
      </c>
      <c r="W12" s="196">
        <f t="shared" si="1"/>
        <v>482.64258310030954</v>
      </c>
      <c r="X12" s="196">
        <f t="shared" si="1"/>
        <v>446.91144261648947</v>
      </c>
      <c r="Y12" s="196">
        <f t="shared" si="1"/>
        <v>409.95998324979178</v>
      </c>
      <c r="Z12" s="196">
        <f t="shared" si="1"/>
        <v>372.98109799796953</v>
      </c>
      <c r="AA12" s="196">
        <f t="shared" si="1"/>
        <v>337.30009575500367</v>
      </c>
      <c r="AB12" s="196">
        <f t="shared" si="1"/>
        <v>300.11251147230348</v>
      </c>
      <c r="AC12" s="196">
        <f t="shared" si="1"/>
        <v>262.88960838960861</v>
      </c>
      <c r="AD12" s="196">
        <f t="shared" si="1"/>
        <v>225.62415418275842</v>
      </c>
      <c r="AE12" s="196">
        <f t="shared" si="1"/>
        <v>188.35721174436566</v>
      </c>
      <c r="AF12" s="196">
        <f t="shared" si="1"/>
        <v>151.54139317101112</v>
      </c>
      <c r="AG12" s="196">
        <f t="shared" si="1"/>
        <v>114.69639976506886</v>
      </c>
      <c r="AH12" s="196">
        <f t="shared" si="1"/>
        <v>76.754470644568357</v>
      </c>
      <c r="AI12" s="196">
        <f t="shared" si="1"/>
        <v>38.701881262349545</v>
      </c>
    </row>
    <row r="13" spans="1:35" ht="15" customHeight="1">
      <c r="A13"/>
      <c r="B13" s="26"/>
      <c r="C13" s="26"/>
      <c r="D13" s="26"/>
      <c r="E13" s="107" t="s">
        <v>158</v>
      </c>
      <c r="F13" s="26"/>
      <c r="G13" s="26" t="str">
        <f>Inputs!$I$11</f>
        <v>£m 20/21 prices</v>
      </c>
      <c r="H13" s="26"/>
      <c r="I13" s="66"/>
      <c r="J13" s="66"/>
      <c r="K13" s="21">
        <f>Inputs!K59</f>
        <v>0</v>
      </c>
      <c r="L13" s="21">
        <f>Inputs!L59</f>
        <v>0</v>
      </c>
      <c r="M13" s="21">
        <f>Inputs!M59</f>
        <v>0</v>
      </c>
      <c r="N13" s="21">
        <f>Inputs!N59</f>
        <v>0</v>
      </c>
      <c r="O13" s="21">
        <f>Inputs!O59</f>
        <v>0</v>
      </c>
      <c r="P13" s="21">
        <f>Inputs!P59</f>
        <v>0</v>
      </c>
      <c r="Q13" s="21">
        <f>Inputs!Q59</f>
        <v>0</v>
      </c>
      <c r="R13" s="21">
        <f>Inputs!R59</f>
        <v>0.70636143174061439</v>
      </c>
      <c r="S13" s="21">
        <f>Inputs!S59</f>
        <v>0.3786279389931741</v>
      </c>
      <c r="T13" s="21">
        <f>Inputs!T59</f>
        <v>0.19516183788395905</v>
      </c>
      <c r="U13" s="21">
        <f>Inputs!U59</f>
        <v>0.38240210092208138</v>
      </c>
      <c r="V13" s="21">
        <f>Inputs!V59</f>
        <v>0.75803865981368157</v>
      </c>
      <c r="W13" s="21">
        <f>Inputs!W59</f>
        <v>1.3952120623575672</v>
      </c>
      <c r="X13" s="21">
        <f>Inputs!X59</f>
        <v>0.29116085134308672</v>
      </c>
      <c r="Y13" s="21">
        <f>Inputs!Y59</f>
        <v>0.2902041345224502</v>
      </c>
      <c r="Z13" s="21">
        <f>Inputs!Z59</f>
        <v>1.6171075568311293</v>
      </c>
      <c r="AA13" s="21">
        <f>Inputs!AA59</f>
        <v>0.2902041345224502</v>
      </c>
      <c r="AB13" s="21">
        <f>Inputs!AB59</f>
        <v>0.29116085134308672</v>
      </c>
      <c r="AC13" s="21">
        <f>Inputs!AC59</f>
        <v>0.2902041345224502</v>
      </c>
      <c r="AD13" s="21">
        <f>Inputs!AD59</f>
        <v>0.33708325873363693</v>
      </c>
      <c r="AE13" s="21">
        <f>Inputs!AE59</f>
        <v>0.85562377551860125</v>
      </c>
      <c r="AF13" s="21">
        <f>Inputs!AF59</f>
        <v>1.0403548868105208</v>
      </c>
      <c r="AG13" s="21">
        <f>Inputs!AG59</f>
        <v>0.2902041345224502</v>
      </c>
      <c r="AH13" s="21">
        <f>Inputs!AH59</f>
        <v>0.32464594006536301</v>
      </c>
      <c r="AI13" s="21">
        <f>Inputs!AI59</f>
        <v>1.0106119004617085</v>
      </c>
    </row>
    <row r="14" spans="1:35" ht="15" customHeight="1">
      <c r="A14"/>
      <c r="B14" s="26"/>
      <c r="C14" s="26"/>
      <c r="D14" s="26"/>
      <c r="E14" s="107" t="s">
        <v>392</v>
      </c>
      <c r="F14" s="26"/>
      <c r="G14" s="26" t="str">
        <f>Inputs!$I$11</f>
        <v>£m 20/21 prices</v>
      </c>
      <c r="H14" s="26"/>
      <c r="I14" s="66"/>
      <c r="J14" s="66"/>
      <c r="K14" s="26">
        <f t="shared" ref="K14:AI14" si="2" xml:space="preserve"> - K25</f>
        <v>-36.96250173642332</v>
      </c>
      <c r="L14" s="26">
        <f t="shared" si="2"/>
        <v>-36.962501736423327</v>
      </c>
      <c r="M14" s="26">
        <f t="shared" si="2"/>
        <v>-36.962501736423327</v>
      </c>
      <c r="N14" s="26">
        <f t="shared" si="2"/>
        <v>-36.962501736423327</v>
      </c>
      <c r="O14" s="26">
        <f t="shared" si="2"/>
        <v>-36.962501736423327</v>
      </c>
      <c r="P14" s="26">
        <f t="shared" si="2"/>
        <v>-36.962501736423334</v>
      </c>
      <c r="Q14" s="26">
        <f t="shared" si="2"/>
        <v>-36.962501736423334</v>
      </c>
      <c r="R14" s="26">
        <f t="shared" si="2"/>
        <v>-36.962501736423334</v>
      </c>
      <c r="S14" s="26">
        <f t="shared" si="2"/>
        <v>-37.004052408878664</v>
      </c>
      <c r="T14" s="26">
        <f t="shared" si="2"/>
        <v>-37.027716655065738</v>
      </c>
      <c r="U14" s="26">
        <f t="shared" si="2"/>
        <v>-37.040727444257996</v>
      </c>
      <c r="V14" s="26">
        <f t="shared" si="2"/>
        <v>-37.068041880038145</v>
      </c>
      <c r="W14" s="26">
        <f t="shared" si="2"/>
        <v>-37.126352546177657</v>
      </c>
      <c r="X14" s="26">
        <f t="shared" si="2"/>
        <v>-37.242620218040791</v>
      </c>
      <c r="Y14" s="26">
        <f t="shared" si="2"/>
        <v>-37.26908938634471</v>
      </c>
      <c r="Z14" s="26">
        <f t="shared" si="2"/>
        <v>-37.298109799796954</v>
      </c>
      <c r="AA14" s="26">
        <f t="shared" si="2"/>
        <v>-37.477788417222627</v>
      </c>
      <c r="AB14" s="26">
        <f t="shared" si="2"/>
        <v>-37.514063934037935</v>
      </c>
      <c r="AC14" s="26">
        <f t="shared" si="2"/>
        <v>-37.555658341372656</v>
      </c>
      <c r="AD14" s="26">
        <f t="shared" si="2"/>
        <v>-37.604025697126403</v>
      </c>
      <c r="AE14" s="26">
        <f t="shared" si="2"/>
        <v>-37.671442348873128</v>
      </c>
      <c r="AF14" s="26">
        <f t="shared" si="2"/>
        <v>-37.885348292752781</v>
      </c>
      <c r="AG14" s="26">
        <f t="shared" si="2"/>
        <v>-38.232133255022951</v>
      </c>
      <c r="AH14" s="26">
        <f t="shared" si="2"/>
        <v>-38.377235322284179</v>
      </c>
      <c r="AI14" s="26">
        <f t="shared" si="2"/>
        <v>-39.712493162811256</v>
      </c>
    </row>
    <row r="15" spans="1:35" ht="15" customHeight="1">
      <c r="A15"/>
      <c r="B15" s="26"/>
      <c r="C15" s="26"/>
      <c r="D15" s="26"/>
      <c r="E15" s="107" t="s">
        <v>393</v>
      </c>
      <c r="F15" s="26"/>
      <c r="G15" s="26" t="str">
        <f>Inputs!$I$11</f>
        <v>£m 20/21 prices</v>
      </c>
      <c r="H15" s="26"/>
      <c r="I15" s="66"/>
      <c r="J15" s="66"/>
      <c r="K15" s="181">
        <f t="shared" ref="K15:AI15" si="3">SUM(K12:K14)</f>
        <v>887.1000416741598</v>
      </c>
      <c r="L15" s="181">
        <f t="shared" si="3"/>
        <v>850.13753993773651</v>
      </c>
      <c r="M15" s="181">
        <f t="shared" si="3"/>
        <v>813.17503820131321</v>
      </c>
      <c r="N15" s="181">
        <f t="shared" si="3"/>
        <v>776.21253646488992</v>
      </c>
      <c r="O15" s="181">
        <f t="shared" si="3"/>
        <v>739.25003472846663</v>
      </c>
      <c r="P15" s="181">
        <f t="shared" si="3"/>
        <v>702.28753299204334</v>
      </c>
      <c r="Q15" s="181">
        <f t="shared" si="3"/>
        <v>665.32503125562005</v>
      </c>
      <c r="R15" s="181">
        <f t="shared" si="3"/>
        <v>629.06889095093732</v>
      </c>
      <c r="S15" s="181">
        <f t="shared" si="3"/>
        <v>592.44346648105181</v>
      </c>
      <c r="T15" s="181">
        <f t="shared" si="3"/>
        <v>555.61091166386996</v>
      </c>
      <c r="U15" s="181">
        <f t="shared" si="3"/>
        <v>518.95258632053401</v>
      </c>
      <c r="V15" s="181">
        <f t="shared" si="3"/>
        <v>482.64258310030954</v>
      </c>
      <c r="W15" s="181">
        <f t="shared" si="3"/>
        <v>446.91144261648947</v>
      </c>
      <c r="X15" s="181">
        <f t="shared" si="3"/>
        <v>409.95998324979178</v>
      </c>
      <c r="Y15" s="181">
        <f t="shared" si="3"/>
        <v>372.98109799796953</v>
      </c>
      <c r="Z15" s="181">
        <f t="shared" si="3"/>
        <v>337.30009575500367</v>
      </c>
      <c r="AA15" s="181">
        <f t="shared" si="3"/>
        <v>300.11251147230348</v>
      </c>
      <c r="AB15" s="181">
        <f t="shared" si="3"/>
        <v>262.88960838960861</v>
      </c>
      <c r="AC15" s="181">
        <f t="shared" si="3"/>
        <v>225.62415418275842</v>
      </c>
      <c r="AD15" s="181">
        <f t="shared" si="3"/>
        <v>188.35721174436566</v>
      </c>
      <c r="AE15" s="181">
        <f t="shared" si="3"/>
        <v>151.54139317101112</v>
      </c>
      <c r="AF15" s="181">
        <f t="shared" si="3"/>
        <v>114.69639976506886</v>
      </c>
      <c r="AG15" s="181">
        <f t="shared" si="3"/>
        <v>76.754470644568357</v>
      </c>
      <c r="AH15" s="181">
        <f t="shared" si="3"/>
        <v>38.701881262349545</v>
      </c>
      <c r="AI15" s="181">
        <f t="shared" si="3"/>
        <v>0</v>
      </c>
    </row>
    <row r="16" spans="1:35" ht="15" customHeight="1">
      <c r="A16"/>
      <c r="B16" s="26"/>
      <c r="C16" s="26"/>
      <c r="D16" s="26"/>
      <c r="E16" s="26"/>
      <c r="F16" s="26"/>
      <c r="G16" s="26"/>
      <c r="H16" s="26"/>
      <c r="I16" s="66"/>
      <c r="J16" s="66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</row>
    <row r="17" spans="2:35" customFormat="1" ht="15" customHeight="1">
      <c r="B17" s="26"/>
      <c r="C17" s="26"/>
      <c r="D17" s="26"/>
      <c r="E17" s="26" t="s">
        <v>394</v>
      </c>
      <c r="F17" s="26"/>
      <c r="G17" s="26" t="str">
        <f>Inputs!$I$11</f>
        <v>£m 20/21 prices</v>
      </c>
      <c r="H17" s="26"/>
      <c r="I17" s="66"/>
      <c r="J17" s="66"/>
      <c r="K17" s="196">
        <f t="shared" ref="K17:AI17" si="4">AVERAGE(K12, K15)</f>
        <v>905.58129254237144</v>
      </c>
      <c r="L17" s="196">
        <f t="shared" si="4"/>
        <v>868.61879080594815</v>
      </c>
      <c r="M17" s="196">
        <f t="shared" si="4"/>
        <v>831.65628906952486</v>
      </c>
      <c r="N17" s="196">
        <f t="shared" si="4"/>
        <v>794.69378733310157</v>
      </c>
      <c r="O17" s="196">
        <f t="shared" si="4"/>
        <v>757.73128559667828</v>
      </c>
      <c r="P17" s="196">
        <f t="shared" si="4"/>
        <v>720.76878386025498</v>
      </c>
      <c r="Q17" s="196">
        <f t="shared" si="4"/>
        <v>683.80628212383169</v>
      </c>
      <c r="R17" s="196">
        <f t="shared" si="4"/>
        <v>647.19696110327868</v>
      </c>
      <c r="S17" s="196">
        <f t="shared" si="4"/>
        <v>610.75617871599457</v>
      </c>
      <c r="T17" s="196">
        <f t="shared" si="4"/>
        <v>574.02718907246094</v>
      </c>
      <c r="U17" s="196">
        <f t="shared" si="4"/>
        <v>537.28174899220198</v>
      </c>
      <c r="V17" s="196">
        <f t="shared" si="4"/>
        <v>500.7975847104218</v>
      </c>
      <c r="W17" s="196">
        <f t="shared" si="4"/>
        <v>464.77701285839953</v>
      </c>
      <c r="X17" s="196">
        <f t="shared" si="4"/>
        <v>428.43571293314062</v>
      </c>
      <c r="Y17" s="196">
        <f t="shared" si="4"/>
        <v>391.47054062388065</v>
      </c>
      <c r="Z17" s="196">
        <f t="shared" si="4"/>
        <v>355.1405968764866</v>
      </c>
      <c r="AA17" s="196">
        <f t="shared" si="4"/>
        <v>318.70630361365357</v>
      </c>
      <c r="AB17" s="196">
        <f t="shared" si="4"/>
        <v>281.50105993095605</v>
      </c>
      <c r="AC17" s="196">
        <f t="shared" si="4"/>
        <v>244.2568812861835</v>
      </c>
      <c r="AD17" s="196">
        <f t="shared" si="4"/>
        <v>206.99068296356205</v>
      </c>
      <c r="AE17" s="196">
        <f t="shared" si="4"/>
        <v>169.94930245768839</v>
      </c>
      <c r="AF17" s="196">
        <f t="shared" si="4"/>
        <v>133.11889646803999</v>
      </c>
      <c r="AG17" s="196">
        <f t="shared" si="4"/>
        <v>95.725435204818609</v>
      </c>
      <c r="AH17" s="196">
        <f t="shared" si="4"/>
        <v>57.728175953458951</v>
      </c>
      <c r="AI17" s="196">
        <f t="shared" si="4"/>
        <v>19.350940631174772</v>
      </c>
    </row>
    <row r="18" spans="2:35" ht="15" customHeight="1">
      <c r="B18" s="26"/>
      <c r="C18" s="26"/>
      <c r="D18" s="26"/>
      <c r="E18" s="26"/>
      <c r="F18" s="26"/>
      <c r="G18" s="26"/>
      <c r="H18" s="2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</row>
    <row r="19" spans="2:35" ht="15" customHeight="1">
      <c r="B19" s="14" t="s">
        <v>395</v>
      </c>
      <c r="C19" s="58"/>
      <c r="D19" s="58"/>
      <c r="E19" s="58"/>
      <c r="F19" s="59"/>
      <c r="G19" s="59"/>
      <c r="H19" s="59"/>
      <c r="I19" s="178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</row>
    <row r="20" spans="2:35" ht="15" customHeight="1">
      <c r="B20" s="26"/>
      <c r="C20" s="26"/>
      <c r="D20" s="26"/>
      <c r="E20" s="26"/>
      <c r="F20" s="26"/>
      <c r="G20" s="26"/>
      <c r="H20" s="26"/>
      <c r="I20" s="66"/>
      <c r="J20" s="107"/>
      <c r="K20" s="107"/>
      <c r="L20" s="107"/>
      <c r="M20" s="107"/>
      <c r="N20" s="107"/>
      <c r="O20" s="107"/>
      <c r="P20" s="107"/>
      <c r="Q20" s="107"/>
      <c r="R20" s="107"/>
      <c r="S20" s="26"/>
      <c r="T20" s="26"/>
      <c r="U20" s="26"/>
      <c r="V20" s="26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</row>
    <row r="21" spans="2:35" ht="15" customHeight="1">
      <c r="B21" s="26"/>
      <c r="C21" s="26"/>
      <c r="D21" s="26"/>
      <c r="E21" s="107" t="s">
        <v>241</v>
      </c>
      <c r="F21" s="26"/>
      <c r="G21" s="107" t="s">
        <v>183</v>
      </c>
      <c r="H21" s="26"/>
      <c r="I21" s="211">
        <f>Inputs!I155</f>
        <v>25</v>
      </c>
      <c r="J21" s="107"/>
      <c r="K21" s="107"/>
      <c r="L21" s="107"/>
      <c r="M21" s="107"/>
      <c r="N21" s="107"/>
      <c r="O21" s="107"/>
      <c r="P21" s="107"/>
      <c r="Q21" s="107"/>
      <c r="R21" s="107"/>
      <c r="S21" s="212"/>
      <c r="T21" s="212"/>
      <c r="U21" s="212"/>
      <c r="V21" s="212"/>
      <c r="W21" s="212"/>
      <c r="X21" s="212"/>
      <c r="Y21" s="212"/>
      <c r="Z21" s="212"/>
      <c r="AA21" s="212"/>
      <c r="AB21" s="212"/>
      <c r="AC21" s="212"/>
      <c r="AD21" s="212"/>
      <c r="AE21" s="212"/>
      <c r="AF21" s="212"/>
      <c r="AG21" s="212"/>
      <c r="AH21" s="212"/>
      <c r="AI21" s="212"/>
    </row>
    <row r="22" spans="2:35" customFormat="1" ht="15" customHeight="1">
      <c r="B22" s="26"/>
      <c r="C22" s="26"/>
      <c r="D22" s="26"/>
      <c r="E22" s="26" t="s">
        <v>396</v>
      </c>
      <c r="F22" s="26"/>
      <c r="G22" s="107" t="s">
        <v>183</v>
      </c>
      <c r="H22" s="26"/>
      <c r="I22" s="66"/>
      <c r="J22" s="107"/>
      <c r="K22" s="212">
        <f>I21</f>
        <v>25</v>
      </c>
      <c r="L22" s="212">
        <f t="shared" ref="L22:AI22" si="5">+K22-1</f>
        <v>24</v>
      </c>
      <c r="M22" s="212">
        <f t="shared" si="5"/>
        <v>23</v>
      </c>
      <c r="N22" s="212">
        <f t="shared" si="5"/>
        <v>22</v>
      </c>
      <c r="O22" s="212">
        <f t="shared" si="5"/>
        <v>21</v>
      </c>
      <c r="P22" s="212">
        <f t="shared" si="5"/>
        <v>20</v>
      </c>
      <c r="Q22" s="212">
        <f t="shared" si="5"/>
        <v>19</v>
      </c>
      <c r="R22" s="212">
        <f t="shared" si="5"/>
        <v>18</v>
      </c>
      <c r="S22" s="212">
        <f t="shared" si="5"/>
        <v>17</v>
      </c>
      <c r="T22" s="212">
        <f t="shared" si="5"/>
        <v>16</v>
      </c>
      <c r="U22" s="212">
        <f t="shared" si="5"/>
        <v>15</v>
      </c>
      <c r="V22" s="212">
        <f t="shared" si="5"/>
        <v>14</v>
      </c>
      <c r="W22" s="212">
        <f t="shared" si="5"/>
        <v>13</v>
      </c>
      <c r="X22" s="212">
        <f t="shared" si="5"/>
        <v>12</v>
      </c>
      <c r="Y22" s="212">
        <f t="shared" si="5"/>
        <v>11</v>
      </c>
      <c r="Z22" s="212">
        <f t="shared" si="5"/>
        <v>10</v>
      </c>
      <c r="AA22" s="212">
        <f t="shared" si="5"/>
        <v>9</v>
      </c>
      <c r="AB22" s="212">
        <f t="shared" si="5"/>
        <v>8</v>
      </c>
      <c r="AC22" s="212">
        <f t="shared" si="5"/>
        <v>7</v>
      </c>
      <c r="AD22" s="212">
        <f t="shared" si="5"/>
        <v>6</v>
      </c>
      <c r="AE22" s="212">
        <f t="shared" si="5"/>
        <v>5</v>
      </c>
      <c r="AF22" s="212">
        <f t="shared" si="5"/>
        <v>4</v>
      </c>
      <c r="AG22" s="212">
        <f t="shared" si="5"/>
        <v>3</v>
      </c>
      <c r="AH22" s="212">
        <f t="shared" si="5"/>
        <v>2</v>
      </c>
      <c r="AI22" s="212">
        <f t="shared" si="5"/>
        <v>1</v>
      </c>
    </row>
    <row r="23" spans="2:35" customFormat="1" ht="15" customHeight="1">
      <c r="B23" s="26"/>
      <c r="C23" s="26"/>
      <c r="D23" s="26"/>
      <c r="E23" s="26" t="s">
        <v>397</v>
      </c>
      <c r="F23" s="26"/>
      <c r="G23" s="26" t="s">
        <v>247</v>
      </c>
      <c r="H23" s="26"/>
      <c r="I23" s="213"/>
      <c r="J23" s="107"/>
      <c r="K23" s="212" t="b">
        <f t="shared" ref="K23:AI23" si="6">K22 &gt; 0</f>
        <v>1</v>
      </c>
      <c r="L23" s="212" t="b">
        <f t="shared" si="6"/>
        <v>1</v>
      </c>
      <c r="M23" s="212" t="b">
        <f t="shared" si="6"/>
        <v>1</v>
      </c>
      <c r="N23" s="212" t="b">
        <f t="shared" si="6"/>
        <v>1</v>
      </c>
      <c r="O23" s="212" t="b">
        <f t="shared" si="6"/>
        <v>1</v>
      </c>
      <c r="P23" s="212" t="b">
        <f t="shared" si="6"/>
        <v>1</v>
      </c>
      <c r="Q23" s="212" t="b">
        <f t="shared" si="6"/>
        <v>1</v>
      </c>
      <c r="R23" s="212" t="b">
        <f t="shared" si="6"/>
        <v>1</v>
      </c>
      <c r="S23" s="212" t="b">
        <f t="shared" si="6"/>
        <v>1</v>
      </c>
      <c r="T23" s="212" t="b">
        <f t="shared" si="6"/>
        <v>1</v>
      </c>
      <c r="U23" s="212" t="b">
        <f t="shared" si="6"/>
        <v>1</v>
      </c>
      <c r="V23" s="212" t="b">
        <f t="shared" si="6"/>
        <v>1</v>
      </c>
      <c r="W23" s="212" t="b">
        <f t="shared" si="6"/>
        <v>1</v>
      </c>
      <c r="X23" s="212" t="b">
        <f t="shared" si="6"/>
        <v>1</v>
      </c>
      <c r="Y23" s="212" t="b">
        <f t="shared" si="6"/>
        <v>1</v>
      </c>
      <c r="Z23" s="212" t="b">
        <f t="shared" si="6"/>
        <v>1</v>
      </c>
      <c r="AA23" s="212" t="b">
        <f t="shared" si="6"/>
        <v>1</v>
      </c>
      <c r="AB23" s="212" t="b">
        <f t="shared" si="6"/>
        <v>1</v>
      </c>
      <c r="AC23" s="212" t="b">
        <f t="shared" si="6"/>
        <v>1</v>
      </c>
      <c r="AD23" s="212" t="b">
        <f t="shared" si="6"/>
        <v>1</v>
      </c>
      <c r="AE23" s="212" t="b">
        <f t="shared" si="6"/>
        <v>1</v>
      </c>
      <c r="AF23" s="212" t="b">
        <f t="shared" si="6"/>
        <v>1</v>
      </c>
      <c r="AG23" s="212" t="b">
        <f t="shared" si="6"/>
        <v>1</v>
      </c>
      <c r="AH23" s="212" t="b">
        <f t="shared" si="6"/>
        <v>1</v>
      </c>
      <c r="AI23" s="212" t="b">
        <f t="shared" si="6"/>
        <v>1</v>
      </c>
    </row>
    <row r="24" spans="2:35" ht="15" customHeight="1">
      <c r="B24" s="26"/>
      <c r="C24" s="26"/>
      <c r="D24" s="26"/>
      <c r="E24" s="26"/>
      <c r="F24" s="26"/>
      <c r="G24" s="107"/>
      <c r="H24" s="26"/>
      <c r="I24" s="66"/>
      <c r="J24" s="107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212"/>
      <c r="X24" s="212"/>
      <c r="Y24" s="212"/>
      <c r="Z24" s="212"/>
      <c r="AA24" s="212"/>
      <c r="AB24" s="212"/>
      <c r="AC24" s="212"/>
      <c r="AD24" s="212"/>
      <c r="AE24" s="212"/>
      <c r="AF24" s="212"/>
      <c r="AG24" s="212"/>
      <c r="AH24" s="212"/>
      <c r="AI24" s="212"/>
    </row>
    <row r="25" spans="2:35" customFormat="1" ht="15" customHeight="1">
      <c r="B25" s="26"/>
      <c r="C25" s="26"/>
      <c r="D25" s="26"/>
      <c r="E25" s="26" t="s">
        <v>398</v>
      </c>
      <c r="F25" s="26"/>
      <c r="G25" s="26" t="str">
        <f>Inputs!$I$11</f>
        <v>£m 20/21 prices</v>
      </c>
      <c r="H25" s="26"/>
      <c r="I25" s="66"/>
      <c r="J25" s="107"/>
      <c r="K25" s="214">
        <f t="shared" ref="K25:AI25" si="7">IF(K23, IF(K22=1,SUM(K12:K13),K12 / K22), 0)</f>
        <v>36.96250173642332</v>
      </c>
      <c r="L25" s="214">
        <f t="shared" si="7"/>
        <v>36.962501736423327</v>
      </c>
      <c r="M25" s="214">
        <f t="shared" si="7"/>
        <v>36.962501736423327</v>
      </c>
      <c r="N25" s="214">
        <f t="shared" si="7"/>
        <v>36.962501736423327</v>
      </c>
      <c r="O25" s="214">
        <f t="shared" si="7"/>
        <v>36.962501736423327</v>
      </c>
      <c r="P25" s="214">
        <f t="shared" si="7"/>
        <v>36.962501736423334</v>
      </c>
      <c r="Q25" s="214">
        <f t="shared" si="7"/>
        <v>36.962501736423334</v>
      </c>
      <c r="R25" s="214">
        <f t="shared" si="7"/>
        <v>36.962501736423334</v>
      </c>
      <c r="S25" s="214">
        <f t="shared" si="7"/>
        <v>37.004052408878664</v>
      </c>
      <c r="T25" s="214">
        <f t="shared" si="7"/>
        <v>37.027716655065738</v>
      </c>
      <c r="U25" s="214">
        <f t="shared" si="7"/>
        <v>37.040727444257996</v>
      </c>
      <c r="V25" s="214">
        <f t="shared" si="7"/>
        <v>37.068041880038145</v>
      </c>
      <c r="W25" s="214">
        <f t="shared" si="7"/>
        <v>37.126352546177657</v>
      </c>
      <c r="X25" s="214">
        <f t="shared" si="7"/>
        <v>37.242620218040791</v>
      </c>
      <c r="Y25" s="214">
        <f t="shared" si="7"/>
        <v>37.26908938634471</v>
      </c>
      <c r="Z25" s="214">
        <f t="shared" si="7"/>
        <v>37.298109799796954</v>
      </c>
      <c r="AA25" s="214">
        <f t="shared" si="7"/>
        <v>37.477788417222627</v>
      </c>
      <c r="AB25" s="214">
        <f t="shared" si="7"/>
        <v>37.514063934037935</v>
      </c>
      <c r="AC25" s="214">
        <f t="shared" si="7"/>
        <v>37.555658341372656</v>
      </c>
      <c r="AD25" s="214">
        <f t="shared" si="7"/>
        <v>37.604025697126403</v>
      </c>
      <c r="AE25" s="214">
        <f t="shared" si="7"/>
        <v>37.671442348873128</v>
      </c>
      <c r="AF25" s="214">
        <f t="shared" si="7"/>
        <v>37.885348292752781</v>
      </c>
      <c r="AG25" s="214">
        <f t="shared" si="7"/>
        <v>38.232133255022951</v>
      </c>
      <c r="AH25" s="214">
        <f t="shared" si="7"/>
        <v>38.377235322284179</v>
      </c>
      <c r="AI25" s="214">
        <f t="shared" si="7"/>
        <v>39.712493162811256</v>
      </c>
    </row>
    <row r="26" spans="2:35" ht="15" customHeight="1">
      <c r="B26" s="26"/>
      <c r="C26" s="26"/>
      <c r="D26" s="26"/>
      <c r="E26" s="26"/>
      <c r="F26" s="26"/>
      <c r="G26" s="26"/>
      <c r="H26" s="26"/>
      <c r="I26" s="66"/>
      <c r="J26" s="107"/>
      <c r="K26" s="107"/>
      <c r="L26" s="107"/>
      <c r="M26" s="107"/>
      <c r="N26" s="107"/>
      <c r="O26" s="107"/>
      <c r="P26" s="107"/>
      <c r="Q26" s="107"/>
      <c r="R26" s="107"/>
      <c r="S26" s="26"/>
      <c r="T26" s="26"/>
      <c r="U26" s="26"/>
      <c r="V26" s="26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</row>
    <row r="27" spans="2:35" ht="15" customHeight="1">
      <c r="B27" s="26"/>
      <c r="C27" s="26"/>
      <c r="D27" s="26"/>
      <c r="E27" s="26" t="s">
        <v>399</v>
      </c>
      <c r="F27" s="26"/>
      <c r="G27" s="26" t="s">
        <v>243</v>
      </c>
      <c r="H27" s="26"/>
      <c r="I27" s="141" t="str">
        <f>IF(ABS(SUM(Pre_Op_RAV!K20:AX23,Finance!K43:AX46,Finance!K48:AX48,K13:AI13)-SUM(K25:AI25))&lt;0.00000001,"TRUE","FALSE")</f>
        <v>TRUE</v>
      </c>
      <c r="J27" s="107"/>
      <c r="K27" s="26"/>
      <c r="L27" s="107"/>
      <c r="M27" s="107"/>
      <c r="N27" s="107"/>
      <c r="O27" s="107"/>
      <c r="P27" s="107"/>
      <c r="Q27" s="107"/>
      <c r="R27" s="107"/>
      <c r="S27" s="26"/>
      <c r="T27" s="108"/>
      <c r="U27" s="108"/>
      <c r="V27" s="108"/>
      <c r="W27" s="108"/>
      <c r="X27" s="108"/>
      <c r="Y27" s="108"/>
      <c r="Z27" s="108"/>
      <c r="AA27" s="215"/>
      <c r="AB27" s="108"/>
      <c r="AC27" s="108"/>
      <c r="AD27" s="108"/>
      <c r="AE27" s="108"/>
      <c r="AF27" s="108"/>
      <c r="AG27" s="108"/>
      <c r="AH27" s="108"/>
      <c r="AI27" s="108"/>
    </row>
    <row r="28" spans="2:35" ht="15" customHeight="1">
      <c r="B28" s="26"/>
      <c r="C28" s="26"/>
      <c r="D28" s="26"/>
      <c r="E28" s="26"/>
      <c r="F28" s="26"/>
      <c r="G28" s="26"/>
      <c r="H28" s="26"/>
      <c r="I28" s="26"/>
      <c r="J28" s="107"/>
      <c r="K28" s="26"/>
      <c r="L28" s="107"/>
      <c r="M28" s="107"/>
      <c r="N28" s="107"/>
      <c r="O28" s="107"/>
      <c r="P28" s="107"/>
      <c r="Q28" s="107"/>
      <c r="R28" s="107"/>
      <c r="S28" s="26"/>
      <c r="T28" s="108"/>
      <c r="U28" s="108"/>
      <c r="V28" s="108"/>
      <c r="W28" s="108"/>
      <c r="X28" s="108"/>
      <c r="Y28" s="108"/>
      <c r="Z28" s="108"/>
      <c r="AA28" s="215"/>
      <c r="AB28" s="108"/>
      <c r="AC28" s="108"/>
      <c r="AD28" s="108"/>
      <c r="AE28" s="108"/>
      <c r="AF28" s="108"/>
      <c r="AG28" s="108"/>
      <c r="AH28" s="108"/>
      <c r="AI28" s="108"/>
    </row>
    <row r="29" spans="2:35" ht="15" customHeight="1">
      <c r="B29" s="14" t="s">
        <v>400</v>
      </c>
      <c r="C29" s="58"/>
      <c r="D29" s="58"/>
      <c r="E29" s="58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</row>
    <row r="30" spans="2:35" ht="15" customHeight="1">
      <c r="B30" s="128"/>
      <c r="C30" s="16"/>
      <c r="D30" s="16"/>
      <c r="E30" s="203"/>
      <c r="F30" s="16"/>
      <c r="G30" s="16"/>
      <c r="H30" s="2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</row>
    <row r="31" spans="2:35" ht="15" customHeight="1">
      <c r="B31" s="26"/>
      <c r="C31" s="26"/>
      <c r="D31" s="26"/>
      <c r="E31" s="102" t="s">
        <v>168</v>
      </c>
      <c r="F31" s="26"/>
      <c r="G31" s="102" t="str">
        <f>Inputs!G68</f>
        <v>real annual %</v>
      </c>
      <c r="H31" s="16"/>
      <c r="I31" s="194">
        <f>Inputs!I68</f>
        <v>8.1000000000000003E-2</v>
      </c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93"/>
      <c r="W31" s="193"/>
      <c r="X31" s="193"/>
      <c r="Y31" s="193"/>
      <c r="Z31" s="193"/>
      <c r="AA31" s="193"/>
      <c r="AB31" s="193"/>
      <c r="AC31" s="193"/>
      <c r="AD31" s="193"/>
      <c r="AE31" s="193"/>
      <c r="AF31" s="193"/>
      <c r="AG31" s="193"/>
      <c r="AH31" s="193"/>
      <c r="AI31" s="193"/>
    </row>
    <row r="32" spans="2:35" ht="15" customHeight="1">
      <c r="B32" s="26"/>
      <c r="C32" s="26"/>
      <c r="D32" s="26"/>
      <c r="E32" s="102" t="s">
        <v>170</v>
      </c>
      <c r="F32" s="26"/>
      <c r="G32" s="102" t="str">
        <f>Inputs!G69</f>
        <v>real annual %</v>
      </c>
      <c r="H32" s="16"/>
      <c r="I32" s="194">
        <f>Inputs!I69</f>
        <v>1.2200000000000001E-2</v>
      </c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  <c r="Y32" s="193"/>
      <c r="Z32" s="193"/>
      <c r="AA32" s="193"/>
      <c r="AB32" s="193"/>
      <c r="AC32" s="193"/>
      <c r="AD32" s="193"/>
      <c r="AE32" s="193"/>
      <c r="AF32" s="193"/>
      <c r="AG32" s="193"/>
      <c r="AH32" s="193"/>
      <c r="AI32" s="193"/>
    </row>
    <row r="33" spans="2:35" ht="15" customHeight="1">
      <c r="B33" s="26"/>
      <c r="C33" s="26"/>
      <c r="D33" s="26"/>
      <c r="E33" s="26"/>
      <c r="F33" s="26"/>
      <c r="G33" s="26"/>
      <c r="H33" s="26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26"/>
      <c r="T33" s="26"/>
      <c r="U33" s="26"/>
      <c r="V33" s="26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</row>
    <row r="34" spans="2:35" customFormat="1" ht="15" customHeight="1">
      <c r="B34" s="128"/>
      <c r="C34" s="16"/>
      <c r="D34" s="16"/>
      <c r="E34" s="203" t="s">
        <v>391</v>
      </c>
      <c r="F34" s="16"/>
      <c r="G34" s="26" t="str">
        <f>Inputs!$I$11</f>
        <v>£m 20/21 prices</v>
      </c>
      <c r="H34" s="216"/>
      <c r="I34" s="16"/>
      <c r="J34" s="16"/>
      <c r="K34" s="26">
        <f t="shared" ref="K34:AI34" si="8">K12</f>
        <v>924.06254341058309</v>
      </c>
      <c r="L34" s="26">
        <f t="shared" si="8"/>
        <v>887.1000416741598</v>
      </c>
      <c r="M34" s="26">
        <f t="shared" si="8"/>
        <v>850.13753993773651</v>
      </c>
      <c r="N34" s="26">
        <f t="shared" si="8"/>
        <v>813.17503820131321</v>
      </c>
      <c r="O34" s="26">
        <f t="shared" si="8"/>
        <v>776.21253646488992</v>
      </c>
      <c r="P34" s="26">
        <f t="shared" si="8"/>
        <v>739.25003472846663</v>
      </c>
      <c r="Q34" s="26">
        <f t="shared" si="8"/>
        <v>702.28753299204334</v>
      </c>
      <c r="R34" s="26">
        <f t="shared" si="8"/>
        <v>665.32503125562005</v>
      </c>
      <c r="S34" s="26">
        <f t="shared" si="8"/>
        <v>629.06889095093732</v>
      </c>
      <c r="T34" s="26">
        <f t="shared" si="8"/>
        <v>592.44346648105181</v>
      </c>
      <c r="U34" s="26">
        <f t="shared" si="8"/>
        <v>555.61091166386996</v>
      </c>
      <c r="V34" s="26">
        <f t="shared" si="8"/>
        <v>518.95258632053401</v>
      </c>
      <c r="W34" s="26">
        <f t="shared" si="8"/>
        <v>482.64258310030954</v>
      </c>
      <c r="X34" s="26">
        <f t="shared" si="8"/>
        <v>446.91144261648947</v>
      </c>
      <c r="Y34" s="26">
        <f t="shared" si="8"/>
        <v>409.95998324979178</v>
      </c>
      <c r="Z34" s="26">
        <f t="shared" si="8"/>
        <v>372.98109799796953</v>
      </c>
      <c r="AA34" s="26">
        <f t="shared" si="8"/>
        <v>337.30009575500367</v>
      </c>
      <c r="AB34" s="26">
        <f t="shared" si="8"/>
        <v>300.11251147230348</v>
      </c>
      <c r="AC34" s="26">
        <f t="shared" si="8"/>
        <v>262.88960838960861</v>
      </c>
      <c r="AD34" s="26">
        <f t="shared" si="8"/>
        <v>225.62415418275842</v>
      </c>
      <c r="AE34" s="26">
        <f t="shared" si="8"/>
        <v>188.35721174436566</v>
      </c>
      <c r="AF34" s="26">
        <f t="shared" si="8"/>
        <v>151.54139317101112</v>
      </c>
      <c r="AG34" s="26">
        <f t="shared" si="8"/>
        <v>114.69639976506886</v>
      </c>
      <c r="AH34" s="26">
        <f t="shared" si="8"/>
        <v>76.754470644568357</v>
      </c>
      <c r="AI34" s="26">
        <f t="shared" si="8"/>
        <v>38.701881262349545</v>
      </c>
    </row>
    <row r="35" spans="2:35" customFormat="1" ht="15" customHeight="1">
      <c r="B35" s="128"/>
      <c r="C35" s="16"/>
      <c r="D35" s="16"/>
      <c r="E35" s="203" t="s">
        <v>393</v>
      </c>
      <c r="F35" s="16"/>
      <c r="G35" s="26" t="str">
        <f>Inputs!$I$11</f>
        <v>£m 20/21 prices</v>
      </c>
      <c r="H35" s="216"/>
      <c r="I35" s="16"/>
      <c r="J35" s="16"/>
      <c r="K35" s="26">
        <f t="shared" ref="K35:AI35" si="9">K15</f>
        <v>887.1000416741598</v>
      </c>
      <c r="L35" s="26">
        <f t="shared" si="9"/>
        <v>850.13753993773651</v>
      </c>
      <c r="M35" s="26">
        <f t="shared" si="9"/>
        <v>813.17503820131321</v>
      </c>
      <c r="N35" s="26">
        <f t="shared" si="9"/>
        <v>776.21253646488992</v>
      </c>
      <c r="O35" s="26">
        <f t="shared" si="9"/>
        <v>739.25003472846663</v>
      </c>
      <c r="P35" s="26">
        <f t="shared" si="9"/>
        <v>702.28753299204334</v>
      </c>
      <c r="Q35" s="26">
        <f t="shared" si="9"/>
        <v>665.32503125562005</v>
      </c>
      <c r="R35" s="26">
        <f t="shared" si="9"/>
        <v>629.06889095093732</v>
      </c>
      <c r="S35" s="26">
        <f t="shared" si="9"/>
        <v>592.44346648105181</v>
      </c>
      <c r="T35" s="26">
        <f t="shared" si="9"/>
        <v>555.61091166386996</v>
      </c>
      <c r="U35" s="26">
        <f t="shared" si="9"/>
        <v>518.95258632053401</v>
      </c>
      <c r="V35" s="26">
        <f t="shared" si="9"/>
        <v>482.64258310030954</v>
      </c>
      <c r="W35" s="26">
        <f t="shared" si="9"/>
        <v>446.91144261648947</v>
      </c>
      <c r="X35" s="26">
        <f t="shared" si="9"/>
        <v>409.95998324979178</v>
      </c>
      <c r="Y35" s="26">
        <f t="shared" si="9"/>
        <v>372.98109799796953</v>
      </c>
      <c r="Z35" s="26">
        <f t="shared" si="9"/>
        <v>337.30009575500367</v>
      </c>
      <c r="AA35" s="26">
        <f t="shared" si="9"/>
        <v>300.11251147230348</v>
      </c>
      <c r="AB35" s="26">
        <f t="shared" si="9"/>
        <v>262.88960838960861</v>
      </c>
      <c r="AC35" s="26">
        <f t="shared" si="9"/>
        <v>225.62415418275842</v>
      </c>
      <c r="AD35" s="26">
        <f t="shared" si="9"/>
        <v>188.35721174436566</v>
      </c>
      <c r="AE35" s="26">
        <f t="shared" si="9"/>
        <v>151.54139317101112</v>
      </c>
      <c r="AF35" s="26">
        <f t="shared" si="9"/>
        <v>114.69639976506886</v>
      </c>
      <c r="AG35" s="26">
        <f t="shared" si="9"/>
        <v>76.754470644568357</v>
      </c>
      <c r="AH35" s="26">
        <f t="shared" si="9"/>
        <v>38.701881262349545</v>
      </c>
      <c r="AI35" s="26">
        <f t="shared" si="9"/>
        <v>0</v>
      </c>
    </row>
    <row r="36" spans="2:35" ht="15" customHeight="1"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</row>
    <row r="37" spans="2:35" customFormat="1" ht="15" customHeight="1">
      <c r="B37" s="26"/>
      <c r="C37" s="26"/>
      <c r="D37" s="26"/>
      <c r="E37" s="203" t="s">
        <v>401</v>
      </c>
      <c r="F37" s="16"/>
      <c r="G37" s="26" t="str">
        <f>Inputs!$I$11</f>
        <v>£m 20/21 prices</v>
      </c>
      <c r="H37" s="216"/>
      <c r="I37" s="102"/>
      <c r="J37" s="16"/>
      <c r="K37" s="26">
        <f t="shared" ref="K37:AI37" si="10">0.5 * K$34 + 0.5 * K$35 / (1 + $I31)</f>
        <v>872.34581457030527</v>
      </c>
      <c r="L37" s="26">
        <f t="shared" si="10"/>
        <v>836.76812441605148</v>
      </c>
      <c r="M37" s="26">
        <f t="shared" si="10"/>
        <v>801.19043426179758</v>
      </c>
      <c r="N37" s="26">
        <f t="shared" si="10"/>
        <v>765.61274410754368</v>
      </c>
      <c r="O37" s="26">
        <f t="shared" si="10"/>
        <v>730.03505395328989</v>
      </c>
      <c r="P37" s="26">
        <f t="shared" si="10"/>
        <v>694.45736379903599</v>
      </c>
      <c r="Q37" s="26">
        <f t="shared" si="10"/>
        <v>658.87967364478209</v>
      </c>
      <c r="R37" s="26">
        <f t="shared" si="10"/>
        <v>623.62870015645819</v>
      </c>
      <c r="S37" s="26">
        <f t="shared" si="10"/>
        <v>588.56010064709301</v>
      </c>
      <c r="T37" s="26">
        <f t="shared" si="10"/>
        <v>553.21105408412905</v>
      </c>
      <c r="U37" s="26">
        <f t="shared" si="10"/>
        <v>517.83902952320886</v>
      </c>
      <c r="V37" s="26">
        <f t="shared" si="10"/>
        <v>482.71523076448045</v>
      </c>
      <c r="W37" s="26">
        <f t="shared" si="10"/>
        <v>448.03333716370219</v>
      </c>
      <c r="X37" s="26">
        <f t="shared" si="10"/>
        <v>413.07643511480893</v>
      </c>
      <c r="Y37" s="26">
        <f t="shared" si="10"/>
        <v>377.49668820120002</v>
      </c>
      <c r="Z37" s="26">
        <f t="shared" si="10"/>
        <v>342.50354426031856</v>
      </c>
      <c r="AA37" s="26">
        <f t="shared" si="10"/>
        <v>307.46249536700395</v>
      </c>
      <c r="AB37" s="26">
        <f t="shared" si="10"/>
        <v>271.65181928361176</v>
      </c>
      <c r="AC37" s="26">
        <f t="shared" si="10"/>
        <v>235.80380242919767</v>
      </c>
      <c r="AD37" s="26">
        <f t="shared" si="10"/>
        <v>199.93382165399052</v>
      </c>
      <c r="AE37" s="26">
        <f t="shared" si="10"/>
        <v>164.27175720012508</v>
      </c>
      <c r="AF37" s="26">
        <f t="shared" si="10"/>
        <v>128.82176030662899</v>
      </c>
      <c r="AG37" s="26">
        <f t="shared" si="10"/>
        <v>92.849805176044313</v>
      </c>
      <c r="AH37" s="26">
        <f t="shared" si="10"/>
        <v>56.278197978320051</v>
      </c>
      <c r="AI37" s="26">
        <f t="shared" si="10"/>
        <v>19.350940631174772</v>
      </c>
    </row>
    <row r="38" spans="2:35" customFormat="1" ht="15" customHeight="1">
      <c r="B38" s="26"/>
      <c r="C38" s="26"/>
      <c r="D38" s="26"/>
      <c r="E38" s="203" t="s">
        <v>402</v>
      </c>
      <c r="F38" s="16"/>
      <c r="G38" s="26" t="str">
        <f>Inputs!$I$11</f>
        <v>£m 20/21 prices</v>
      </c>
      <c r="H38" s="216"/>
      <c r="I38" s="102"/>
      <c r="J38" s="16"/>
      <c r="K38" s="26">
        <f t="shared" ref="K38:AI38" si="11">0.5 * K$34 + 0.5 * K$35 / (1 + $I32)</f>
        <v>900.23520456152539</v>
      </c>
      <c r="L38" s="26">
        <f t="shared" si="11"/>
        <v>863.4954564909707</v>
      </c>
      <c r="M38" s="26">
        <f t="shared" si="11"/>
        <v>826.755708420416</v>
      </c>
      <c r="N38" s="26">
        <f t="shared" si="11"/>
        <v>790.0159603498613</v>
      </c>
      <c r="O38" s="26">
        <f t="shared" si="11"/>
        <v>753.27621227930649</v>
      </c>
      <c r="P38" s="26">
        <f t="shared" si="11"/>
        <v>716.5364642087518</v>
      </c>
      <c r="Q38" s="26">
        <f t="shared" si="11"/>
        <v>679.7967161381971</v>
      </c>
      <c r="R38" s="26">
        <f t="shared" si="11"/>
        <v>643.40589191260415</v>
      </c>
      <c r="S38" s="26">
        <f t="shared" si="11"/>
        <v>607.18583180280109</v>
      </c>
      <c r="T38" s="26">
        <f t="shared" si="11"/>
        <v>570.67881270301848</v>
      </c>
      <c r="U38" s="26">
        <f t="shared" si="11"/>
        <v>534.15429317659709</v>
      </c>
      <c r="V38" s="26">
        <f t="shared" si="11"/>
        <v>497.88895029339756</v>
      </c>
      <c r="W38" s="26">
        <f t="shared" si="11"/>
        <v>462.08371133699995</v>
      </c>
      <c r="X38" s="26">
        <f t="shared" si="11"/>
        <v>425.9650985310227</v>
      </c>
      <c r="Y38" s="26">
        <f t="shared" si="11"/>
        <v>389.22277862250974</v>
      </c>
      <c r="Z38" s="26">
        <f t="shared" si="11"/>
        <v>353.10786561378603</v>
      </c>
      <c r="AA38" s="26">
        <f t="shared" si="11"/>
        <v>316.89768247160555</v>
      </c>
      <c r="AB38" s="26">
        <f t="shared" si="11"/>
        <v>279.91676175749569</v>
      </c>
      <c r="AC38" s="26">
        <f t="shared" si="11"/>
        <v>242.89716251468101</v>
      </c>
      <c r="AD38" s="26">
        <f t="shared" si="11"/>
        <v>205.85555256281057</v>
      </c>
      <c r="AE38" s="26">
        <f t="shared" si="11"/>
        <v>169.03604174009979</v>
      </c>
      <c r="AF38" s="26">
        <f t="shared" si="11"/>
        <v>132.42768125507129</v>
      </c>
      <c r="AG38" s="26">
        <f t="shared" si="11"/>
        <v>95.262876154303029</v>
      </c>
      <c r="AH38" s="26">
        <f t="shared" si="11"/>
        <v>57.49493995691644</v>
      </c>
      <c r="AI38" s="26">
        <f t="shared" si="11"/>
        <v>19.350940631174772</v>
      </c>
    </row>
    <row r="39" spans="2:35" ht="15" customHeight="1">
      <c r="B39" s="26"/>
      <c r="C39" s="26"/>
      <c r="D39" s="26"/>
      <c r="E39" s="203"/>
      <c r="F39" s="16"/>
      <c r="G39" s="16"/>
      <c r="H39" s="216"/>
      <c r="I39" s="102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</row>
    <row r="40" spans="2:35" customFormat="1" ht="15" customHeight="1">
      <c r="B40" s="26"/>
      <c r="C40" s="26"/>
      <c r="D40" s="26"/>
      <c r="E40" s="102" t="s">
        <v>403</v>
      </c>
      <c r="F40" s="26"/>
      <c r="G40" s="26" t="str">
        <f>Inputs!$I$11</f>
        <v>£m 20/21 prices</v>
      </c>
      <c r="H40" s="26"/>
      <c r="I40" s="107"/>
      <c r="J40" s="107"/>
      <c r="K40" s="20">
        <f t="shared" ref="K40:AI40" si="12">K37 * $I31</f>
        <v>70.660010980194727</v>
      </c>
      <c r="L40" s="20">
        <f t="shared" si="12"/>
        <v>67.778218077700174</v>
      </c>
      <c r="M40" s="20">
        <f t="shared" si="12"/>
        <v>64.896425175205607</v>
      </c>
      <c r="N40" s="20">
        <f t="shared" si="12"/>
        <v>62.01463227271104</v>
      </c>
      <c r="O40" s="20">
        <f t="shared" si="12"/>
        <v>59.13283937021648</v>
      </c>
      <c r="P40" s="20">
        <f t="shared" si="12"/>
        <v>56.251046467721913</v>
      </c>
      <c r="Q40" s="20">
        <f t="shared" si="12"/>
        <v>53.369253565227353</v>
      </c>
      <c r="R40" s="20">
        <f t="shared" si="12"/>
        <v>50.513924712673116</v>
      </c>
      <c r="S40" s="20">
        <f t="shared" si="12"/>
        <v>47.673368152414533</v>
      </c>
      <c r="T40" s="20">
        <f t="shared" si="12"/>
        <v>44.810095380814452</v>
      </c>
      <c r="U40" s="20">
        <f t="shared" si="12"/>
        <v>41.94496139137992</v>
      </c>
      <c r="V40" s="20">
        <f t="shared" si="12"/>
        <v>39.099933691922921</v>
      </c>
      <c r="W40" s="20">
        <f t="shared" si="12"/>
        <v>36.290700310259879</v>
      </c>
      <c r="X40" s="20">
        <f t="shared" si="12"/>
        <v>33.459191244299525</v>
      </c>
      <c r="Y40" s="20">
        <f t="shared" si="12"/>
        <v>30.577231744297201</v>
      </c>
      <c r="Z40" s="20">
        <f t="shared" si="12"/>
        <v>27.742787085085805</v>
      </c>
      <c r="AA40" s="20">
        <f t="shared" si="12"/>
        <v>24.904462124727321</v>
      </c>
      <c r="AB40" s="20">
        <f t="shared" si="12"/>
        <v>22.003797361972552</v>
      </c>
      <c r="AC40" s="20">
        <f t="shared" si="12"/>
        <v>19.100107996765011</v>
      </c>
      <c r="AD40" s="20">
        <f t="shared" si="12"/>
        <v>16.194639553973232</v>
      </c>
      <c r="AE40" s="20">
        <f t="shared" si="12"/>
        <v>13.306012333210132</v>
      </c>
      <c r="AF40" s="20">
        <f t="shared" si="12"/>
        <v>10.434562584836948</v>
      </c>
      <c r="AG40" s="20">
        <f t="shared" si="12"/>
        <v>7.5208342192595898</v>
      </c>
      <c r="AH40" s="20">
        <f t="shared" si="12"/>
        <v>4.5585340362439242</v>
      </c>
      <c r="AI40" s="20">
        <f t="shared" si="12"/>
        <v>1.5674261911251566</v>
      </c>
    </row>
    <row r="41" spans="2:35" customFormat="1" ht="15" customHeight="1">
      <c r="B41" s="26"/>
      <c r="C41" s="26"/>
      <c r="D41" s="26"/>
      <c r="E41" s="102" t="s">
        <v>404</v>
      </c>
      <c r="F41" s="26"/>
      <c r="G41" s="26" t="str">
        <f>Inputs!$I$11</f>
        <v>£m 20/21 prices</v>
      </c>
      <c r="H41" s="26"/>
      <c r="I41" s="107"/>
      <c r="J41" s="107"/>
      <c r="K41" s="20">
        <f t="shared" ref="K41:AI41" si="13">K38 * $I32</f>
        <v>10.982869495650611</v>
      </c>
      <c r="L41" s="20">
        <f t="shared" si="13"/>
        <v>10.534644569189844</v>
      </c>
      <c r="M41" s="20">
        <f t="shared" si="13"/>
        <v>10.086419642729076</v>
      </c>
      <c r="N41" s="20">
        <f t="shared" si="13"/>
        <v>9.638194716268309</v>
      </c>
      <c r="O41" s="20">
        <f t="shared" si="13"/>
        <v>9.1899697898075399</v>
      </c>
      <c r="P41" s="20">
        <f t="shared" si="13"/>
        <v>8.7417448633467725</v>
      </c>
      <c r="Q41" s="20">
        <f t="shared" si="13"/>
        <v>8.2935199368860051</v>
      </c>
      <c r="R41" s="20">
        <f t="shared" si="13"/>
        <v>7.8495518813337712</v>
      </c>
      <c r="S41" s="20">
        <f t="shared" si="13"/>
        <v>7.4076671479941734</v>
      </c>
      <c r="T41" s="20">
        <f t="shared" si="13"/>
        <v>6.9622815149768256</v>
      </c>
      <c r="U41" s="20">
        <f t="shared" si="13"/>
        <v>6.5166823767544848</v>
      </c>
      <c r="V41" s="20">
        <f t="shared" si="13"/>
        <v>6.0742451935794506</v>
      </c>
      <c r="W41" s="20">
        <f t="shared" si="13"/>
        <v>5.6374212783113995</v>
      </c>
      <c r="X41" s="20">
        <f t="shared" si="13"/>
        <v>5.1967742020784771</v>
      </c>
      <c r="Y41" s="20">
        <f t="shared" si="13"/>
        <v>4.7485178991946189</v>
      </c>
      <c r="Z41" s="20">
        <f t="shared" si="13"/>
        <v>4.3079159604881898</v>
      </c>
      <c r="AA41" s="20">
        <f t="shared" si="13"/>
        <v>3.8661517261535878</v>
      </c>
      <c r="AB41" s="20">
        <f t="shared" si="13"/>
        <v>3.4149844934414477</v>
      </c>
      <c r="AC41" s="20">
        <f t="shared" si="13"/>
        <v>2.9633453826791087</v>
      </c>
      <c r="AD41" s="20">
        <f t="shared" si="13"/>
        <v>2.5114377412662892</v>
      </c>
      <c r="AE41" s="20">
        <f t="shared" si="13"/>
        <v>2.0622397092292175</v>
      </c>
      <c r="AF41" s="20">
        <f t="shared" si="13"/>
        <v>1.6156177113118699</v>
      </c>
      <c r="AG41" s="20">
        <f t="shared" si="13"/>
        <v>1.1622070890824969</v>
      </c>
      <c r="AH41" s="20">
        <f t="shared" si="13"/>
        <v>0.70143826747438065</v>
      </c>
      <c r="AI41" s="20">
        <f t="shared" si="13"/>
        <v>0.23608147570033225</v>
      </c>
    </row>
    <row r="42" spans="2:35" ht="15" customHeight="1">
      <c r="B42" s="26"/>
      <c r="C42" s="26"/>
      <c r="D42" s="26"/>
      <c r="E42" s="26"/>
      <c r="F42" s="26"/>
      <c r="G42" s="26"/>
      <c r="H42" s="26"/>
      <c r="I42" s="66"/>
      <c r="J42" s="107"/>
      <c r="K42" s="107"/>
      <c r="L42" s="107"/>
      <c r="M42" s="107"/>
      <c r="N42" s="107"/>
      <c r="O42" s="107"/>
      <c r="P42" s="107"/>
      <c r="Q42" s="107"/>
      <c r="R42" s="107"/>
      <c r="S42" s="26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</row>
    <row r="43" spans="2:35" ht="15" customHeight="1">
      <c r="B43" s="14" t="s">
        <v>47</v>
      </c>
      <c r="C43" s="58"/>
      <c r="D43" s="58"/>
      <c r="E43" s="58"/>
      <c r="F43" s="59"/>
      <c r="G43" s="59"/>
      <c r="H43" s="59"/>
      <c r="I43" s="178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</row>
    <row r="44" spans="2:35" ht="15" customHeight="1"/>
    <row r="45" spans="2:35" ht="15" hidden="1" customHeight="1"/>
    <row r="46" spans="2:35" ht="15" hidden="1" customHeight="1"/>
    <row r="47" spans="2:35" ht="15" hidden="1" customHeight="1"/>
    <row r="48" spans="2:35" ht="15" hidden="1" customHeight="1"/>
    <row r="49" ht="15" hidden="1" customHeight="1"/>
    <row r="50" ht="15" hidden="1" customHeight="1"/>
    <row r="51" ht="15" hidden="1" customHeight="1"/>
    <row r="52" ht="15" hidden="1" customHeight="1"/>
    <row r="53" ht="15" hidden="1" customHeight="1"/>
    <row r="54" ht="15" hidden="1" customHeight="1"/>
    <row r="55" ht="15" hidden="1" customHeight="1"/>
    <row r="56" ht="15" hidden="1" customHeight="1"/>
    <row r="57" ht="15" hidden="1" customHeight="1"/>
    <row r="58" ht="15" hidden="1" customHeight="1"/>
    <row r="59" ht="15" hidden="1" customHeight="1"/>
  </sheetData>
  <sheetProtection sheet="1" objects="1" scenarios="1"/>
  <conditionalFormatting sqref="K23:AI23">
    <cfRule type="cellIs" dxfId="5" priority="3" stopIfTrue="1" operator="equal">
      <formula>FALSE()</formula>
    </cfRule>
  </conditionalFormatting>
  <conditionalFormatting sqref="S21:AI21">
    <cfRule type="cellIs" dxfId="4" priority="2" stopIfTrue="1" operator="equal">
      <formula>FALSE()</formula>
    </cfRule>
  </conditionalFormatting>
  <pageMargins left="0.23622047244094502" right="0.23622047244094502" top="0.74803149606299213" bottom="0.74803149606299213" header="0.31496062992126012" footer="0.31496062992126012"/>
  <pageSetup paperSize="0" fitToHeight="0" orientation="landscape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C0DA"/>
    <pageSetUpPr fitToPage="1"/>
  </sheetPr>
  <dimension ref="A1:AY48"/>
  <sheetViews>
    <sheetView workbookViewId="0"/>
  </sheetViews>
  <sheetFormatPr defaultColWidth="0" defaultRowHeight="0" customHeight="1" zeroHeight="1"/>
  <cols>
    <col min="1" max="3" width="2.59765625" style="128" customWidth="1"/>
    <col min="4" max="4" width="2.59765625" style="16" customWidth="1"/>
    <col min="5" max="5" width="50.59765625" style="16" customWidth="1"/>
    <col min="6" max="6" width="1.59765625" style="16" customWidth="1"/>
    <col min="7" max="7" width="15.59765625" style="16" customWidth="1"/>
    <col min="8" max="8" width="10.69921875" style="16" bestFit="1" customWidth="1"/>
    <col min="9" max="9" width="10.59765625" style="16" customWidth="1"/>
    <col min="10" max="10" width="1.59765625" style="16" customWidth="1"/>
    <col min="11" max="35" width="10.59765625" style="16" customWidth="1"/>
    <col min="36" max="36" width="3.09765625" customWidth="1"/>
    <col min="37" max="50" width="10.59765625" hidden="1" customWidth="1"/>
    <col min="51" max="51" width="2.59765625" hidden="1" customWidth="1"/>
    <col min="52" max="52" width="9.09765625" hidden="1" customWidth="1"/>
    <col min="53" max="16384" width="9.09765625" hidden="1"/>
  </cols>
  <sheetData>
    <row r="1" spans="1:35" ht="15" customHeight="1">
      <c r="A1" s="52" t="s">
        <v>32</v>
      </c>
      <c r="B1" s="53"/>
      <c r="C1" s="53"/>
      <c r="D1" s="53"/>
      <c r="E1" s="53"/>
      <c r="F1" s="53"/>
      <c r="G1" s="53"/>
      <c r="H1" s="53" t="s">
        <v>101</v>
      </c>
      <c r="I1" s="53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3"/>
      <c r="AH1" s="53"/>
      <c r="AI1" s="53"/>
    </row>
    <row r="2" spans="1:35" ht="15" customHeight="1">
      <c r="A2" s="53"/>
      <c r="B2" s="53"/>
      <c r="C2" s="53"/>
      <c r="D2" s="53"/>
      <c r="E2" s="55" t="s">
        <v>102</v>
      </c>
      <c r="F2" s="55"/>
      <c r="G2" s="55" t="s">
        <v>103</v>
      </c>
      <c r="H2" s="55" t="s">
        <v>104</v>
      </c>
      <c r="I2" s="56" t="s">
        <v>105</v>
      </c>
      <c r="J2" s="57"/>
      <c r="K2" s="55" t="s">
        <v>106</v>
      </c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</row>
    <row r="3" spans="1:35" ht="15" customHeight="1">
      <c r="A3" s="53"/>
      <c r="B3" s="53"/>
      <c r="C3" s="53"/>
      <c r="D3" s="53"/>
      <c r="E3" s="57" t="s">
        <v>386</v>
      </c>
      <c r="F3" s="55"/>
      <c r="G3" s="55"/>
      <c r="H3" s="55"/>
      <c r="I3" s="56"/>
      <c r="J3" s="57"/>
      <c r="K3" s="97" t="s">
        <v>133</v>
      </c>
      <c r="L3" s="97" t="s">
        <v>134</v>
      </c>
      <c r="M3" s="97" t="s">
        <v>135</v>
      </c>
      <c r="N3" s="97" t="s">
        <v>136</v>
      </c>
      <c r="O3" s="97" t="s">
        <v>137</v>
      </c>
      <c r="P3" s="97" t="s">
        <v>138</v>
      </c>
      <c r="Q3" s="97" t="s">
        <v>139</v>
      </c>
      <c r="R3" s="97" t="s">
        <v>140</v>
      </c>
      <c r="S3" s="97" t="s">
        <v>141</v>
      </c>
      <c r="T3" s="97" t="s">
        <v>142</v>
      </c>
      <c r="U3" s="97" t="s">
        <v>143</v>
      </c>
      <c r="V3" s="97" t="s">
        <v>144</v>
      </c>
      <c r="W3" s="97" t="s">
        <v>145</v>
      </c>
      <c r="X3" s="97" t="s">
        <v>146</v>
      </c>
      <c r="Y3" s="97" t="s">
        <v>147</v>
      </c>
      <c r="Z3" s="97" t="s">
        <v>148</v>
      </c>
      <c r="AA3" s="97" t="s">
        <v>149</v>
      </c>
      <c r="AB3" s="97" t="s">
        <v>150</v>
      </c>
      <c r="AC3" s="97" t="s">
        <v>151</v>
      </c>
      <c r="AD3" s="97" t="s">
        <v>152</v>
      </c>
      <c r="AE3" s="97" t="s">
        <v>153</v>
      </c>
      <c r="AF3" s="97" t="s">
        <v>154</v>
      </c>
      <c r="AG3" s="97" t="s">
        <v>155</v>
      </c>
      <c r="AH3" s="97" t="s">
        <v>156</v>
      </c>
      <c r="AI3" s="97" t="s">
        <v>157</v>
      </c>
    </row>
    <row r="4" spans="1:35" ht="15" customHeight="1">
      <c r="A4" s="53"/>
      <c r="B4" s="53"/>
      <c r="C4" s="53"/>
      <c r="D4" s="53"/>
      <c r="E4" s="69" t="s">
        <v>196</v>
      </c>
      <c r="F4" s="55"/>
      <c r="G4" s="55"/>
      <c r="H4" s="55"/>
      <c r="I4" s="55"/>
      <c r="J4" s="57"/>
      <c r="K4" s="217">
        <v>1</v>
      </c>
      <c r="L4" s="217">
        <f t="shared" ref="L4:AI4" si="0">+K4+1</f>
        <v>2</v>
      </c>
      <c r="M4" s="217">
        <f t="shared" si="0"/>
        <v>3</v>
      </c>
      <c r="N4" s="217">
        <f t="shared" si="0"/>
        <v>4</v>
      </c>
      <c r="O4" s="217">
        <f t="shared" si="0"/>
        <v>5</v>
      </c>
      <c r="P4" s="217">
        <f t="shared" si="0"/>
        <v>6</v>
      </c>
      <c r="Q4" s="217">
        <f t="shared" si="0"/>
        <v>7</v>
      </c>
      <c r="R4" s="217">
        <f t="shared" si="0"/>
        <v>8</v>
      </c>
      <c r="S4" s="217">
        <f t="shared" si="0"/>
        <v>9</v>
      </c>
      <c r="T4" s="217">
        <f t="shared" si="0"/>
        <v>10</v>
      </c>
      <c r="U4" s="217">
        <f t="shared" si="0"/>
        <v>11</v>
      </c>
      <c r="V4" s="217">
        <f t="shared" si="0"/>
        <v>12</v>
      </c>
      <c r="W4" s="217">
        <f t="shared" si="0"/>
        <v>13</v>
      </c>
      <c r="X4" s="217">
        <f t="shared" si="0"/>
        <v>14</v>
      </c>
      <c r="Y4" s="217">
        <f t="shared" si="0"/>
        <v>15</v>
      </c>
      <c r="Z4" s="217">
        <f t="shared" si="0"/>
        <v>16</v>
      </c>
      <c r="AA4" s="217">
        <f t="shared" si="0"/>
        <v>17</v>
      </c>
      <c r="AB4" s="217">
        <f t="shared" si="0"/>
        <v>18</v>
      </c>
      <c r="AC4" s="217">
        <f t="shared" si="0"/>
        <v>19</v>
      </c>
      <c r="AD4" s="217">
        <f t="shared" si="0"/>
        <v>20</v>
      </c>
      <c r="AE4" s="217">
        <f t="shared" si="0"/>
        <v>21</v>
      </c>
      <c r="AF4" s="217">
        <f t="shared" si="0"/>
        <v>22</v>
      </c>
      <c r="AG4" s="217">
        <f t="shared" si="0"/>
        <v>23</v>
      </c>
      <c r="AH4" s="217">
        <f t="shared" si="0"/>
        <v>24</v>
      </c>
      <c r="AI4" s="217">
        <f t="shared" si="0"/>
        <v>25</v>
      </c>
    </row>
    <row r="5" spans="1:35" ht="15" customHeight="1"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</row>
    <row r="6" spans="1:35" ht="15" customHeight="1">
      <c r="A6" t="s">
        <v>405</v>
      </c>
      <c r="B6" s="14" t="s">
        <v>406</v>
      </c>
      <c r="C6" s="58"/>
      <c r="D6" s="58"/>
      <c r="E6" s="58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</row>
    <row r="7" spans="1:35" ht="15" customHeight="1">
      <c r="A7"/>
      <c r="I7" s="193"/>
      <c r="J7" s="193"/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  <c r="AA7" s="193"/>
      <c r="AB7" s="193"/>
      <c r="AC7" s="193"/>
      <c r="AD7" s="193"/>
      <c r="AE7" s="193"/>
      <c r="AF7" s="193"/>
      <c r="AG7" s="193"/>
      <c r="AH7" s="193"/>
      <c r="AI7" s="193"/>
    </row>
    <row r="8" spans="1:35" ht="15" customHeight="1">
      <c r="A8"/>
      <c r="E8" s="26" t="s">
        <v>161</v>
      </c>
      <c r="G8" s="26" t="str">
        <f>Inputs!$I$11</f>
        <v>£m 20/21 prices</v>
      </c>
      <c r="I8" s="193"/>
      <c r="J8" s="193"/>
      <c r="K8" s="19">
        <f>Inputs!K61</f>
        <v>21.481137686078458</v>
      </c>
      <c r="L8" s="19">
        <f>Inputs!L61</f>
        <v>20.165117136995967</v>
      </c>
      <c r="M8" s="19">
        <f>Inputs!M61</f>
        <v>20.200842935153961</v>
      </c>
      <c r="N8" s="19">
        <f>Inputs!N61</f>
        <v>20.225225294631159</v>
      </c>
      <c r="O8" s="19">
        <f>Inputs!O61</f>
        <v>21.805619046736787</v>
      </c>
      <c r="P8" s="19">
        <f>Inputs!P61</f>
        <v>20.280863122556788</v>
      </c>
      <c r="Q8" s="19">
        <f>Inputs!Q61</f>
        <v>20.322959996718581</v>
      </c>
      <c r="R8" s="19">
        <f>Inputs!R61</f>
        <v>20.350406518247823</v>
      </c>
      <c r="S8" s="19">
        <f>Inputs!S61</f>
        <v>19.10356728891589</v>
      </c>
      <c r="T8" s="19">
        <f>Inputs!T61</f>
        <v>19.150188293608782</v>
      </c>
      <c r="U8" s="19">
        <f>Inputs!U61</f>
        <v>18.977535072385347</v>
      </c>
      <c r="V8" s="19">
        <f>Inputs!V61</f>
        <v>20.391785423552154</v>
      </c>
      <c r="W8" s="19">
        <f>Inputs!W61</f>
        <v>18.918701529662787</v>
      </c>
      <c r="X8" s="19">
        <f>Inputs!X61</f>
        <v>18.918701529662787</v>
      </c>
      <c r="Y8" s="19">
        <f>Inputs!Y61</f>
        <v>18.918701529662787</v>
      </c>
      <c r="Z8" s="19">
        <f>Inputs!Z61</f>
        <v>20.391785423552154</v>
      </c>
      <c r="AA8" s="19">
        <f>Inputs!AA61</f>
        <v>18.918701529662787</v>
      </c>
      <c r="AB8" s="19">
        <f>Inputs!AB61</f>
        <v>18.918701529662783</v>
      </c>
      <c r="AC8" s="19">
        <f>Inputs!AC61</f>
        <v>18.918701529662783</v>
      </c>
      <c r="AD8" s="19">
        <f>Inputs!AD61</f>
        <v>20.391785423552154</v>
      </c>
      <c r="AE8" s="19">
        <f>Inputs!AE61</f>
        <v>18.918701529662787</v>
      </c>
      <c r="AF8" s="19">
        <f>Inputs!AF61</f>
        <v>18.918701529662783</v>
      </c>
      <c r="AG8" s="19">
        <f>Inputs!AG61</f>
        <v>18.918701529662787</v>
      </c>
      <c r="AH8" s="19">
        <f>Inputs!AH61</f>
        <v>20.391785423552154</v>
      </c>
      <c r="AI8" s="19">
        <f>Inputs!AI61</f>
        <v>18.918701529662787</v>
      </c>
    </row>
    <row r="9" spans="1:35" ht="15" customHeight="1">
      <c r="A9"/>
      <c r="E9" s="26" t="s">
        <v>407</v>
      </c>
      <c r="G9" s="26" t="str">
        <f>Inputs!$I$11</f>
        <v>£m 20/21 prices</v>
      </c>
      <c r="I9" s="193"/>
      <c r="J9" s="193"/>
      <c r="K9" s="19">
        <f>Inputs!K62</f>
        <v>0</v>
      </c>
      <c r="L9" s="19">
        <f>Inputs!L62</f>
        <v>0</v>
      </c>
      <c r="M9" s="19">
        <f>Inputs!M62</f>
        <v>0</v>
      </c>
      <c r="N9" s="19">
        <f>Inputs!N62</f>
        <v>0</v>
      </c>
      <c r="O9" s="19">
        <f>Inputs!O62</f>
        <v>0</v>
      </c>
      <c r="P9" s="19">
        <f>Inputs!P62</f>
        <v>0</v>
      </c>
      <c r="Q9" s="19">
        <f>Inputs!Q62</f>
        <v>0</v>
      </c>
      <c r="R9" s="19">
        <f>Inputs!R62</f>
        <v>0</v>
      </c>
      <c r="S9" s="19">
        <f>Inputs!S62</f>
        <v>0</v>
      </c>
      <c r="T9" s="19">
        <f>Inputs!T62</f>
        <v>0</v>
      </c>
      <c r="U9" s="19">
        <f>Inputs!U62</f>
        <v>0</v>
      </c>
      <c r="V9" s="19">
        <f>Inputs!V62</f>
        <v>0</v>
      </c>
      <c r="W9" s="19">
        <f>Inputs!W62</f>
        <v>0</v>
      </c>
      <c r="X9" s="19">
        <f>Inputs!X62</f>
        <v>0</v>
      </c>
      <c r="Y9" s="19">
        <f>Inputs!Y62</f>
        <v>0</v>
      </c>
      <c r="Z9" s="19">
        <f>Inputs!Z62</f>
        <v>0</v>
      </c>
      <c r="AA9" s="19">
        <f>Inputs!AA62</f>
        <v>0</v>
      </c>
      <c r="AB9" s="19">
        <f>Inputs!AB62</f>
        <v>0</v>
      </c>
      <c r="AC9" s="19">
        <f>Inputs!AC62</f>
        <v>0</v>
      </c>
      <c r="AD9" s="19">
        <f>Inputs!AD62</f>
        <v>0</v>
      </c>
      <c r="AE9" s="19">
        <f>Inputs!AE62</f>
        <v>0</v>
      </c>
      <c r="AF9" s="19">
        <f>Inputs!AF62</f>
        <v>0</v>
      </c>
      <c r="AG9" s="19">
        <f>Inputs!AG62</f>
        <v>0</v>
      </c>
      <c r="AH9" s="19">
        <f>Inputs!AH62</f>
        <v>0</v>
      </c>
      <c r="AI9" s="19">
        <f>Inputs!AI62</f>
        <v>0</v>
      </c>
    </row>
    <row r="10" spans="1:35" ht="15" customHeight="1">
      <c r="A10"/>
      <c r="E10" s="26" t="s">
        <v>160</v>
      </c>
      <c r="G10" s="26" t="str">
        <f>Inputs!$I$11</f>
        <v>£m 20/21 prices</v>
      </c>
      <c r="I10" s="193"/>
      <c r="J10" s="193"/>
      <c r="K10" s="19">
        <f>Inputs!K60</f>
        <v>0</v>
      </c>
      <c r="L10" s="19">
        <f>Inputs!L60</f>
        <v>0</v>
      </c>
      <c r="M10" s="19">
        <f>Inputs!M60</f>
        <v>0</v>
      </c>
      <c r="N10" s="19">
        <f>Inputs!N60</f>
        <v>0</v>
      </c>
      <c r="O10" s="19">
        <f>Inputs!O60</f>
        <v>0</v>
      </c>
      <c r="P10" s="19">
        <f>Inputs!P60</f>
        <v>0</v>
      </c>
      <c r="Q10" s="19">
        <f>Inputs!Q60</f>
        <v>0</v>
      </c>
      <c r="R10" s="19">
        <f>Inputs!R60</f>
        <v>0</v>
      </c>
      <c r="S10" s="19">
        <f>Inputs!S60</f>
        <v>0</v>
      </c>
      <c r="T10" s="19">
        <f>Inputs!T60</f>
        <v>0</v>
      </c>
      <c r="U10" s="19">
        <f>Inputs!U60</f>
        <v>0</v>
      </c>
      <c r="V10" s="19">
        <f>Inputs!V60</f>
        <v>0</v>
      </c>
      <c r="W10" s="19">
        <f>Inputs!W60</f>
        <v>0</v>
      </c>
      <c r="X10" s="19">
        <f>Inputs!X60</f>
        <v>0</v>
      </c>
      <c r="Y10" s="19">
        <f>Inputs!Y60</f>
        <v>0</v>
      </c>
      <c r="Z10" s="19">
        <f>Inputs!Z60</f>
        <v>0</v>
      </c>
      <c r="AA10" s="19">
        <f>Inputs!AA60</f>
        <v>0</v>
      </c>
      <c r="AB10" s="19">
        <f>Inputs!AB60</f>
        <v>0</v>
      </c>
      <c r="AC10" s="19">
        <f>Inputs!AC60</f>
        <v>0</v>
      </c>
      <c r="AD10" s="19">
        <f>Inputs!AD60</f>
        <v>0</v>
      </c>
      <c r="AE10" s="19">
        <f>Inputs!AE60</f>
        <v>0</v>
      </c>
      <c r="AF10" s="19">
        <f>Inputs!AF60</f>
        <v>0</v>
      </c>
      <c r="AG10" s="19">
        <f>Inputs!AG60</f>
        <v>0</v>
      </c>
      <c r="AH10" s="19">
        <f>Inputs!AH60</f>
        <v>0</v>
      </c>
      <c r="AI10" s="19">
        <f>Inputs!AI60</f>
        <v>69.337011026225994</v>
      </c>
    </row>
    <row r="11" spans="1:35" ht="15" customHeight="1">
      <c r="A11"/>
      <c r="E11" s="26" t="s">
        <v>398</v>
      </c>
      <c r="G11" s="26" t="str">
        <f>Inputs!$I$11</f>
        <v>£m 20/21 prices</v>
      </c>
      <c r="I11" s="193"/>
      <c r="J11" s="193"/>
      <c r="K11" s="19">
        <f>Op_Rav!K25</f>
        <v>36.96250173642332</v>
      </c>
      <c r="L11" s="19">
        <f>Op_Rav!L25</f>
        <v>36.962501736423327</v>
      </c>
      <c r="M11" s="19">
        <f>Op_Rav!M25</f>
        <v>36.962501736423327</v>
      </c>
      <c r="N11" s="19">
        <f>Op_Rav!N25</f>
        <v>36.962501736423327</v>
      </c>
      <c r="O11" s="19">
        <f>Op_Rav!O25</f>
        <v>36.962501736423327</v>
      </c>
      <c r="P11" s="19">
        <f>Op_Rav!P25</f>
        <v>36.962501736423334</v>
      </c>
      <c r="Q11" s="19">
        <f>Op_Rav!Q25</f>
        <v>36.962501736423334</v>
      </c>
      <c r="R11" s="19">
        <f>Op_Rav!R25</f>
        <v>36.962501736423334</v>
      </c>
      <c r="S11" s="19">
        <f>Op_Rav!S25</f>
        <v>37.004052408878664</v>
      </c>
      <c r="T11" s="19">
        <f>Op_Rav!T25</f>
        <v>37.027716655065738</v>
      </c>
      <c r="U11" s="19">
        <f>Op_Rav!U25</f>
        <v>37.040727444257996</v>
      </c>
      <c r="V11" s="19">
        <f>Op_Rav!V25</f>
        <v>37.068041880038145</v>
      </c>
      <c r="W11" s="19">
        <f>Op_Rav!W25</f>
        <v>37.126352546177657</v>
      </c>
      <c r="X11" s="19">
        <f>Op_Rav!X25</f>
        <v>37.242620218040791</v>
      </c>
      <c r="Y11" s="19">
        <f>Op_Rav!Y25</f>
        <v>37.26908938634471</v>
      </c>
      <c r="Z11" s="19">
        <f>Op_Rav!Z25</f>
        <v>37.298109799796954</v>
      </c>
      <c r="AA11" s="19">
        <f>Op_Rav!AA25</f>
        <v>37.477788417222627</v>
      </c>
      <c r="AB11" s="19">
        <f>Op_Rav!AB25</f>
        <v>37.514063934037935</v>
      </c>
      <c r="AC11" s="19">
        <f>Op_Rav!AC25</f>
        <v>37.555658341372656</v>
      </c>
      <c r="AD11" s="19">
        <f>Op_Rav!AD25</f>
        <v>37.604025697126403</v>
      </c>
      <c r="AE11" s="19">
        <f>Op_Rav!AE25</f>
        <v>37.671442348873128</v>
      </c>
      <c r="AF11" s="19">
        <f>Op_Rav!AF25</f>
        <v>37.885348292752781</v>
      </c>
      <c r="AG11" s="19">
        <f>Op_Rav!AG25</f>
        <v>38.232133255022951</v>
      </c>
      <c r="AH11" s="19">
        <f>Op_Rav!AH25</f>
        <v>38.377235322284179</v>
      </c>
      <c r="AI11" s="19">
        <f>Op_Rav!AI25</f>
        <v>39.712493162811256</v>
      </c>
    </row>
    <row r="12" spans="1:35" ht="15" customHeight="1">
      <c r="A12"/>
      <c r="E12" s="26" t="s">
        <v>403</v>
      </c>
      <c r="G12" s="26" t="str">
        <f>Inputs!$I$11</f>
        <v>£m 20/21 prices</v>
      </c>
      <c r="I12" s="26"/>
      <c r="K12" s="19">
        <f>Op_Rav!K40</f>
        <v>70.660010980194727</v>
      </c>
      <c r="L12" s="19">
        <f>Op_Rav!L40</f>
        <v>67.778218077700174</v>
      </c>
      <c r="M12" s="19">
        <f>Op_Rav!M40</f>
        <v>64.896425175205607</v>
      </c>
      <c r="N12" s="19">
        <f>Op_Rav!N40</f>
        <v>62.01463227271104</v>
      </c>
      <c r="O12" s="19">
        <f>Op_Rav!O40</f>
        <v>59.13283937021648</v>
      </c>
      <c r="P12" s="19">
        <f>Op_Rav!P40</f>
        <v>56.251046467721913</v>
      </c>
      <c r="Q12" s="19">
        <f>Op_Rav!Q40</f>
        <v>53.369253565227353</v>
      </c>
      <c r="R12" s="19">
        <f>Op_Rav!R40</f>
        <v>50.513924712673116</v>
      </c>
      <c r="S12" s="19">
        <f>Op_Rav!S40</f>
        <v>47.673368152414533</v>
      </c>
      <c r="T12" s="19">
        <f>Op_Rav!T40</f>
        <v>44.810095380814452</v>
      </c>
      <c r="U12" s="19">
        <f>Op_Rav!U40</f>
        <v>41.94496139137992</v>
      </c>
      <c r="V12" s="19">
        <f>Op_Rav!V40</f>
        <v>39.099933691922921</v>
      </c>
      <c r="W12" s="19">
        <f>Op_Rav!W40</f>
        <v>36.290700310259879</v>
      </c>
      <c r="X12" s="19">
        <f>Op_Rav!X40</f>
        <v>33.459191244299525</v>
      </c>
      <c r="Y12" s="19">
        <f>Op_Rav!Y40</f>
        <v>30.577231744297201</v>
      </c>
      <c r="Z12" s="19">
        <f>Op_Rav!Z40</f>
        <v>27.742787085085805</v>
      </c>
      <c r="AA12" s="19">
        <f>Op_Rav!AA40</f>
        <v>24.904462124727321</v>
      </c>
      <c r="AB12" s="19">
        <f>Op_Rav!AB40</f>
        <v>22.003797361972552</v>
      </c>
      <c r="AC12" s="19">
        <f>Op_Rav!AC40</f>
        <v>19.100107996765011</v>
      </c>
      <c r="AD12" s="19">
        <f>Op_Rav!AD40</f>
        <v>16.194639553973232</v>
      </c>
      <c r="AE12" s="19">
        <f>Op_Rav!AE40</f>
        <v>13.306012333210132</v>
      </c>
      <c r="AF12" s="19">
        <f>Op_Rav!AF40</f>
        <v>10.434562584836948</v>
      </c>
      <c r="AG12" s="19">
        <f>Op_Rav!AG40</f>
        <v>7.5208342192595898</v>
      </c>
      <c r="AH12" s="19">
        <f>Op_Rav!AH40</f>
        <v>4.5585340362439242</v>
      </c>
      <c r="AI12" s="19">
        <f>Op_Rav!AI40</f>
        <v>1.5674261911251566</v>
      </c>
    </row>
    <row r="13" spans="1:35" ht="15" customHeight="1">
      <c r="A13"/>
      <c r="C13" s="16"/>
      <c r="E13" s="16" t="s">
        <v>406</v>
      </c>
      <c r="G13" s="26" t="str">
        <f>Inputs!$I$11</f>
        <v>£m 20/21 prices</v>
      </c>
      <c r="I13" s="26"/>
      <c r="K13" s="181">
        <f t="shared" ref="K13:AI13" si="1">SUM(K8:K12)</f>
        <v>129.1036504026965</v>
      </c>
      <c r="L13" s="181">
        <f t="shared" si="1"/>
        <v>124.90583695111947</v>
      </c>
      <c r="M13" s="181">
        <f t="shared" si="1"/>
        <v>122.0597698467829</v>
      </c>
      <c r="N13" s="181">
        <f t="shared" si="1"/>
        <v>119.20235930376552</v>
      </c>
      <c r="O13" s="181">
        <f t="shared" si="1"/>
        <v>117.90096015337659</v>
      </c>
      <c r="P13" s="181">
        <f t="shared" si="1"/>
        <v>113.49441132670204</v>
      </c>
      <c r="Q13" s="181">
        <f t="shared" si="1"/>
        <v>110.65471529836927</v>
      </c>
      <c r="R13" s="181">
        <f t="shared" si="1"/>
        <v>107.82683296734427</v>
      </c>
      <c r="S13" s="181">
        <f t="shared" si="1"/>
        <v>103.78098785020909</v>
      </c>
      <c r="T13" s="181">
        <f t="shared" si="1"/>
        <v>100.98800032948898</v>
      </c>
      <c r="U13" s="181">
        <f t="shared" si="1"/>
        <v>97.963223908023267</v>
      </c>
      <c r="V13" s="181">
        <f t="shared" si="1"/>
        <v>96.559760995513216</v>
      </c>
      <c r="W13" s="181">
        <f t="shared" si="1"/>
        <v>92.335754386100319</v>
      </c>
      <c r="X13" s="181">
        <f t="shared" si="1"/>
        <v>89.620512992003114</v>
      </c>
      <c r="Y13" s="181">
        <f t="shared" si="1"/>
        <v>86.765022660304709</v>
      </c>
      <c r="Z13" s="181">
        <f t="shared" si="1"/>
        <v>85.43268230843492</v>
      </c>
      <c r="AA13" s="181">
        <f t="shared" si="1"/>
        <v>81.300952071612727</v>
      </c>
      <c r="AB13" s="181">
        <f t="shared" si="1"/>
        <v>78.436562825673263</v>
      </c>
      <c r="AC13" s="181">
        <f t="shared" si="1"/>
        <v>75.57446786780045</v>
      </c>
      <c r="AD13" s="181">
        <f t="shared" si="1"/>
        <v>74.190450674651785</v>
      </c>
      <c r="AE13" s="181">
        <f t="shared" si="1"/>
        <v>69.896156211746046</v>
      </c>
      <c r="AF13" s="181">
        <f t="shared" si="1"/>
        <v>67.238612407252518</v>
      </c>
      <c r="AG13" s="181">
        <f t="shared" si="1"/>
        <v>64.671669003945325</v>
      </c>
      <c r="AH13" s="181">
        <f t="shared" si="1"/>
        <v>63.327554782080256</v>
      </c>
      <c r="AI13" s="181">
        <f t="shared" si="1"/>
        <v>129.53563190982518</v>
      </c>
    </row>
    <row r="14" spans="1:35" ht="15" customHeight="1">
      <c r="A14"/>
    </row>
    <row r="15" spans="1:35" ht="15" customHeight="1">
      <c r="A15"/>
      <c r="B15" s="14" t="s">
        <v>408</v>
      </c>
      <c r="C15" s="58"/>
      <c r="D15" s="58"/>
      <c r="E15" s="58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</row>
    <row r="16" spans="1:35" ht="15" customHeight="1">
      <c r="A16"/>
      <c r="B16" s="26"/>
      <c r="C16" s="26"/>
      <c r="D16" s="26"/>
    </row>
    <row r="17" spans="2:35" ht="15" customHeight="1">
      <c r="B17" s="26"/>
      <c r="C17" s="67" t="s">
        <v>409</v>
      </c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</row>
    <row r="18" spans="2:35" ht="15" customHeight="1">
      <c r="B18" s="26"/>
      <c r="C18" s="26"/>
      <c r="D18" s="26"/>
    </row>
    <row r="19" spans="2:35" ht="15" customHeight="1">
      <c r="E19" s="102" t="s">
        <v>168</v>
      </c>
      <c r="G19" s="102" t="str">
        <f>Inputs!G68</f>
        <v>real annual %</v>
      </c>
      <c r="I19" s="194">
        <f>Inputs!I68</f>
        <v>8.1000000000000003E-2</v>
      </c>
      <c r="AE19" s="218"/>
    </row>
    <row r="20" spans="2:35" ht="15" customHeight="1">
      <c r="B20" s="26"/>
      <c r="C20" s="26"/>
      <c r="D20" s="26"/>
      <c r="E20" s="102" t="s">
        <v>241</v>
      </c>
      <c r="G20" s="102" t="str">
        <f>Inputs!G155</f>
        <v>full years</v>
      </c>
      <c r="I20" s="219">
        <f>Inputs!I155</f>
        <v>25</v>
      </c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193"/>
      <c r="AH20" s="193"/>
      <c r="AI20" s="193"/>
    </row>
    <row r="21" spans="2:35" ht="15" customHeight="1">
      <c r="B21" s="26"/>
      <c r="C21" s="26"/>
      <c r="D21" s="26"/>
      <c r="E21" s="16" t="s">
        <v>410</v>
      </c>
      <c r="G21" s="16" t="s">
        <v>265</v>
      </c>
      <c r="I21" s="75">
        <f>I19 / (1 - (1 + I19)^(-I20))</f>
        <v>9.4480276733656082E-2</v>
      </c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</row>
    <row r="22" spans="2:35" ht="15" customHeight="1">
      <c r="E22" s="102"/>
      <c r="G22" s="102"/>
      <c r="I22" s="102"/>
    </row>
    <row r="23" spans="2:35" customFormat="1" ht="15" customHeight="1">
      <c r="B23" s="26"/>
      <c r="C23" s="26"/>
      <c r="D23" s="26"/>
      <c r="E23" s="26" t="s">
        <v>411</v>
      </c>
      <c r="F23" s="26"/>
      <c r="G23" s="26" t="s">
        <v>247</v>
      </c>
      <c r="H23" s="26"/>
      <c r="I23" s="213"/>
      <c r="J23" s="107"/>
      <c r="K23" s="212" t="b">
        <f t="shared" ref="K23:AI23" si="2">AND(K4 &gt; 0, K4&lt;= $I20)</f>
        <v>1</v>
      </c>
      <c r="L23" s="212" t="b">
        <f t="shared" si="2"/>
        <v>1</v>
      </c>
      <c r="M23" s="212" t="b">
        <f t="shared" si="2"/>
        <v>1</v>
      </c>
      <c r="N23" s="212" t="b">
        <f t="shared" si="2"/>
        <v>1</v>
      </c>
      <c r="O23" s="212" t="b">
        <f t="shared" si="2"/>
        <v>1</v>
      </c>
      <c r="P23" s="212" t="b">
        <f t="shared" si="2"/>
        <v>1</v>
      </c>
      <c r="Q23" s="212" t="b">
        <f t="shared" si="2"/>
        <v>1</v>
      </c>
      <c r="R23" s="212" t="b">
        <f t="shared" si="2"/>
        <v>1</v>
      </c>
      <c r="S23" s="212" t="b">
        <f t="shared" si="2"/>
        <v>1</v>
      </c>
      <c r="T23" s="212" t="b">
        <f t="shared" si="2"/>
        <v>1</v>
      </c>
      <c r="U23" s="212" t="b">
        <f t="shared" si="2"/>
        <v>1</v>
      </c>
      <c r="V23" s="212" t="b">
        <f t="shared" si="2"/>
        <v>1</v>
      </c>
      <c r="W23" s="212" t="b">
        <f t="shared" si="2"/>
        <v>1</v>
      </c>
      <c r="X23" s="212" t="b">
        <f t="shared" si="2"/>
        <v>1</v>
      </c>
      <c r="Y23" s="212" t="b">
        <f t="shared" si="2"/>
        <v>1</v>
      </c>
      <c r="Z23" s="212" t="b">
        <f t="shared" si="2"/>
        <v>1</v>
      </c>
      <c r="AA23" s="212" t="b">
        <f t="shared" si="2"/>
        <v>1</v>
      </c>
      <c r="AB23" s="212" t="b">
        <f t="shared" si="2"/>
        <v>1</v>
      </c>
      <c r="AC23" s="212" t="b">
        <f t="shared" si="2"/>
        <v>1</v>
      </c>
      <c r="AD23" s="212" t="b">
        <f t="shared" si="2"/>
        <v>1</v>
      </c>
      <c r="AE23" s="212" t="b">
        <f t="shared" si="2"/>
        <v>1</v>
      </c>
      <c r="AF23" s="212" t="b">
        <f t="shared" si="2"/>
        <v>1</v>
      </c>
      <c r="AG23" s="212" t="b">
        <f t="shared" si="2"/>
        <v>1</v>
      </c>
      <c r="AH23" s="212" t="b">
        <f t="shared" si="2"/>
        <v>1</v>
      </c>
      <c r="AI23" s="212" t="b">
        <f t="shared" si="2"/>
        <v>1</v>
      </c>
    </row>
    <row r="24" spans="2:35" customFormat="1" ht="15" customHeight="1">
      <c r="B24" s="26"/>
      <c r="C24" s="26"/>
      <c r="D24" s="26"/>
      <c r="E24" s="16" t="s">
        <v>412</v>
      </c>
      <c r="F24" s="16"/>
      <c r="G24" s="16" t="s">
        <v>265</v>
      </c>
      <c r="H24" s="16"/>
      <c r="I24" s="193"/>
      <c r="J24" s="193"/>
      <c r="K24" s="220">
        <f t="shared" ref="K24:AI24" si="3">(1 + $I19) ^ - K4</f>
        <v>0.92506938020351526</v>
      </c>
      <c r="L24" s="220">
        <f t="shared" si="3"/>
        <v>0.85575335819011589</v>
      </c>
      <c r="M24" s="220">
        <f t="shared" si="3"/>
        <v>0.79163122866800739</v>
      </c>
      <c r="N24" s="220">
        <f t="shared" si="3"/>
        <v>0.73231381005366081</v>
      </c>
      <c r="O24" s="220">
        <f t="shared" si="3"/>
        <v>0.67744108238081491</v>
      </c>
      <c r="P24" s="220">
        <f t="shared" si="3"/>
        <v>0.62668000220241893</v>
      </c>
      <c r="Q24" s="220">
        <f t="shared" si="3"/>
        <v>0.57972248122332926</v>
      </c>
      <c r="R24" s="220">
        <f t="shared" si="3"/>
        <v>0.53628351639530925</v>
      </c>
      <c r="S24" s="220">
        <f t="shared" si="3"/>
        <v>0.49609946012517048</v>
      </c>
      <c r="T24" s="220">
        <f t="shared" si="3"/>
        <v>0.45892642009728996</v>
      </c>
      <c r="U24" s="220">
        <f t="shared" si="3"/>
        <v>0.42453877899841808</v>
      </c>
      <c r="V24" s="220">
        <f t="shared" si="3"/>
        <v>0.39272782516042376</v>
      </c>
      <c r="W24" s="220">
        <f t="shared" si="3"/>
        <v>0.36330048580982777</v>
      </c>
      <c r="X24" s="220">
        <f t="shared" si="3"/>
        <v>0.33607815523573337</v>
      </c>
      <c r="Y24" s="220">
        <f t="shared" si="3"/>
        <v>0.31089561076386063</v>
      </c>
      <c r="Z24" s="220">
        <f t="shared" si="3"/>
        <v>0.28760000995731788</v>
      </c>
      <c r="AA24" s="220">
        <f t="shared" si="3"/>
        <v>0.26604996295774092</v>
      </c>
      <c r="AB24" s="220">
        <f t="shared" si="3"/>
        <v>0.24611467433648557</v>
      </c>
      <c r="AC24" s="220">
        <f t="shared" si="3"/>
        <v>0.22767314924744272</v>
      </c>
      <c r="AD24" s="220">
        <f t="shared" si="3"/>
        <v>0.21061345906331425</v>
      </c>
      <c r="AE24" s="220">
        <f t="shared" si="3"/>
        <v>0.19483206203821857</v>
      </c>
      <c r="AF24" s="220">
        <f t="shared" si="3"/>
        <v>0.18023317487346768</v>
      </c>
      <c r="AG24" s="220">
        <f t="shared" si="3"/>
        <v>0.16672819137231054</v>
      </c>
      <c r="AH24" s="220">
        <f t="shared" si="3"/>
        <v>0.15423514465523638</v>
      </c>
      <c r="AI24" s="220">
        <f t="shared" si="3"/>
        <v>0.14267820967181905</v>
      </c>
    </row>
    <row r="25" spans="2:35" ht="15" customHeight="1">
      <c r="B25" s="26"/>
      <c r="C25" s="26"/>
      <c r="D25" s="26"/>
    </row>
    <row r="26" spans="2:35" ht="15" customHeight="1">
      <c r="B26" s="26"/>
      <c r="C26" s="67" t="s">
        <v>413</v>
      </c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</row>
    <row r="27" spans="2:35" ht="15" customHeight="1">
      <c r="B27" s="26"/>
      <c r="C27" s="26"/>
      <c r="D27" s="26"/>
    </row>
    <row r="28" spans="2:35" customFormat="1" ht="15" customHeight="1">
      <c r="B28" s="26"/>
      <c r="C28" s="26"/>
      <c r="D28" s="26"/>
      <c r="E28" s="26" t="s">
        <v>414</v>
      </c>
      <c r="F28" s="16"/>
      <c r="G28" s="26" t="str">
        <f>Inputs!$I$11</f>
        <v>£m 20/21 prices</v>
      </c>
      <c r="H28" s="16"/>
      <c r="I28" s="193"/>
      <c r="J28" s="193"/>
      <c r="K28" s="26">
        <f t="shared" ref="K28:AI28" si="4">K13 * K$24</f>
        <v>119.42983386003377</v>
      </c>
      <c r="L28" s="26">
        <f t="shared" si="4"/>
        <v>106.88858942846755</v>
      </c>
      <c r="M28" s="26">
        <f t="shared" si="4"/>
        <v>96.62632557474295</v>
      </c>
      <c r="N28" s="26">
        <f t="shared" si="4"/>
        <v>87.293533909125969</v>
      </c>
      <c r="O28" s="26">
        <f t="shared" si="4"/>
        <v>79.870954060040759</v>
      </c>
      <c r="P28" s="26">
        <f t="shared" si="4"/>
        <v>71.124677940179865</v>
      </c>
      <c r="Q28" s="26">
        <f t="shared" si="4"/>
        <v>64.149026111831716</v>
      </c>
      <c r="R28" s="26">
        <f t="shared" si="4"/>
        <v>57.825753145497046</v>
      </c>
      <c r="S28" s="26">
        <f t="shared" si="4"/>
        <v>51.485692043745601</v>
      </c>
      <c r="T28" s="26">
        <f t="shared" si="4"/>
        <v>46.346061463996321</v>
      </c>
      <c r="U28" s="26">
        <f t="shared" si="4"/>
        <v>41.589187464660839</v>
      </c>
      <c r="V28" s="26">
        <f t="shared" si="4"/>
        <v>37.921704933778223</v>
      </c>
      <c r="W28" s="26">
        <f t="shared" si="4"/>
        <v>33.54562442608718</v>
      </c>
      <c r="X28" s="26">
        <f t="shared" si="4"/>
        <v>30.119496677632483</v>
      </c>
      <c r="Y28" s="26">
        <f t="shared" si="4"/>
        <v>26.97486471291564</v>
      </c>
      <c r="Z28" s="26">
        <f t="shared" si="4"/>
        <v>24.570440282586258</v>
      </c>
      <c r="AA28" s="26">
        <f t="shared" si="4"/>
        <v>21.630115287081637</v>
      </c>
      <c r="AB28" s="26">
        <f t="shared" si="4"/>
        <v>19.304389115913864</v>
      </c>
      <c r="AC28" s="26">
        <f t="shared" si="4"/>
        <v>17.206277102161796</v>
      </c>
      <c r="AD28" s="26">
        <f t="shared" si="4"/>
        <v>15.625507446054609</v>
      </c>
      <c r="AE28" s="26">
        <f t="shared" si="4"/>
        <v>13.618012243279921</v>
      </c>
      <c r="AF28" s="26">
        <f t="shared" si="4"/>
        <v>12.118628588245658</v>
      </c>
      <c r="AG28" s="26">
        <f t="shared" si="4"/>
        <v>10.782590406056521</v>
      </c>
      <c r="AH28" s="26">
        <f t="shared" si="4"/>
        <v>9.767334572476555</v>
      </c>
      <c r="AI28" s="26">
        <f t="shared" si="4"/>
        <v>18.481912049601611</v>
      </c>
    </row>
    <row r="29" spans="2:35" ht="15" customHeight="1">
      <c r="B29" s="26"/>
      <c r="C29" s="26"/>
      <c r="D29" s="26"/>
      <c r="E29" s="16" t="s">
        <v>415</v>
      </c>
      <c r="G29" s="26" t="str">
        <f>Inputs!$I$11</f>
        <v>£m 20/21 prices</v>
      </c>
      <c r="I29" s="221">
        <f>SUM(K28:AI28)</f>
        <v>1114.2965328461942</v>
      </c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3"/>
      <c r="AF29" s="193"/>
      <c r="AG29" s="193"/>
      <c r="AH29" s="193"/>
      <c r="AI29" s="193"/>
    </row>
    <row r="30" spans="2:35" ht="15" customHeight="1">
      <c r="B30" s="26"/>
      <c r="C30" s="26"/>
      <c r="D30" s="26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3"/>
      <c r="X30" s="193"/>
      <c r="Y30" s="193"/>
      <c r="Z30" s="193"/>
      <c r="AA30" s="193"/>
      <c r="AB30" s="193"/>
      <c r="AC30" s="193"/>
      <c r="AD30" s="193"/>
      <c r="AE30" s="193"/>
      <c r="AF30" s="193"/>
      <c r="AG30" s="193"/>
      <c r="AH30" s="193"/>
      <c r="AI30" s="193"/>
    </row>
    <row r="31" spans="2:35" ht="15" customHeight="1">
      <c r="B31" s="26"/>
      <c r="C31" s="26"/>
      <c r="D31" s="26"/>
      <c r="E31" s="75" t="s">
        <v>410</v>
      </c>
      <c r="G31" s="75" t="str">
        <f>G$21</f>
        <v>scalar</v>
      </c>
      <c r="I31" s="105">
        <f>I$21</f>
        <v>9.4480276733656082E-2</v>
      </c>
    </row>
    <row r="32" spans="2:35" ht="15" customHeight="1">
      <c r="B32" s="26"/>
      <c r="C32" s="26"/>
      <c r="D32" s="26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  <c r="Y32" s="193"/>
      <c r="Z32" s="193"/>
      <c r="AA32" s="193"/>
      <c r="AB32" s="193"/>
      <c r="AC32" s="193"/>
      <c r="AD32" s="193"/>
      <c r="AE32" s="193"/>
      <c r="AF32" s="193"/>
      <c r="AG32" s="193"/>
      <c r="AH32" s="193"/>
      <c r="AI32" s="193"/>
    </row>
    <row r="33" spans="2:35" ht="15" customHeight="1">
      <c r="B33" s="26"/>
      <c r="C33" s="26"/>
      <c r="D33" s="26"/>
      <c r="E33" s="16" t="s">
        <v>416</v>
      </c>
      <c r="G33" s="26" t="str">
        <f>Inputs!$I$11</f>
        <v>£m 20/21 prices</v>
      </c>
      <c r="I33" s="222">
        <f>I29 * I31</f>
        <v>105.27904478666191</v>
      </c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</row>
    <row r="34" spans="2:35" customFormat="1" ht="15" customHeight="1">
      <c r="B34" s="26"/>
      <c r="C34" s="26"/>
      <c r="D34" s="26"/>
      <c r="E34" s="26" t="s">
        <v>417</v>
      </c>
      <c r="F34" s="16"/>
      <c r="G34" s="26" t="str">
        <f>Inputs!$I$11</f>
        <v>£m 20/21 prices</v>
      </c>
      <c r="H34" s="16"/>
      <c r="I34" s="16"/>
      <c r="J34" s="193"/>
      <c r="K34" s="20">
        <f t="shared" ref="K34:AI34" si="5">K$23 * $I33</f>
        <v>105.27904478666191</v>
      </c>
      <c r="L34" s="20">
        <f t="shared" si="5"/>
        <v>105.27904478666191</v>
      </c>
      <c r="M34" s="20">
        <f t="shared" si="5"/>
        <v>105.27904478666191</v>
      </c>
      <c r="N34" s="20">
        <f t="shared" si="5"/>
        <v>105.27904478666191</v>
      </c>
      <c r="O34" s="20">
        <f t="shared" si="5"/>
        <v>105.27904478666191</v>
      </c>
      <c r="P34" s="20">
        <f t="shared" si="5"/>
        <v>105.27904478666191</v>
      </c>
      <c r="Q34" s="20">
        <f t="shared" si="5"/>
        <v>105.27904478666191</v>
      </c>
      <c r="R34" s="20">
        <f t="shared" si="5"/>
        <v>105.27904478666191</v>
      </c>
      <c r="S34" s="20">
        <f t="shared" si="5"/>
        <v>105.27904478666191</v>
      </c>
      <c r="T34" s="20">
        <f t="shared" si="5"/>
        <v>105.27904478666191</v>
      </c>
      <c r="U34" s="20">
        <f t="shared" si="5"/>
        <v>105.27904478666191</v>
      </c>
      <c r="V34" s="20">
        <f t="shared" si="5"/>
        <v>105.27904478666191</v>
      </c>
      <c r="W34" s="20">
        <f t="shared" si="5"/>
        <v>105.27904478666191</v>
      </c>
      <c r="X34" s="20">
        <f t="shared" si="5"/>
        <v>105.27904478666191</v>
      </c>
      <c r="Y34" s="20">
        <f t="shared" si="5"/>
        <v>105.27904478666191</v>
      </c>
      <c r="Z34" s="20">
        <f t="shared" si="5"/>
        <v>105.27904478666191</v>
      </c>
      <c r="AA34" s="20">
        <f t="shared" si="5"/>
        <v>105.27904478666191</v>
      </c>
      <c r="AB34" s="20">
        <f t="shared" si="5"/>
        <v>105.27904478666191</v>
      </c>
      <c r="AC34" s="20">
        <f t="shared" si="5"/>
        <v>105.27904478666191</v>
      </c>
      <c r="AD34" s="20">
        <f t="shared" si="5"/>
        <v>105.27904478666191</v>
      </c>
      <c r="AE34" s="20">
        <f t="shared" si="5"/>
        <v>105.27904478666191</v>
      </c>
      <c r="AF34" s="20">
        <f t="shared" si="5"/>
        <v>105.27904478666191</v>
      </c>
      <c r="AG34" s="20">
        <f t="shared" si="5"/>
        <v>105.27904478666191</v>
      </c>
      <c r="AH34" s="20">
        <f t="shared" si="5"/>
        <v>105.27904478666191</v>
      </c>
      <c r="AI34" s="20">
        <f t="shared" si="5"/>
        <v>105.27904478666191</v>
      </c>
    </row>
    <row r="35" spans="2:35" ht="15" customHeight="1">
      <c r="B35" s="26"/>
      <c r="C35" s="26"/>
      <c r="D35" s="26"/>
      <c r="J35" s="193"/>
      <c r="K35" s="193"/>
      <c r="L35" s="193"/>
      <c r="M35" s="193"/>
      <c r="N35" s="193"/>
      <c r="O35" s="193"/>
      <c r="P35" s="193"/>
      <c r="Q35" s="193"/>
      <c r="R35" s="193"/>
      <c r="S35" s="193"/>
      <c r="T35" s="193"/>
      <c r="U35" s="193"/>
      <c r="V35" s="193"/>
      <c r="W35" s="193"/>
      <c r="X35" s="193"/>
      <c r="Y35" s="193"/>
      <c r="Z35" s="193"/>
      <c r="AA35" s="193"/>
      <c r="AB35" s="193"/>
      <c r="AC35" s="193"/>
      <c r="AD35" s="193"/>
      <c r="AE35" s="193"/>
      <c r="AF35" s="193"/>
      <c r="AG35" s="193"/>
      <c r="AH35" s="193"/>
      <c r="AI35" s="193"/>
    </row>
    <row r="36" spans="2:35" ht="15" customHeight="1">
      <c r="B36" s="14" t="s">
        <v>47</v>
      </c>
      <c r="C36" s="58"/>
      <c r="D36" s="58"/>
      <c r="E36" s="58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</row>
    <row r="37" spans="2:35" ht="15" customHeight="1"/>
    <row r="38" spans="2:35" ht="15" hidden="1" customHeight="1"/>
    <row r="39" spans="2:35" ht="15" hidden="1" customHeight="1"/>
    <row r="40" spans="2:35" ht="15" hidden="1" customHeight="1"/>
    <row r="41" spans="2:35" ht="0" hidden="1" customHeight="1"/>
    <row r="42" spans="2:35" ht="0" hidden="1" customHeight="1"/>
    <row r="43" spans="2:35" ht="0" hidden="1" customHeight="1"/>
    <row r="44" spans="2:35" ht="0" hidden="1" customHeight="1"/>
    <row r="45" spans="2:35" ht="0" hidden="1" customHeight="1"/>
    <row r="46" spans="2:35" ht="0" hidden="1" customHeight="1"/>
    <row r="47" spans="2:35" ht="0" hidden="1" customHeight="1"/>
    <row r="48" spans="2:35" ht="0" hidden="1" customHeight="1"/>
  </sheetData>
  <sheetProtection sheet="1" objects="1" scenarios="1"/>
  <conditionalFormatting sqref="K23:AI23">
    <cfRule type="cellIs" dxfId="3" priority="4" stopIfTrue="1" operator="equal">
      <formula>FALSE()</formula>
    </cfRule>
  </conditionalFormatting>
  <pageMargins left="0.23622047244094502" right="0.23622047244094502" top="0.74803149606299213" bottom="0.74803149606299213" header="0.31496062992126012" footer="0.31496062992126012"/>
  <pageSetup paperSize="0" fitToHeight="0" orientation="landscape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C0DA"/>
    <pageSetUpPr fitToPage="1"/>
  </sheetPr>
  <dimension ref="A1:AY80"/>
  <sheetViews>
    <sheetView workbookViewId="0"/>
  </sheetViews>
  <sheetFormatPr defaultColWidth="0" defaultRowHeight="0" customHeight="1" zeroHeight="1"/>
  <cols>
    <col min="1" max="3" width="2.59765625" style="128" customWidth="1"/>
    <col min="4" max="4" width="2.59765625" style="16" customWidth="1"/>
    <col min="5" max="5" width="50.59765625" style="16" customWidth="1"/>
    <col min="6" max="6" width="1.59765625" style="16" customWidth="1"/>
    <col min="7" max="7" width="15.59765625" style="16" customWidth="1"/>
    <col min="8" max="8" width="10.69921875" style="16" bestFit="1" customWidth="1"/>
    <col min="9" max="9" width="10.59765625" style="16" customWidth="1"/>
    <col min="10" max="10" width="1.59765625" style="16" customWidth="1"/>
    <col min="11" max="35" width="10.59765625" style="16" customWidth="1"/>
    <col min="36" max="36" width="3.09765625" customWidth="1"/>
    <col min="37" max="50" width="10.59765625" hidden="1" customWidth="1"/>
    <col min="51" max="51" width="2.59765625" hidden="1" customWidth="1"/>
    <col min="52" max="52" width="9.09765625" hidden="1" customWidth="1"/>
    <col min="53" max="16384" width="9.09765625" hidden="1"/>
  </cols>
  <sheetData>
    <row r="1" spans="1:35" ht="15" customHeight="1">
      <c r="A1" s="52" t="s">
        <v>34</v>
      </c>
      <c r="B1" s="53"/>
      <c r="C1" s="53"/>
      <c r="D1" s="53"/>
      <c r="E1" s="53"/>
      <c r="F1" s="53"/>
      <c r="G1" s="53"/>
      <c r="H1" s="53" t="s">
        <v>101</v>
      </c>
      <c r="I1" s="53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3"/>
      <c r="AH1" s="53"/>
      <c r="AI1" s="53"/>
    </row>
    <row r="2" spans="1:35" ht="15" customHeight="1">
      <c r="A2" s="53"/>
      <c r="B2" s="53"/>
      <c r="C2" s="53"/>
      <c r="D2" s="53"/>
      <c r="E2" s="55" t="s">
        <v>102</v>
      </c>
      <c r="F2" s="55"/>
      <c r="G2" s="55" t="s">
        <v>103</v>
      </c>
      <c r="H2" s="55" t="s">
        <v>104</v>
      </c>
      <c r="I2" s="56" t="s">
        <v>105</v>
      </c>
      <c r="J2" s="57"/>
      <c r="K2" s="55" t="s">
        <v>106</v>
      </c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</row>
    <row r="3" spans="1:35" ht="15" customHeight="1">
      <c r="A3" s="53"/>
      <c r="B3" s="53"/>
      <c r="C3" s="53"/>
      <c r="D3" s="53"/>
      <c r="E3" s="57" t="s">
        <v>386</v>
      </c>
      <c r="F3" s="55"/>
      <c r="G3" s="55"/>
      <c r="H3" s="55"/>
      <c r="I3" s="56"/>
      <c r="J3" s="57"/>
      <c r="K3" s="97" t="s">
        <v>133</v>
      </c>
      <c r="L3" s="97" t="s">
        <v>134</v>
      </c>
      <c r="M3" s="97" t="s">
        <v>135</v>
      </c>
      <c r="N3" s="97" t="s">
        <v>136</v>
      </c>
      <c r="O3" s="97" t="s">
        <v>137</v>
      </c>
      <c r="P3" s="97" t="s">
        <v>138</v>
      </c>
      <c r="Q3" s="97" t="s">
        <v>139</v>
      </c>
      <c r="R3" s="97" t="s">
        <v>140</v>
      </c>
      <c r="S3" s="97" t="s">
        <v>141</v>
      </c>
      <c r="T3" s="97" t="s">
        <v>142</v>
      </c>
      <c r="U3" s="97" t="s">
        <v>143</v>
      </c>
      <c r="V3" s="97" t="s">
        <v>144</v>
      </c>
      <c r="W3" s="97" t="s">
        <v>145</v>
      </c>
      <c r="X3" s="97" t="s">
        <v>146</v>
      </c>
      <c r="Y3" s="97" t="s">
        <v>147</v>
      </c>
      <c r="Z3" s="97" t="s">
        <v>148</v>
      </c>
      <c r="AA3" s="97" t="s">
        <v>149</v>
      </c>
      <c r="AB3" s="97" t="s">
        <v>150</v>
      </c>
      <c r="AC3" s="97" t="s">
        <v>151</v>
      </c>
      <c r="AD3" s="97" t="s">
        <v>152</v>
      </c>
      <c r="AE3" s="97" t="s">
        <v>153</v>
      </c>
      <c r="AF3" s="97" t="s">
        <v>154</v>
      </c>
      <c r="AG3" s="97" t="s">
        <v>155</v>
      </c>
      <c r="AH3" s="97" t="s">
        <v>156</v>
      </c>
      <c r="AI3" s="97" t="s">
        <v>157</v>
      </c>
    </row>
    <row r="4" spans="1:35" ht="15" customHeight="1">
      <c r="A4" s="53"/>
      <c r="B4" s="53"/>
      <c r="C4" s="53"/>
      <c r="D4" s="53"/>
      <c r="E4" s="69" t="s">
        <v>196</v>
      </c>
      <c r="F4" s="55"/>
      <c r="G4" s="55"/>
      <c r="H4" s="55"/>
      <c r="I4" s="55"/>
      <c r="J4" s="57"/>
      <c r="K4" s="217">
        <v>1</v>
      </c>
      <c r="L4" s="217">
        <f t="shared" ref="L4:AI4" si="0">+K4+1</f>
        <v>2</v>
      </c>
      <c r="M4" s="217">
        <f t="shared" si="0"/>
        <v>3</v>
      </c>
      <c r="N4" s="217">
        <f t="shared" si="0"/>
        <v>4</v>
      </c>
      <c r="O4" s="217">
        <f t="shared" si="0"/>
        <v>5</v>
      </c>
      <c r="P4" s="217">
        <f t="shared" si="0"/>
        <v>6</v>
      </c>
      <c r="Q4" s="217">
        <f t="shared" si="0"/>
        <v>7</v>
      </c>
      <c r="R4" s="217">
        <f t="shared" si="0"/>
        <v>8</v>
      </c>
      <c r="S4" s="217">
        <f t="shared" si="0"/>
        <v>9</v>
      </c>
      <c r="T4" s="217">
        <f t="shared" si="0"/>
        <v>10</v>
      </c>
      <c r="U4" s="217">
        <f t="shared" si="0"/>
        <v>11</v>
      </c>
      <c r="V4" s="217">
        <f t="shared" si="0"/>
        <v>12</v>
      </c>
      <c r="W4" s="217">
        <f t="shared" si="0"/>
        <v>13</v>
      </c>
      <c r="X4" s="217">
        <f t="shared" si="0"/>
        <v>14</v>
      </c>
      <c r="Y4" s="217">
        <f t="shared" si="0"/>
        <v>15</v>
      </c>
      <c r="Z4" s="217">
        <f t="shared" si="0"/>
        <v>16</v>
      </c>
      <c r="AA4" s="217">
        <f t="shared" si="0"/>
        <v>17</v>
      </c>
      <c r="AB4" s="217">
        <f t="shared" si="0"/>
        <v>18</v>
      </c>
      <c r="AC4" s="217">
        <f t="shared" si="0"/>
        <v>19</v>
      </c>
      <c r="AD4" s="217">
        <f t="shared" si="0"/>
        <v>20</v>
      </c>
      <c r="AE4" s="217">
        <f t="shared" si="0"/>
        <v>21</v>
      </c>
      <c r="AF4" s="217">
        <f t="shared" si="0"/>
        <v>22</v>
      </c>
      <c r="AG4" s="217">
        <f t="shared" si="0"/>
        <v>23</v>
      </c>
      <c r="AH4" s="217">
        <f t="shared" si="0"/>
        <v>24</v>
      </c>
      <c r="AI4" s="217">
        <f t="shared" si="0"/>
        <v>25</v>
      </c>
    </row>
    <row r="5" spans="1:35" ht="15" customHeight="1"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</row>
    <row r="6" spans="1:35" ht="15" customHeight="1">
      <c r="A6" s="26"/>
      <c r="B6" s="14" t="s">
        <v>418</v>
      </c>
      <c r="C6" s="58"/>
      <c r="D6" s="58"/>
      <c r="E6" s="58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</row>
    <row r="7" spans="1:35" ht="15" customHeight="1">
      <c r="I7" s="193"/>
      <c r="J7" s="193"/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  <c r="AA7" s="193"/>
      <c r="AB7" s="193"/>
      <c r="AC7" s="193"/>
      <c r="AD7" s="193"/>
      <c r="AE7" s="193"/>
      <c r="AF7" s="193"/>
      <c r="AG7" s="193"/>
      <c r="AH7" s="193"/>
      <c r="AI7" s="193"/>
    </row>
    <row r="8" spans="1:35" ht="15" customHeight="1">
      <c r="A8"/>
      <c r="E8" s="26" t="s">
        <v>161</v>
      </c>
      <c r="G8" s="26" t="str">
        <f>Inputs!$I$11</f>
        <v>£m 20/21 prices</v>
      </c>
      <c r="I8" s="193"/>
      <c r="J8" s="193"/>
      <c r="K8" s="19">
        <f>Inputs!K61</f>
        <v>21.481137686078458</v>
      </c>
      <c r="L8" s="19">
        <f>Inputs!L61</f>
        <v>20.165117136995967</v>
      </c>
      <c r="M8" s="19">
        <f>Inputs!M61</f>
        <v>20.200842935153961</v>
      </c>
      <c r="N8" s="19">
        <f>Inputs!N61</f>
        <v>20.225225294631159</v>
      </c>
      <c r="O8" s="19">
        <f>Inputs!O61</f>
        <v>21.805619046736787</v>
      </c>
      <c r="P8" s="19">
        <f>Inputs!P61</f>
        <v>20.280863122556788</v>
      </c>
      <c r="Q8" s="19">
        <f>Inputs!Q61</f>
        <v>20.322959996718581</v>
      </c>
      <c r="R8" s="19">
        <f>Inputs!R61</f>
        <v>20.350406518247823</v>
      </c>
      <c r="S8" s="19">
        <f>Inputs!S61</f>
        <v>19.10356728891589</v>
      </c>
      <c r="T8" s="19">
        <f>Inputs!T61</f>
        <v>19.150188293608782</v>
      </c>
      <c r="U8" s="19">
        <f>Inputs!U61</f>
        <v>18.977535072385347</v>
      </c>
      <c r="V8" s="19">
        <f>Inputs!V61</f>
        <v>20.391785423552154</v>
      </c>
      <c r="W8" s="19">
        <f>Inputs!W61</f>
        <v>18.918701529662787</v>
      </c>
      <c r="X8" s="19">
        <f>Inputs!X61</f>
        <v>18.918701529662787</v>
      </c>
      <c r="Y8" s="19">
        <f>Inputs!Y61</f>
        <v>18.918701529662787</v>
      </c>
      <c r="Z8" s="19">
        <f>Inputs!Z61</f>
        <v>20.391785423552154</v>
      </c>
      <c r="AA8" s="19">
        <f>Inputs!AA61</f>
        <v>18.918701529662787</v>
      </c>
      <c r="AB8" s="19">
        <f>Inputs!AB61</f>
        <v>18.918701529662783</v>
      </c>
      <c r="AC8" s="19">
        <f>Inputs!AC61</f>
        <v>18.918701529662783</v>
      </c>
      <c r="AD8" s="19">
        <f>Inputs!AD61</f>
        <v>20.391785423552154</v>
      </c>
      <c r="AE8" s="19">
        <f>Inputs!AE61</f>
        <v>18.918701529662787</v>
      </c>
      <c r="AF8" s="19">
        <f>Inputs!AF61</f>
        <v>18.918701529662783</v>
      </c>
      <c r="AG8" s="19">
        <f>Inputs!AG61</f>
        <v>18.918701529662787</v>
      </c>
      <c r="AH8" s="19">
        <f>Inputs!AH61</f>
        <v>20.391785423552154</v>
      </c>
      <c r="AI8" s="19">
        <f>Inputs!AI61</f>
        <v>18.918701529662787</v>
      </c>
    </row>
    <row r="9" spans="1:35" ht="15" customHeight="1">
      <c r="A9"/>
      <c r="E9" s="26" t="s">
        <v>407</v>
      </c>
      <c r="G9" s="26" t="str">
        <f>Inputs!$I$11</f>
        <v>£m 20/21 prices</v>
      </c>
      <c r="I9" s="193"/>
      <c r="J9" s="193"/>
      <c r="K9" s="19">
        <f>Inputs!K62</f>
        <v>0</v>
      </c>
      <c r="L9" s="19">
        <f>Inputs!L62</f>
        <v>0</v>
      </c>
      <c r="M9" s="19">
        <f>Inputs!M62</f>
        <v>0</v>
      </c>
      <c r="N9" s="19">
        <f>Inputs!N62</f>
        <v>0</v>
      </c>
      <c r="O9" s="19">
        <f>Inputs!O62</f>
        <v>0</v>
      </c>
      <c r="P9" s="19">
        <f>Inputs!P62</f>
        <v>0</v>
      </c>
      <c r="Q9" s="19">
        <f>Inputs!Q62</f>
        <v>0</v>
      </c>
      <c r="R9" s="19">
        <f>Inputs!R62</f>
        <v>0</v>
      </c>
      <c r="S9" s="19">
        <f>Inputs!S62</f>
        <v>0</v>
      </c>
      <c r="T9" s="19">
        <f>Inputs!T62</f>
        <v>0</v>
      </c>
      <c r="U9" s="19">
        <f>Inputs!U62</f>
        <v>0</v>
      </c>
      <c r="V9" s="19">
        <f>Inputs!V62</f>
        <v>0</v>
      </c>
      <c r="W9" s="19">
        <f>Inputs!W62</f>
        <v>0</v>
      </c>
      <c r="X9" s="19">
        <f>Inputs!X62</f>
        <v>0</v>
      </c>
      <c r="Y9" s="19">
        <f>Inputs!Y62</f>
        <v>0</v>
      </c>
      <c r="Z9" s="19">
        <f>Inputs!Z62</f>
        <v>0</v>
      </c>
      <c r="AA9" s="19">
        <f>Inputs!AA62</f>
        <v>0</v>
      </c>
      <c r="AB9" s="19">
        <f>Inputs!AB62</f>
        <v>0</v>
      </c>
      <c r="AC9" s="19">
        <f>Inputs!AC62</f>
        <v>0</v>
      </c>
      <c r="AD9" s="19">
        <f>Inputs!AD62</f>
        <v>0</v>
      </c>
      <c r="AE9" s="19">
        <f>Inputs!AE62</f>
        <v>0</v>
      </c>
      <c r="AF9" s="19">
        <f>Inputs!AF62</f>
        <v>0</v>
      </c>
      <c r="AG9" s="19">
        <f>Inputs!AG62</f>
        <v>0</v>
      </c>
      <c r="AH9" s="19">
        <f>Inputs!AH62</f>
        <v>0</v>
      </c>
      <c r="AI9" s="19">
        <f>Inputs!AI62</f>
        <v>0</v>
      </c>
    </row>
    <row r="10" spans="1:35" ht="15" customHeight="1">
      <c r="A10"/>
      <c r="E10" s="26" t="s">
        <v>160</v>
      </c>
      <c r="G10" s="26" t="str">
        <f>Inputs!$I$11</f>
        <v>£m 20/21 prices</v>
      </c>
      <c r="I10" s="193"/>
      <c r="J10" s="193"/>
      <c r="K10" s="19">
        <f>Inputs!K60</f>
        <v>0</v>
      </c>
      <c r="L10" s="19">
        <f>Inputs!L60</f>
        <v>0</v>
      </c>
      <c r="M10" s="19">
        <f>Inputs!M60</f>
        <v>0</v>
      </c>
      <c r="N10" s="19">
        <f>Inputs!N60</f>
        <v>0</v>
      </c>
      <c r="O10" s="19">
        <f>Inputs!O60</f>
        <v>0</v>
      </c>
      <c r="P10" s="19">
        <f>Inputs!P60</f>
        <v>0</v>
      </c>
      <c r="Q10" s="19">
        <f>Inputs!Q60</f>
        <v>0</v>
      </c>
      <c r="R10" s="19">
        <f>Inputs!R60</f>
        <v>0</v>
      </c>
      <c r="S10" s="19">
        <f>Inputs!S60</f>
        <v>0</v>
      </c>
      <c r="T10" s="19">
        <f>Inputs!T60</f>
        <v>0</v>
      </c>
      <c r="U10" s="19">
        <f>Inputs!U60</f>
        <v>0</v>
      </c>
      <c r="V10" s="19">
        <f>Inputs!V60</f>
        <v>0</v>
      </c>
      <c r="W10" s="19">
        <f>Inputs!W60</f>
        <v>0</v>
      </c>
      <c r="X10" s="19">
        <f>Inputs!X60</f>
        <v>0</v>
      </c>
      <c r="Y10" s="19">
        <f>Inputs!Y60</f>
        <v>0</v>
      </c>
      <c r="Z10" s="19">
        <f>Inputs!Z60</f>
        <v>0</v>
      </c>
      <c r="AA10" s="19">
        <f>Inputs!AA60</f>
        <v>0</v>
      </c>
      <c r="AB10" s="19">
        <f>Inputs!AB60</f>
        <v>0</v>
      </c>
      <c r="AC10" s="19">
        <f>Inputs!AC60</f>
        <v>0</v>
      </c>
      <c r="AD10" s="19">
        <f>Inputs!AD60</f>
        <v>0</v>
      </c>
      <c r="AE10" s="19">
        <f>Inputs!AE60</f>
        <v>0</v>
      </c>
      <c r="AF10" s="19">
        <f>Inputs!AF60</f>
        <v>0</v>
      </c>
      <c r="AG10" s="19">
        <f>Inputs!AG60</f>
        <v>0</v>
      </c>
      <c r="AH10" s="19">
        <f>Inputs!AH60</f>
        <v>0</v>
      </c>
      <c r="AI10" s="19">
        <f>Inputs!AI60</f>
        <v>69.337011026225994</v>
      </c>
    </row>
    <row r="11" spans="1:35" ht="15" customHeight="1">
      <c r="A11"/>
      <c r="E11" s="26" t="s">
        <v>398</v>
      </c>
      <c r="G11" s="26" t="str">
        <f>Inputs!$I$11</f>
        <v>£m 20/21 prices</v>
      </c>
      <c r="I11" s="193"/>
      <c r="J11" s="193"/>
      <c r="K11" s="19">
        <f>Op_Rav!K25</f>
        <v>36.96250173642332</v>
      </c>
      <c r="L11" s="19">
        <f>Op_Rav!L25</f>
        <v>36.962501736423327</v>
      </c>
      <c r="M11" s="19">
        <f>Op_Rav!M25</f>
        <v>36.962501736423327</v>
      </c>
      <c r="N11" s="19">
        <f>Op_Rav!N25</f>
        <v>36.962501736423327</v>
      </c>
      <c r="O11" s="19">
        <f>Op_Rav!O25</f>
        <v>36.962501736423327</v>
      </c>
      <c r="P11" s="19">
        <f>Op_Rav!P25</f>
        <v>36.962501736423334</v>
      </c>
      <c r="Q11" s="19">
        <f>Op_Rav!Q25</f>
        <v>36.962501736423334</v>
      </c>
      <c r="R11" s="19">
        <f>Op_Rav!R25</f>
        <v>36.962501736423334</v>
      </c>
      <c r="S11" s="19">
        <f>Op_Rav!S25</f>
        <v>37.004052408878664</v>
      </c>
      <c r="T11" s="19">
        <f>Op_Rav!T25</f>
        <v>37.027716655065738</v>
      </c>
      <c r="U11" s="19">
        <f>Op_Rav!U25</f>
        <v>37.040727444257996</v>
      </c>
      <c r="V11" s="19">
        <f>Op_Rav!V25</f>
        <v>37.068041880038145</v>
      </c>
      <c r="W11" s="19">
        <f>Op_Rav!W25</f>
        <v>37.126352546177657</v>
      </c>
      <c r="X11" s="19">
        <f>Op_Rav!X25</f>
        <v>37.242620218040791</v>
      </c>
      <c r="Y11" s="19">
        <f>Op_Rav!Y25</f>
        <v>37.26908938634471</v>
      </c>
      <c r="Z11" s="19">
        <f>Op_Rav!Z25</f>
        <v>37.298109799796954</v>
      </c>
      <c r="AA11" s="19">
        <f>Op_Rav!AA25</f>
        <v>37.477788417222627</v>
      </c>
      <c r="AB11" s="19">
        <f>Op_Rav!AB25</f>
        <v>37.514063934037935</v>
      </c>
      <c r="AC11" s="19">
        <f>Op_Rav!AC25</f>
        <v>37.555658341372656</v>
      </c>
      <c r="AD11" s="19">
        <f>Op_Rav!AD25</f>
        <v>37.604025697126403</v>
      </c>
      <c r="AE11" s="19">
        <f>Op_Rav!AE25</f>
        <v>37.671442348873128</v>
      </c>
      <c r="AF11" s="19">
        <f>Op_Rav!AF25</f>
        <v>37.885348292752781</v>
      </c>
      <c r="AG11" s="19">
        <f>Op_Rav!AG25</f>
        <v>38.232133255022951</v>
      </c>
      <c r="AH11" s="19">
        <f>Op_Rav!AH25</f>
        <v>38.377235322284179</v>
      </c>
      <c r="AI11" s="19">
        <f>Op_Rav!AI25</f>
        <v>39.712493162811256</v>
      </c>
    </row>
    <row r="12" spans="1:35" ht="15" customHeight="1">
      <c r="A12"/>
      <c r="E12" s="26" t="s">
        <v>404</v>
      </c>
      <c r="G12" s="26" t="str">
        <f>Inputs!$I$11</f>
        <v>£m 20/21 prices</v>
      </c>
      <c r="I12" s="26"/>
      <c r="K12" s="19">
        <f>Op_Rav!K41</f>
        <v>10.982869495650611</v>
      </c>
      <c r="L12" s="19">
        <f>Op_Rav!L41</f>
        <v>10.534644569189844</v>
      </c>
      <c r="M12" s="19">
        <f>Op_Rav!M41</f>
        <v>10.086419642729076</v>
      </c>
      <c r="N12" s="19">
        <f>Op_Rav!N41</f>
        <v>9.638194716268309</v>
      </c>
      <c r="O12" s="19">
        <f>Op_Rav!O41</f>
        <v>9.1899697898075399</v>
      </c>
      <c r="P12" s="19">
        <f>Op_Rav!P41</f>
        <v>8.7417448633467725</v>
      </c>
      <c r="Q12" s="19">
        <f>Op_Rav!Q41</f>
        <v>8.2935199368860051</v>
      </c>
      <c r="R12" s="19">
        <f>Op_Rav!R41</f>
        <v>7.8495518813337712</v>
      </c>
      <c r="S12" s="19">
        <f>Op_Rav!S41</f>
        <v>7.4076671479941734</v>
      </c>
      <c r="T12" s="19">
        <f>Op_Rav!T41</f>
        <v>6.9622815149768256</v>
      </c>
      <c r="U12" s="19">
        <f>Op_Rav!U41</f>
        <v>6.5166823767544848</v>
      </c>
      <c r="V12" s="19">
        <f>Op_Rav!V41</f>
        <v>6.0742451935794506</v>
      </c>
      <c r="W12" s="19">
        <f>Op_Rav!W41</f>
        <v>5.6374212783113995</v>
      </c>
      <c r="X12" s="19">
        <f>Op_Rav!X41</f>
        <v>5.1967742020784771</v>
      </c>
      <c r="Y12" s="19">
        <f>Op_Rav!Y41</f>
        <v>4.7485178991946189</v>
      </c>
      <c r="Z12" s="19">
        <f>Op_Rav!Z41</f>
        <v>4.3079159604881898</v>
      </c>
      <c r="AA12" s="19">
        <f>Op_Rav!AA41</f>
        <v>3.8661517261535878</v>
      </c>
      <c r="AB12" s="19">
        <f>Op_Rav!AB41</f>
        <v>3.4149844934414477</v>
      </c>
      <c r="AC12" s="19">
        <f>Op_Rav!AC41</f>
        <v>2.9633453826791087</v>
      </c>
      <c r="AD12" s="19">
        <f>Op_Rav!AD41</f>
        <v>2.5114377412662892</v>
      </c>
      <c r="AE12" s="19">
        <f>Op_Rav!AE41</f>
        <v>2.0622397092292175</v>
      </c>
      <c r="AF12" s="19">
        <f>Op_Rav!AF41</f>
        <v>1.6156177113118699</v>
      </c>
      <c r="AG12" s="19">
        <f>Op_Rav!AG41</f>
        <v>1.1622070890824969</v>
      </c>
      <c r="AH12" s="19">
        <f>Op_Rav!AH41</f>
        <v>0.70143826747438065</v>
      </c>
      <c r="AI12" s="19">
        <f>Op_Rav!AI41</f>
        <v>0.23608147570033225</v>
      </c>
    </row>
    <row r="13" spans="1:35" ht="15" customHeight="1">
      <c r="A13"/>
      <c r="E13" s="16" t="s">
        <v>419</v>
      </c>
      <c r="G13" s="26" t="str">
        <f>Inputs!$I$11</f>
        <v>£m 20/21 prices</v>
      </c>
      <c r="I13" s="26"/>
      <c r="K13" s="181">
        <f t="shared" ref="K13:AI13" si="1">SUM(K8:K12)</f>
        <v>69.426508918152393</v>
      </c>
      <c r="L13" s="181">
        <f t="shared" si="1"/>
        <v>67.662263442609145</v>
      </c>
      <c r="M13" s="181">
        <f t="shared" si="1"/>
        <v>67.249764314306361</v>
      </c>
      <c r="N13" s="181">
        <f t="shared" si="1"/>
        <v>66.825921747322795</v>
      </c>
      <c r="O13" s="181">
        <f t="shared" si="1"/>
        <v>67.958090572967649</v>
      </c>
      <c r="P13" s="181">
        <f t="shared" si="1"/>
        <v>65.985109722326897</v>
      </c>
      <c r="Q13" s="181">
        <f t="shared" si="1"/>
        <v>65.578981670027915</v>
      </c>
      <c r="R13" s="181">
        <f t="shared" si="1"/>
        <v>65.162460136004924</v>
      </c>
      <c r="S13" s="181">
        <f t="shared" si="1"/>
        <v>63.515286845788729</v>
      </c>
      <c r="T13" s="181">
        <f t="shared" si="1"/>
        <v>63.140186463651347</v>
      </c>
      <c r="U13" s="181">
        <f t="shared" si="1"/>
        <v>62.534944893397835</v>
      </c>
      <c r="V13" s="181">
        <f t="shared" si="1"/>
        <v>63.534072497169753</v>
      </c>
      <c r="W13" s="181">
        <f t="shared" si="1"/>
        <v>61.68247535415184</v>
      </c>
      <c r="X13" s="181">
        <f t="shared" si="1"/>
        <v>61.358095949782061</v>
      </c>
      <c r="Y13" s="181">
        <f t="shared" si="1"/>
        <v>60.936308815202118</v>
      </c>
      <c r="Z13" s="181">
        <f t="shared" si="1"/>
        <v>61.9978111838373</v>
      </c>
      <c r="AA13" s="181">
        <f t="shared" si="1"/>
        <v>60.262641673038999</v>
      </c>
      <c r="AB13" s="181">
        <f t="shared" si="1"/>
        <v>59.847749957142163</v>
      </c>
      <c r="AC13" s="181">
        <f t="shared" si="1"/>
        <v>59.437705253714547</v>
      </c>
      <c r="AD13" s="181">
        <f t="shared" si="1"/>
        <v>60.507248861944845</v>
      </c>
      <c r="AE13" s="181">
        <f t="shared" si="1"/>
        <v>58.652383587765129</v>
      </c>
      <c r="AF13" s="181">
        <f t="shared" si="1"/>
        <v>58.419667533727434</v>
      </c>
      <c r="AG13" s="181">
        <f t="shared" si="1"/>
        <v>58.313041873768242</v>
      </c>
      <c r="AH13" s="181">
        <f t="shared" si="1"/>
        <v>59.470459013310709</v>
      </c>
      <c r="AI13" s="181">
        <f t="shared" si="1"/>
        <v>128.20428719440037</v>
      </c>
    </row>
    <row r="14" spans="1:35" ht="15" customHeight="1">
      <c r="A14"/>
    </row>
    <row r="15" spans="1:35" ht="15" customHeight="1">
      <c r="A15"/>
      <c r="B15" s="14" t="s">
        <v>420</v>
      </c>
      <c r="C15" s="58"/>
      <c r="D15" s="58"/>
      <c r="E15" s="58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</row>
    <row r="16" spans="1:35" ht="15" customHeight="1">
      <c r="A16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193"/>
      <c r="AH16" s="193"/>
      <c r="AI16" s="193"/>
    </row>
    <row r="17" spans="2:35" ht="15" customHeight="1">
      <c r="B17" s="26"/>
      <c r="C17" s="67" t="s">
        <v>409</v>
      </c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</row>
    <row r="18" spans="2:35" ht="15" customHeight="1">
      <c r="B18" s="26"/>
      <c r="C18" s="26"/>
      <c r="D18" s="26"/>
    </row>
    <row r="19" spans="2:35" ht="15" customHeight="1">
      <c r="E19" s="102" t="s">
        <v>170</v>
      </c>
      <c r="G19" s="102" t="str">
        <f>Inputs!G69</f>
        <v>real annual %</v>
      </c>
      <c r="I19" s="194">
        <f>Inputs!I69</f>
        <v>1.2200000000000001E-2</v>
      </c>
    </row>
    <row r="20" spans="2:35" ht="15" customHeight="1">
      <c r="B20" s="26"/>
      <c r="C20" s="26"/>
      <c r="D20" s="26"/>
      <c r="E20" s="223" t="s">
        <v>241</v>
      </c>
      <c r="G20" s="223" t="str">
        <f>Inputs!G155</f>
        <v>full years</v>
      </c>
      <c r="I20" s="219">
        <f>Inputs!I155</f>
        <v>25</v>
      </c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193"/>
      <c r="AH20" s="193"/>
      <c r="AI20" s="193"/>
    </row>
    <row r="21" spans="2:35" ht="15" customHeight="1">
      <c r="B21" s="26"/>
      <c r="C21" s="26"/>
      <c r="D21" s="26"/>
      <c r="E21" s="16" t="s">
        <v>421</v>
      </c>
      <c r="G21" s="16" t="s">
        <v>265</v>
      </c>
      <c r="I21" s="75">
        <f>I19 / (1 - (1 + I19)^(-I20))</f>
        <v>4.665124288628883E-2</v>
      </c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</row>
    <row r="22" spans="2:35" ht="15" customHeight="1">
      <c r="B22" s="26"/>
      <c r="C22" s="26"/>
      <c r="D22" s="26"/>
    </row>
    <row r="23" spans="2:35" customFormat="1" ht="15" customHeight="1">
      <c r="B23" s="26"/>
      <c r="C23" s="26"/>
      <c r="D23" s="26"/>
      <c r="E23" s="26" t="s">
        <v>411</v>
      </c>
      <c r="F23" s="26"/>
      <c r="G23" s="26" t="s">
        <v>247</v>
      </c>
      <c r="H23" s="26"/>
      <c r="I23" s="213"/>
      <c r="J23" s="107"/>
      <c r="K23" s="212" t="b">
        <f t="shared" ref="K23:AI23" si="2">AND(K4 &gt; 0, K4&lt;= $I20)</f>
        <v>1</v>
      </c>
      <c r="L23" s="212" t="b">
        <f t="shared" si="2"/>
        <v>1</v>
      </c>
      <c r="M23" s="212" t="b">
        <f t="shared" si="2"/>
        <v>1</v>
      </c>
      <c r="N23" s="212" t="b">
        <f t="shared" si="2"/>
        <v>1</v>
      </c>
      <c r="O23" s="212" t="b">
        <f t="shared" si="2"/>
        <v>1</v>
      </c>
      <c r="P23" s="212" t="b">
        <f t="shared" si="2"/>
        <v>1</v>
      </c>
      <c r="Q23" s="212" t="b">
        <f t="shared" si="2"/>
        <v>1</v>
      </c>
      <c r="R23" s="212" t="b">
        <f t="shared" si="2"/>
        <v>1</v>
      </c>
      <c r="S23" s="212" t="b">
        <f t="shared" si="2"/>
        <v>1</v>
      </c>
      <c r="T23" s="212" t="b">
        <f t="shared" si="2"/>
        <v>1</v>
      </c>
      <c r="U23" s="212" t="b">
        <f t="shared" si="2"/>
        <v>1</v>
      </c>
      <c r="V23" s="212" t="b">
        <f t="shared" si="2"/>
        <v>1</v>
      </c>
      <c r="W23" s="212" t="b">
        <f t="shared" si="2"/>
        <v>1</v>
      </c>
      <c r="X23" s="212" t="b">
        <f t="shared" si="2"/>
        <v>1</v>
      </c>
      <c r="Y23" s="212" t="b">
        <f t="shared" si="2"/>
        <v>1</v>
      </c>
      <c r="Z23" s="212" t="b">
        <f t="shared" si="2"/>
        <v>1</v>
      </c>
      <c r="AA23" s="212" t="b">
        <f t="shared" si="2"/>
        <v>1</v>
      </c>
      <c r="AB23" s="212" t="b">
        <f t="shared" si="2"/>
        <v>1</v>
      </c>
      <c r="AC23" s="212" t="b">
        <f t="shared" si="2"/>
        <v>1</v>
      </c>
      <c r="AD23" s="212" t="b">
        <f t="shared" si="2"/>
        <v>1</v>
      </c>
      <c r="AE23" s="212" t="b">
        <f t="shared" si="2"/>
        <v>1</v>
      </c>
      <c r="AF23" s="212" t="b">
        <f t="shared" si="2"/>
        <v>1</v>
      </c>
      <c r="AG23" s="212" t="b">
        <f t="shared" si="2"/>
        <v>1</v>
      </c>
      <c r="AH23" s="212" t="b">
        <f t="shared" si="2"/>
        <v>1</v>
      </c>
      <c r="AI23" s="212" t="b">
        <f t="shared" si="2"/>
        <v>1</v>
      </c>
    </row>
    <row r="24" spans="2:35" customFormat="1" ht="15" customHeight="1">
      <c r="B24" s="26"/>
      <c r="C24" s="26"/>
      <c r="D24" s="26"/>
      <c r="E24" s="16" t="s">
        <v>422</v>
      </c>
      <c r="F24" s="16"/>
      <c r="G24" s="16" t="s">
        <v>265</v>
      </c>
      <c r="H24" s="16"/>
      <c r="I24" s="193"/>
      <c r="J24" s="193"/>
      <c r="K24" s="220">
        <f t="shared" ref="K24:AI24" si="3">(1 + $I19) ^ - K4</f>
        <v>0.98794704603833239</v>
      </c>
      <c r="L24" s="220">
        <f t="shared" si="3"/>
        <v>0.97603936577586681</v>
      </c>
      <c r="M24" s="220">
        <f t="shared" si="3"/>
        <v>0.96427520823539492</v>
      </c>
      <c r="N24" s="220">
        <f t="shared" si="3"/>
        <v>0.95265284354415625</v>
      </c>
      <c r="O24" s="220">
        <f t="shared" si="3"/>
        <v>0.94117056267946664</v>
      </c>
      <c r="P24" s="220">
        <f t="shared" si="3"/>
        <v>0.9298266772174143</v>
      </c>
      <c r="Q24" s="220">
        <f t="shared" si="3"/>
        <v>0.91861951908458239</v>
      </c>
      <c r="R24" s="220">
        <f t="shared" si="3"/>
        <v>0.90754744031276657</v>
      </c>
      <c r="S24" s="220">
        <f t="shared" si="3"/>
        <v>0.89660881279664761</v>
      </c>
      <c r="T24" s="220">
        <f t="shared" si="3"/>
        <v>0.88580202805438391</v>
      </c>
      <c r="U24" s="220">
        <f t="shared" si="3"/>
        <v>0.87512549699109266</v>
      </c>
      <c r="V24" s="220">
        <f t="shared" si="3"/>
        <v>0.86457764966517736</v>
      </c>
      <c r="W24" s="220">
        <f t="shared" si="3"/>
        <v>0.85415693505747614</v>
      </c>
      <c r="X24" s="220">
        <f t="shared" si="3"/>
        <v>0.84386182084318928</v>
      </c>
      <c r="Y24" s="220">
        <f t="shared" si="3"/>
        <v>0.83369079316655725</v>
      </c>
      <c r="Z24" s="220">
        <f t="shared" si="3"/>
        <v>0.82364235641825467</v>
      </c>
      <c r="AA24" s="220">
        <f t="shared" si="3"/>
        <v>0.81371503301546588</v>
      </c>
      <c r="AB24" s="220">
        <f t="shared" si="3"/>
        <v>0.80390736318461364</v>
      </c>
      <c r="AC24" s="220">
        <f t="shared" si="3"/>
        <v>0.79421790474670395</v>
      </c>
      <c r="AD24" s="220">
        <f t="shared" si="3"/>
        <v>0.78464523290525967</v>
      </c>
      <c r="AE24" s="220">
        <f t="shared" si="3"/>
        <v>0.77518794003681057</v>
      </c>
      <c r="AF24" s="220">
        <f t="shared" si="3"/>
        <v>0.76584463548390702</v>
      </c>
      <c r="AG24" s="220">
        <f t="shared" si="3"/>
        <v>0.75661394535062931</v>
      </c>
      <c r="AH24" s="220">
        <f t="shared" si="3"/>
        <v>0.74749451230056241</v>
      </c>
      <c r="AI24" s="220">
        <f t="shared" si="3"/>
        <v>0.73848499535720458</v>
      </c>
    </row>
    <row r="25" spans="2:35" ht="15" customHeight="1">
      <c r="B25" s="26"/>
      <c r="C25" s="26"/>
      <c r="D25" s="26"/>
    </row>
    <row r="26" spans="2:35" ht="15" customHeight="1">
      <c r="C26" s="67" t="s">
        <v>413</v>
      </c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</row>
    <row r="27" spans="2:35" ht="15" customHeight="1"/>
    <row r="28" spans="2:35" customFormat="1" ht="15" customHeight="1">
      <c r="B28" s="26"/>
      <c r="C28" s="26"/>
      <c r="D28" s="26"/>
      <c r="E28" s="26" t="s">
        <v>423</v>
      </c>
      <c r="F28" s="16"/>
      <c r="G28" s="26" t="str">
        <f>Inputs!$I$11</f>
        <v>£m 20/21 prices</v>
      </c>
      <c r="H28" s="16"/>
      <c r="I28" s="193"/>
      <c r="J28" s="193"/>
      <c r="K28" s="26">
        <f t="shared" ref="K28:AI28" si="4">K13 * K$24</f>
        <v>68.589714402442596</v>
      </c>
      <c r="L28" s="26">
        <f t="shared" si="4"/>
        <v>66.041032697483843</v>
      </c>
      <c r="M28" s="26">
        <f t="shared" si="4"/>
        <v>64.847280487958997</v>
      </c>
      <c r="N28" s="26">
        <f t="shared" si="4"/>
        <v>63.661904375046333</v>
      </c>
      <c r="O28" s="26">
        <f t="shared" si="4"/>
        <v>63.960154343182118</v>
      </c>
      <c r="P28" s="26">
        <f t="shared" si="4"/>
        <v>61.354715318937714</v>
      </c>
      <c r="Q28" s="26">
        <f t="shared" si="4"/>
        <v>60.242132603777684</v>
      </c>
      <c r="R28" s="26">
        <f t="shared" si="4"/>
        <v>59.138023900913957</v>
      </c>
      <c r="S28" s="26">
        <f t="shared" si="4"/>
        <v>56.948365933241163</v>
      </c>
      <c r="T28" s="26">
        <f t="shared" si="4"/>
        <v>55.929705221234322</v>
      </c>
      <c r="U28" s="26">
        <f t="shared" si="4"/>
        <v>54.725924729145369</v>
      </c>
      <c r="V28" s="26">
        <f t="shared" si="4"/>
        <v>54.930139073260008</v>
      </c>
      <c r="W28" s="26">
        <f t="shared" si="4"/>
        <v>52.686514095260648</v>
      </c>
      <c r="X28" s="26">
        <f t="shared" si="4"/>
        <v>51.777754571654206</v>
      </c>
      <c r="Y28" s="26">
        <f t="shared" si="4"/>
        <v>50.80203962878813</v>
      </c>
      <c r="Z28" s="26">
        <f t="shared" si="4"/>
        <v>51.064023296229777</v>
      </c>
      <c r="AA28" s="26">
        <f t="shared" si="4"/>
        <v>49.036617458576117</v>
      </c>
      <c r="AB28" s="26">
        <f t="shared" si="4"/>
        <v>48.112046860578232</v>
      </c>
      <c r="AC28" s="26">
        <f t="shared" si="4"/>
        <v>47.206489729557326</v>
      </c>
      <c r="AD28" s="26">
        <f t="shared" si="4"/>
        <v>47.47672437573722</v>
      </c>
      <c r="AE28" s="26">
        <f t="shared" si="4"/>
        <v>45.466620411648485</v>
      </c>
      <c r="AF28" s="26">
        <f t="shared" si="4"/>
        <v>44.740388987458523</v>
      </c>
      <c r="AG28" s="26">
        <f t="shared" si="4"/>
        <v>44.120460677508241</v>
      </c>
      <c r="AH28" s="26">
        <f t="shared" si="4"/>
        <v>44.453841756445271</v>
      </c>
      <c r="AI28" s="26">
        <f t="shared" si="4"/>
        <v>94.676942433530471</v>
      </c>
    </row>
    <row r="29" spans="2:35" ht="15" customHeight="1">
      <c r="B29" s="26"/>
      <c r="C29" s="26"/>
      <c r="D29" s="26"/>
      <c r="E29" s="16" t="s">
        <v>424</v>
      </c>
      <c r="G29" s="26" t="str">
        <f>Inputs!$I$11</f>
        <v>£m 20/21 prices</v>
      </c>
      <c r="I29" s="221">
        <f>SUM(K28:AI28)</f>
        <v>1401.9895573695967</v>
      </c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3"/>
      <c r="AF29" s="193"/>
      <c r="AG29" s="193"/>
      <c r="AH29" s="193"/>
      <c r="AI29" s="193"/>
    </row>
    <row r="30" spans="2:35" ht="15" customHeight="1">
      <c r="B30" s="26"/>
      <c r="C30" s="26"/>
      <c r="D30" s="26"/>
      <c r="G30" s="26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3"/>
      <c r="X30" s="193"/>
      <c r="Y30" s="193"/>
      <c r="Z30" s="193"/>
      <c r="AA30" s="193"/>
      <c r="AB30" s="193"/>
      <c r="AC30" s="193"/>
      <c r="AD30" s="193"/>
      <c r="AE30" s="193"/>
      <c r="AF30" s="193"/>
      <c r="AG30" s="193"/>
      <c r="AH30" s="193"/>
      <c r="AI30" s="193"/>
    </row>
    <row r="31" spans="2:35" ht="15" customHeight="1">
      <c r="B31" s="26"/>
      <c r="C31" s="26"/>
      <c r="D31" s="26"/>
      <c r="E31" s="16" t="s">
        <v>421</v>
      </c>
      <c r="G31" s="16" t="str">
        <f>G$21</f>
        <v>scalar</v>
      </c>
      <c r="I31" s="147">
        <f>I$21</f>
        <v>4.665124288628883E-2</v>
      </c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93"/>
      <c r="W31" s="193"/>
      <c r="X31" s="193"/>
      <c r="Y31" s="193"/>
      <c r="Z31" s="193"/>
      <c r="AA31" s="193"/>
      <c r="AB31" s="193"/>
      <c r="AC31" s="193"/>
      <c r="AD31" s="193"/>
      <c r="AE31" s="193"/>
      <c r="AF31" s="193"/>
      <c r="AG31" s="193"/>
      <c r="AH31" s="193"/>
      <c r="AI31" s="193"/>
    </row>
    <row r="32" spans="2:35" ht="15" customHeight="1">
      <c r="B32" s="26"/>
      <c r="C32" s="26"/>
      <c r="D32" s="26"/>
      <c r="G32" s="26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  <c r="Y32" s="193"/>
      <c r="Z32" s="193"/>
      <c r="AA32" s="193"/>
      <c r="AB32" s="193"/>
      <c r="AC32" s="193"/>
      <c r="AD32" s="193"/>
      <c r="AE32" s="193"/>
      <c r="AF32" s="193"/>
      <c r="AG32" s="193"/>
      <c r="AH32" s="193"/>
      <c r="AI32" s="193"/>
    </row>
    <row r="33" spans="1:35" ht="15" customHeight="1">
      <c r="A33"/>
      <c r="B33" s="26"/>
      <c r="C33" s="26"/>
      <c r="D33" s="26"/>
      <c r="E33" s="16" t="s">
        <v>425</v>
      </c>
      <c r="G33" s="26" t="str">
        <f>Inputs!$I$11</f>
        <v>£m 20/21 prices</v>
      </c>
      <c r="I33" s="222">
        <f>I29 * I31</f>
        <v>65.404555364889617</v>
      </c>
      <c r="J33" s="193"/>
    </row>
    <row r="34" spans="1:35" ht="15" customHeight="1">
      <c r="A34"/>
      <c r="B34" s="26"/>
      <c r="C34" s="26"/>
      <c r="D34" s="26"/>
      <c r="E34" s="26" t="s">
        <v>426</v>
      </c>
      <c r="G34" s="26" t="str">
        <f>Inputs!$I$11</f>
        <v>£m 20/21 prices</v>
      </c>
      <c r="J34" s="193"/>
      <c r="K34" s="20">
        <f t="shared" ref="K34:AI34" si="5">K$23 * $I33</f>
        <v>65.404555364889617</v>
      </c>
      <c r="L34" s="20">
        <f t="shared" si="5"/>
        <v>65.404555364889617</v>
      </c>
      <c r="M34" s="20">
        <f t="shared" si="5"/>
        <v>65.404555364889617</v>
      </c>
      <c r="N34" s="20">
        <f t="shared" si="5"/>
        <v>65.404555364889617</v>
      </c>
      <c r="O34" s="20">
        <f t="shared" si="5"/>
        <v>65.404555364889617</v>
      </c>
      <c r="P34" s="20">
        <f t="shared" si="5"/>
        <v>65.404555364889617</v>
      </c>
      <c r="Q34" s="20">
        <f t="shared" si="5"/>
        <v>65.404555364889617</v>
      </c>
      <c r="R34" s="20">
        <f t="shared" si="5"/>
        <v>65.404555364889617</v>
      </c>
      <c r="S34" s="20">
        <f t="shared" si="5"/>
        <v>65.404555364889617</v>
      </c>
      <c r="T34" s="20">
        <f t="shared" si="5"/>
        <v>65.404555364889617</v>
      </c>
      <c r="U34" s="20">
        <f t="shared" si="5"/>
        <v>65.404555364889617</v>
      </c>
      <c r="V34" s="20">
        <f t="shared" si="5"/>
        <v>65.404555364889617</v>
      </c>
      <c r="W34" s="20">
        <f t="shared" si="5"/>
        <v>65.404555364889617</v>
      </c>
      <c r="X34" s="20">
        <f t="shared" si="5"/>
        <v>65.404555364889617</v>
      </c>
      <c r="Y34" s="20">
        <f t="shared" si="5"/>
        <v>65.404555364889617</v>
      </c>
      <c r="Z34" s="20">
        <f t="shared" si="5"/>
        <v>65.404555364889617</v>
      </c>
      <c r="AA34" s="20">
        <f t="shared" si="5"/>
        <v>65.404555364889617</v>
      </c>
      <c r="AB34" s="20">
        <f t="shared" si="5"/>
        <v>65.404555364889617</v>
      </c>
      <c r="AC34" s="20">
        <f t="shared" si="5"/>
        <v>65.404555364889617</v>
      </c>
      <c r="AD34" s="20">
        <f t="shared" si="5"/>
        <v>65.404555364889617</v>
      </c>
      <c r="AE34" s="20">
        <f t="shared" si="5"/>
        <v>65.404555364889617</v>
      </c>
      <c r="AF34" s="20">
        <f t="shared" si="5"/>
        <v>65.404555364889617</v>
      </c>
      <c r="AG34" s="20">
        <f t="shared" si="5"/>
        <v>65.404555364889617</v>
      </c>
      <c r="AH34" s="20">
        <f t="shared" si="5"/>
        <v>65.404555364889617</v>
      </c>
      <c r="AI34" s="20">
        <f t="shared" si="5"/>
        <v>65.404555364889617</v>
      </c>
    </row>
    <row r="35" spans="1:35" ht="15" customHeight="1">
      <c r="A35"/>
    </row>
    <row r="36" spans="1:35" ht="15" customHeight="1">
      <c r="A36" s="27"/>
      <c r="B36" s="14" t="s">
        <v>427</v>
      </c>
      <c r="C36" s="58"/>
      <c r="D36" s="58"/>
      <c r="E36" s="58"/>
      <c r="F36" s="58"/>
      <c r="G36" s="58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</row>
    <row r="37" spans="1:35" ht="15" customHeight="1">
      <c r="A37" s="198"/>
      <c r="I37" s="193"/>
      <c r="J37" s="193"/>
      <c r="K37" s="193"/>
      <c r="L37" s="193"/>
      <c r="M37" s="193"/>
      <c r="N37" s="193"/>
      <c r="O37" s="193"/>
      <c r="P37" s="193"/>
      <c r="Q37" s="193"/>
      <c r="R37" s="193"/>
      <c r="S37" s="193"/>
      <c r="T37" s="193"/>
      <c r="U37" s="193"/>
      <c r="V37" s="193"/>
      <c r="W37" s="193"/>
      <c r="X37" s="193"/>
      <c r="Y37" s="193"/>
      <c r="Z37" s="193"/>
      <c r="AA37" s="193"/>
      <c r="AB37" s="193"/>
      <c r="AC37" s="193"/>
      <c r="AD37" s="193"/>
      <c r="AE37" s="193"/>
      <c r="AF37" s="193"/>
      <c r="AG37" s="193"/>
      <c r="AH37" s="193"/>
      <c r="AI37" s="193"/>
    </row>
    <row r="38" spans="1:35" ht="15" customHeight="1">
      <c r="A38" s="125"/>
      <c r="E38" s="26" t="s">
        <v>161</v>
      </c>
      <c r="G38" s="26" t="str">
        <f>Inputs!$I$11</f>
        <v>£m 20/21 prices</v>
      </c>
      <c r="H38" s="26"/>
      <c r="I38" s="193"/>
      <c r="J38" s="193"/>
      <c r="K38" s="19">
        <f>Inputs!K61*K56</f>
        <v>21.481137686078458</v>
      </c>
      <c r="L38" s="19">
        <f>Inputs!L61*L56</f>
        <v>20.165117136995967</v>
      </c>
      <c r="M38" s="19">
        <f>Inputs!M61*M56</f>
        <v>20.200842935153961</v>
      </c>
      <c r="N38" s="19">
        <f>Inputs!N61*N56</f>
        <v>20.225225294631159</v>
      </c>
      <c r="O38" s="19">
        <f>Inputs!O61*O56</f>
        <v>21.805619046736787</v>
      </c>
      <c r="P38" s="19">
        <f>Inputs!P61*P56</f>
        <v>20.280863122556788</v>
      </c>
      <c r="Q38" s="19">
        <f>Inputs!Q61*Q56</f>
        <v>20.322959996718581</v>
      </c>
      <c r="R38" s="19">
        <f>Inputs!R61*R56</f>
        <v>20.350406518247823</v>
      </c>
      <c r="S38" s="19">
        <f>Inputs!S61*S56</f>
        <v>19.10356728891589</v>
      </c>
      <c r="T38" s="19">
        <f>Inputs!T61*T56</f>
        <v>19.150188293608782</v>
      </c>
      <c r="U38" s="19">
        <f>Inputs!U61*U56</f>
        <v>18.977535072385347</v>
      </c>
      <c r="V38" s="19">
        <f>Inputs!V61*V56</f>
        <v>20.391785423552154</v>
      </c>
      <c r="W38" s="19">
        <f>Inputs!W61*W56</f>
        <v>18.918701529662787</v>
      </c>
      <c r="X38" s="19">
        <f>Inputs!X61*X56</f>
        <v>18.918701529662787</v>
      </c>
      <c r="Y38" s="19">
        <f>Inputs!Y61*Y56</f>
        <v>18.918701529662787</v>
      </c>
      <c r="Z38" s="19">
        <f>Inputs!Z61*Z56</f>
        <v>20.391785423552154</v>
      </c>
      <c r="AA38" s="19">
        <f>Inputs!AA61*AA56</f>
        <v>18.918701529662787</v>
      </c>
      <c r="AB38" s="19">
        <f>Inputs!AB61*AB56</f>
        <v>18.918701529662783</v>
      </c>
      <c r="AC38" s="19">
        <f>Inputs!AC61*AC56</f>
        <v>18.918701529662783</v>
      </c>
      <c r="AD38" s="19">
        <f>Inputs!AD61*AD56</f>
        <v>20.391785423552154</v>
      </c>
      <c r="AE38" s="19">
        <f>Inputs!AE61*AE56</f>
        <v>18.918701529662787</v>
      </c>
      <c r="AF38" s="19">
        <f>Inputs!AF61*AF56</f>
        <v>18.918701529662783</v>
      </c>
      <c r="AG38" s="19">
        <f>Inputs!AG61*AG56</f>
        <v>18.918701529662787</v>
      </c>
      <c r="AH38" s="19">
        <f>Inputs!AH61*AH56</f>
        <v>20.391785423552154</v>
      </c>
      <c r="AI38" s="19">
        <f>Inputs!AI61*AI56</f>
        <v>0</v>
      </c>
    </row>
    <row r="39" spans="1:35" ht="15" customHeight="1">
      <c r="A39" s="125"/>
      <c r="E39" s="26" t="s">
        <v>407</v>
      </c>
      <c r="G39" s="26" t="str">
        <f>Inputs!$I$11</f>
        <v>£m 20/21 prices</v>
      </c>
      <c r="H39" s="26"/>
      <c r="I39" s="193"/>
      <c r="J39" s="193"/>
      <c r="K39" s="19">
        <f>Inputs!K62*K56</f>
        <v>0</v>
      </c>
      <c r="L39" s="19">
        <f>Inputs!L62*L56</f>
        <v>0</v>
      </c>
      <c r="M39" s="19">
        <f>Inputs!M62*M56</f>
        <v>0</v>
      </c>
      <c r="N39" s="19">
        <f>Inputs!N62*N56</f>
        <v>0</v>
      </c>
      <c r="O39" s="19">
        <f>Inputs!O62*O56</f>
        <v>0</v>
      </c>
      <c r="P39" s="19">
        <f>Inputs!P62*P56</f>
        <v>0</v>
      </c>
      <c r="Q39" s="19">
        <f>Inputs!Q62*Q56</f>
        <v>0</v>
      </c>
      <c r="R39" s="19">
        <f>Inputs!R62*R56</f>
        <v>0</v>
      </c>
      <c r="S39" s="19">
        <f>Inputs!S62*S56</f>
        <v>0</v>
      </c>
      <c r="T39" s="19">
        <f>Inputs!T62*T56</f>
        <v>0</v>
      </c>
      <c r="U39" s="19">
        <f>Inputs!U62*U56</f>
        <v>0</v>
      </c>
      <c r="V39" s="19">
        <f>Inputs!V62*V56</f>
        <v>0</v>
      </c>
      <c r="W39" s="19">
        <f>Inputs!W62*W56</f>
        <v>0</v>
      </c>
      <c r="X39" s="19">
        <f>Inputs!X62*X56</f>
        <v>0</v>
      </c>
      <c r="Y39" s="19">
        <f>Inputs!Y62*Y56</f>
        <v>0</v>
      </c>
      <c r="Z39" s="19">
        <f>Inputs!Z62*Z56</f>
        <v>0</v>
      </c>
      <c r="AA39" s="19">
        <f>Inputs!AA62*AA56</f>
        <v>0</v>
      </c>
      <c r="AB39" s="19">
        <f>Inputs!AB62*AB56</f>
        <v>0</v>
      </c>
      <c r="AC39" s="19">
        <f>Inputs!AC62*AC56</f>
        <v>0</v>
      </c>
      <c r="AD39" s="19">
        <f>Inputs!AD62*AD56</f>
        <v>0</v>
      </c>
      <c r="AE39" s="19">
        <f>Inputs!AE62*AE56</f>
        <v>0</v>
      </c>
      <c r="AF39" s="19">
        <f>Inputs!AF62*AF56</f>
        <v>0</v>
      </c>
      <c r="AG39" s="19">
        <f>Inputs!AG62*AG56</f>
        <v>0</v>
      </c>
      <c r="AH39" s="19">
        <f>Inputs!AH62*AH56</f>
        <v>0</v>
      </c>
      <c r="AI39" s="19">
        <f>Inputs!AI62*AI56</f>
        <v>0</v>
      </c>
    </row>
    <row r="40" spans="1:35" ht="15" customHeight="1">
      <c r="A40" s="125"/>
      <c r="E40" s="26" t="s">
        <v>160</v>
      </c>
      <c r="G40" s="26" t="str">
        <f>Inputs!$I$11</f>
        <v>£m 20/21 prices</v>
      </c>
      <c r="H40" s="26"/>
      <c r="I40" s="193"/>
      <c r="J40" s="193"/>
      <c r="K40" s="19">
        <f>Inputs!K60*K56</f>
        <v>0</v>
      </c>
      <c r="L40" s="19">
        <f>Inputs!L60*L56</f>
        <v>0</v>
      </c>
      <c r="M40" s="19">
        <f>Inputs!M60*M56</f>
        <v>0</v>
      </c>
      <c r="N40" s="19">
        <f>Inputs!N60*N56</f>
        <v>0</v>
      </c>
      <c r="O40" s="19">
        <f>Inputs!O60*O56</f>
        <v>0</v>
      </c>
      <c r="P40" s="19">
        <f>Inputs!P60*P56</f>
        <v>0</v>
      </c>
      <c r="Q40" s="19">
        <f>Inputs!Q60*Q56</f>
        <v>0</v>
      </c>
      <c r="R40" s="19">
        <f>Inputs!R60*R56</f>
        <v>0</v>
      </c>
      <c r="S40" s="19">
        <f>Inputs!S60*S56</f>
        <v>0</v>
      </c>
      <c r="T40" s="19">
        <f>Inputs!T60*T56</f>
        <v>0</v>
      </c>
      <c r="U40" s="19">
        <f>Inputs!U60*U56</f>
        <v>0</v>
      </c>
      <c r="V40" s="19">
        <f>Inputs!V60*V56</f>
        <v>0</v>
      </c>
      <c r="W40" s="19">
        <f>Inputs!W60*W56</f>
        <v>0</v>
      </c>
      <c r="X40" s="19">
        <f>Inputs!X60*X56</f>
        <v>0</v>
      </c>
      <c r="Y40" s="19">
        <f>Inputs!Y60*Y56</f>
        <v>0</v>
      </c>
      <c r="Z40" s="19">
        <f>Inputs!Z60*Z56</f>
        <v>0</v>
      </c>
      <c r="AA40" s="19">
        <f>Inputs!AA60*AA56</f>
        <v>0</v>
      </c>
      <c r="AB40" s="19">
        <f>Inputs!AB60*AB56</f>
        <v>0</v>
      </c>
      <c r="AC40" s="19">
        <f>Inputs!AC60*AC56</f>
        <v>0</v>
      </c>
      <c r="AD40" s="19">
        <f>Inputs!AD60*AD56</f>
        <v>0</v>
      </c>
      <c r="AE40" s="19">
        <f>Inputs!AE60*AE56</f>
        <v>0</v>
      </c>
      <c r="AF40" s="19">
        <f>Inputs!AF60*AF56</f>
        <v>0</v>
      </c>
      <c r="AG40" s="19">
        <f>Inputs!AG60*AG56</f>
        <v>0</v>
      </c>
      <c r="AH40" s="19">
        <f>Inputs!AH60*AH56</f>
        <v>0</v>
      </c>
      <c r="AI40" s="19">
        <f>Inputs!AI60*AI56</f>
        <v>0</v>
      </c>
    </row>
    <row r="41" spans="1:35" ht="15" customHeight="1">
      <c r="A41" s="125"/>
      <c r="E41" s="26" t="s">
        <v>383</v>
      </c>
      <c r="G41" s="26" t="str">
        <f>Inputs!$I$11</f>
        <v>£m 20/21 prices</v>
      </c>
      <c r="H41" s="26"/>
      <c r="I41" s="193"/>
      <c r="J41" s="193"/>
      <c r="K41" s="19">
        <f>SUMIF(Finance!10:10,Allowances_Floor!K4,Finance!151:151)</f>
        <v>90.535451104086945</v>
      </c>
      <c r="L41" s="19">
        <f>SUMIF(Finance!10:10,Allowances_Floor!L4,Finance!151:151)</f>
        <v>88.911969084923626</v>
      </c>
      <c r="M41" s="19">
        <f>SUMIF(Finance!10:10,Allowances_Floor!M4,Finance!151:151)</f>
        <v>76.900778546497975</v>
      </c>
      <c r="N41" s="19">
        <f>SUMIF(Finance!10:10,Allowances_Floor!N4,Finance!151:151)</f>
        <v>86.169545603461685</v>
      </c>
      <c r="O41" s="19">
        <f>SUMIF(Finance!10:10,Allowances_Floor!O4,Finance!151:151)</f>
        <v>86.189533563043682</v>
      </c>
      <c r="P41" s="19">
        <f>SUMIF(Finance!10:10,Allowances_Floor!P4,Finance!151:151)</f>
        <v>85.191092106530434</v>
      </c>
      <c r="Q41" s="19">
        <f>SUMIF(Finance!10:10,Allowances_Floor!Q4,Finance!151:151)</f>
        <v>84.159874215950211</v>
      </c>
      <c r="R41" s="19">
        <f>SUMIF(Finance!10:10,Allowances_Floor!R4,Finance!151:151)</f>
        <v>83.053672607336907</v>
      </c>
      <c r="S41" s="19">
        <f>SUMIF(Finance!10:10,Allowances_Floor!S4,Finance!151:151)</f>
        <v>81.982442230033229</v>
      </c>
      <c r="T41" s="19">
        <f>SUMIF(Finance!10:10,Allowances_Floor!T4,Finance!151:151)</f>
        <v>80.904127215000784</v>
      </c>
      <c r="U41" s="19">
        <f>SUMIF(Finance!10:10,Allowances_Floor!U4,Finance!151:151)</f>
        <v>30.970939184038851</v>
      </c>
      <c r="V41" s="19">
        <f>SUMIF(Finance!10:10,Allowances_Floor!V4,Finance!151:151)</f>
        <v>74.917367285484303</v>
      </c>
      <c r="W41" s="19">
        <f>SUMIF(Finance!10:10,Allowances_Floor!W4,Finance!151:151)</f>
        <v>78.060368545429384</v>
      </c>
      <c r="X41" s="19">
        <f>SUMIF(Finance!10:10,Allowances_Floor!X4,Finance!151:151)</f>
        <v>76.815116994567276</v>
      </c>
      <c r="Y41" s="19">
        <f>SUMIF(Finance!10:10,Allowances_Floor!Y4,Finance!151:151)</f>
        <v>75.516713959279301</v>
      </c>
      <c r="Z41" s="19">
        <f>SUMIF(Finance!10:10,Allowances_Floor!Z4,Finance!151:151)</f>
        <v>74.196593065954787</v>
      </c>
      <c r="AA41" s="19">
        <f>SUMIF(Finance!10:10,Allowances_Floor!AA4,Finance!151:151)</f>
        <v>-0.12068588803492669</v>
      </c>
      <c r="AB41" s="19">
        <f>SUMIF(Finance!10:10,Allowances_Floor!AB4,Finance!151:151)</f>
        <v>-0.11669492171236386</v>
      </c>
      <c r="AC41" s="19">
        <f>SUMIF(Finance!10:10,Allowances_Floor!AC4,Finance!151:151)</f>
        <v>-0.1128359328102532</v>
      </c>
      <c r="AD41" s="19">
        <f>SUMIF(Finance!10:10,Allowances_Floor!AD4,Finance!151:151)</f>
        <v>-0.10910455696214773</v>
      </c>
      <c r="AE41" s="19">
        <f>SUMIF(Finance!10:10,Allowances_Floor!AE4,Finance!151:151)</f>
        <v>-0.10549657412700418</v>
      </c>
      <c r="AF41" s="19">
        <f>SUMIF(Finance!10:10,Allowances_Floor!AF4,Finance!151:151)</f>
        <v>-0.10200790381648056</v>
      </c>
      <c r="AG41" s="19">
        <f>SUMIF(Finance!10:10,Allowances_Floor!AG4,Finance!151:151)</f>
        <v>-9.8634600480062409E-2</v>
      </c>
      <c r="AH41" s="19">
        <f>SUMIF(Finance!10:10,Allowances_Floor!AH4,Finance!151:151)</f>
        <v>-9.5372849042798705E-2</v>
      </c>
      <c r="AI41" s="19">
        <f>SUMIF(Finance!10:10,Allowances_Floor!AI4,Finance!151:151)</f>
        <v>0</v>
      </c>
    </row>
    <row r="42" spans="1:35" ht="15" customHeight="1">
      <c r="A42" s="125"/>
      <c r="B42"/>
      <c r="E42" s="16" t="s">
        <v>419</v>
      </c>
      <c r="G42" s="26" t="str">
        <f>Inputs!$I$11</f>
        <v>£m 20/21 prices</v>
      </c>
      <c r="H42" s="26"/>
      <c r="I42" s="26"/>
      <c r="K42" s="181">
        <f t="shared" ref="K42:AI42" si="6">SUM(K38:K41)</f>
        <v>112.0165887901654</v>
      </c>
      <c r="L42" s="181">
        <f t="shared" si="6"/>
        <v>109.07708622191959</v>
      </c>
      <c r="M42" s="181">
        <f t="shared" si="6"/>
        <v>97.101621481651932</v>
      </c>
      <c r="N42" s="181">
        <f t="shared" si="6"/>
        <v>106.39477089809284</v>
      </c>
      <c r="O42" s="181">
        <f t="shared" si="6"/>
        <v>107.99515260978046</v>
      </c>
      <c r="P42" s="181">
        <f t="shared" si="6"/>
        <v>105.47195522908723</v>
      </c>
      <c r="Q42" s="181">
        <f t="shared" si="6"/>
        <v>104.48283421266879</v>
      </c>
      <c r="R42" s="181">
        <f t="shared" si="6"/>
        <v>103.40407912558473</v>
      </c>
      <c r="S42" s="181">
        <f t="shared" si="6"/>
        <v>101.08600951894911</v>
      </c>
      <c r="T42" s="181">
        <f t="shared" si="6"/>
        <v>100.05431550860956</v>
      </c>
      <c r="U42" s="181">
        <f t="shared" si="6"/>
        <v>49.948474256424198</v>
      </c>
      <c r="V42" s="181">
        <f t="shared" si="6"/>
        <v>95.309152709036454</v>
      </c>
      <c r="W42" s="181">
        <f t="shared" si="6"/>
        <v>96.979070075092167</v>
      </c>
      <c r="X42" s="181">
        <f t="shared" si="6"/>
        <v>95.73381852423006</v>
      </c>
      <c r="Y42" s="181">
        <f t="shared" si="6"/>
        <v>94.435415488942084</v>
      </c>
      <c r="Z42" s="181">
        <f t="shared" si="6"/>
        <v>94.588378489506937</v>
      </c>
      <c r="AA42" s="181">
        <f t="shared" si="6"/>
        <v>18.79801564162786</v>
      </c>
      <c r="AB42" s="181">
        <f t="shared" si="6"/>
        <v>18.802006607950421</v>
      </c>
      <c r="AC42" s="181">
        <f t="shared" si="6"/>
        <v>18.805865596852531</v>
      </c>
      <c r="AD42" s="181">
        <f t="shared" si="6"/>
        <v>20.282680866590006</v>
      </c>
      <c r="AE42" s="181">
        <f t="shared" si="6"/>
        <v>18.813204955535785</v>
      </c>
      <c r="AF42" s="181">
        <f t="shared" si="6"/>
        <v>18.816693625846302</v>
      </c>
      <c r="AG42" s="181">
        <f t="shared" si="6"/>
        <v>18.820066929182726</v>
      </c>
      <c r="AH42" s="181">
        <f t="shared" si="6"/>
        <v>20.296412574509354</v>
      </c>
      <c r="AI42" s="181">
        <f t="shared" si="6"/>
        <v>0</v>
      </c>
    </row>
    <row r="43" spans="1:35" ht="15" customHeight="1">
      <c r="A43" s="125"/>
    </row>
    <row r="44" spans="1:35" ht="15" customHeight="1">
      <c r="A44" s="125"/>
      <c r="B44" s="14" t="s">
        <v>428</v>
      </c>
      <c r="C44" s="58"/>
      <c r="D44" s="58"/>
      <c r="E44" s="58"/>
      <c r="F44" s="58"/>
      <c r="G44" s="58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</row>
    <row r="45" spans="1:35" ht="15" customHeight="1">
      <c r="A45" s="125"/>
      <c r="I45" s="193"/>
      <c r="J45" s="193"/>
      <c r="K45" s="193"/>
      <c r="L45" s="193"/>
      <c r="M45" s="193"/>
      <c r="N45" s="193"/>
      <c r="O45" s="193"/>
      <c r="P45" s="193"/>
      <c r="Q45" s="193"/>
      <c r="R45" s="193"/>
      <c r="S45" s="193"/>
      <c r="T45" s="193"/>
      <c r="U45" s="193"/>
      <c r="V45" s="193"/>
      <c r="W45" s="193"/>
      <c r="X45" s="193"/>
      <c r="Y45" s="193"/>
      <c r="Z45" s="193"/>
      <c r="AA45" s="193"/>
      <c r="AB45" s="193"/>
      <c r="AC45" s="193"/>
      <c r="AD45" s="193"/>
      <c r="AE45" s="193"/>
      <c r="AF45" s="193"/>
      <c r="AG45" s="193"/>
      <c r="AH45" s="193"/>
      <c r="AI45" s="193"/>
    </row>
    <row r="46" spans="1:35" ht="15" customHeight="1">
      <c r="A46" s="125"/>
      <c r="B46" s="26"/>
      <c r="C46" s="67" t="s">
        <v>429</v>
      </c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</row>
    <row r="47" spans="1:35" ht="15" customHeight="1">
      <c r="A47" s="125"/>
      <c r="B47" s="26"/>
      <c r="C47" s="26"/>
      <c r="D47" s="26"/>
    </row>
    <row r="48" spans="1:35" ht="15" customHeight="1">
      <c r="A48" s="125"/>
      <c r="B48" s="26"/>
      <c r="C48" s="26"/>
      <c r="D48" s="26"/>
      <c r="E48" s="16" t="s">
        <v>288</v>
      </c>
      <c r="G48" s="16" t="s">
        <v>188</v>
      </c>
      <c r="K48" s="199">
        <f>SUMIF(Finance!10:10,Allowances_Floor!K4,Finance!125:125)</f>
        <v>3.9699999999999999E-2</v>
      </c>
      <c r="L48" s="199">
        <f>SUMIF(Finance!10:10,Allowances_Floor!L4,Finance!125:125)</f>
        <v>4.1700000000000001E-2</v>
      </c>
      <c r="M48" s="199">
        <f>SUMIF(Finance!10:10,Allowances_Floor!M4,Finance!125:125)</f>
        <v>4.1700000000000001E-2</v>
      </c>
      <c r="N48" s="199">
        <f>SUMIF(Finance!10:10,Allowances_Floor!N4,Finance!125:125)</f>
        <v>4.1700000000000001E-2</v>
      </c>
      <c r="O48" s="199">
        <f>SUMIF(Finance!10:10,Allowances_Floor!O4,Finance!125:125)</f>
        <v>4.1700000000000001E-2</v>
      </c>
      <c r="P48" s="199">
        <f>SUMIF(Finance!10:10,Allowances_Floor!P4,Finance!125:125)</f>
        <v>4.1700000000000001E-2</v>
      </c>
      <c r="Q48" s="199">
        <f>SUMIF(Finance!10:10,Allowances_Floor!Q4,Finance!125:125)</f>
        <v>4.3700000000000003E-2</v>
      </c>
      <c r="R48" s="199">
        <f>SUMIF(Finance!10:10,Allowances_Floor!R4,Finance!125:125)</f>
        <v>4.3700000000000003E-2</v>
      </c>
      <c r="S48" s="199">
        <f>SUMIF(Finance!10:10,Allowances_Floor!S4,Finance!125:125)</f>
        <v>4.3700000000000003E-2</v>
      </c>
      <c r="T48" s="199">
        <f>SUMIF(Finance!10:10,Allowances_Floor!T4,Finance!125:125)</f>
        <v>4.3700000000000003E-2</v>
      </c>
      <c r="U48" s="199">
        <f>SUMIF(Finance!10:10,Allowances_Floor!U4,Finance!125:125)</f>
        <v>4.3700000000000003E-2</v>
      </c>
      <c r="V48" s="199">
        <f>SUMIF(Finance!10:10,Allowances_Floor!V4,Finance!125:125)</f>
        <v>4.5700000000000005E-2</v>
      </c>
      <c r="W48" s="199">
        <f>SUMIF(Finance!10:10,Allowances_Floor!W4,Finance!125:125)</f>
        <v>4.5700000000000005E-2</v>
      </c>
      <c r="X48" s="199">
        <f>SUMIF(Finance!10:10,Allowances_Floor!X4,Finance!125:125)</f>
        <v>4.5700000000000005E-2</v>
      </c>
      <c r="Y48" s="199">
        <f>SUMIF(Finance!10:10,Allowances_Floor!Y4,Finance!125:125)</f>
        <v>4.5700000000000005E-2</v>
      </c>
      <c r="Z48" s="199">
        <f>SUMIF(Finance!10:10,Allowances_Floor!Z4,Finance!125:125)</f>
        <v>4.5700000000000005E-2</v>
      </c>
      <c r="AA48" s="199">
        <f>SUMIF(Finance!10:10,Allowances_Floor!AA4,Finance!125:125)</f>
        <v>2.1700000000000001E-2</v>
      </c>
      <c r="AB48" s="199">
        <f>SUMIF(Finance!10:10,Allowances_Floor!AB4,Finance!125:125)</f>
        <v>2.1700000000000001E-2</v>
      </c>
      <c r="AC48" s="199">
        <f>SUMIF(Finance!10:10,Allowances_Floor!AC4,Finance!125:125)</f>
        <v>2.1700000000000001E-2</v>
      </c>
      <c r="AD48" s="199">
        <f>SUMIF(Finance!10:10,Allowances_Floor!AD4,Finance!125:125)</f>
        <v>2.1700000000000001E-2</v>
      </c>
      <c r="AE48" s="199">
        <f>SUMIF(Finance!10:10,Allowances_Floor!AE4,Finance!125:125)</f>
        <v>2.1700000000000001E-2</v>
      </c>
      <c r="AF48" s="199">
        <f>SUMIF(Finance!10:10,Allowances_Floor!AF4,Finance!125:125)</f>
        <v>2.1700000000000001E-2</v>
      </c>
      <c r="AG48" s="199">
        <f>SUMIF(Finance!10:10,Allowances_Floor!AG4,Finance!125:125)</f>
        <v>2.1700000000000001E-2</v>
      </c>
      <c r="AH48" s="199">
        <f>SUMIF(Finance!10:10,Allowances_Floor!AH4,Finance!125:125)</f>
        <v>2.1700000000000001E-2</v>
      </c>
      <c r="AI48" s="199">
        <f>SUMIF(Finance!10:10,Allowances_Floor!AI4,Finance!125:125)</f>
        <v>0</v>
      </c>
    </row>
    <row r="49" spans="1:35" ht="15" customHeight="1">
      <c r="A49" s="125"/>
      <c r="B49" s="26"/>
      <c r="C49" s="26"/>
      <c r="D49" s="26"/>
      <c r="E49" s="16" t="s">
        <v>288</v>
      </c>
      <c r="G49" s="16" t="s">
        <v>430</v>
      </c>
      <c r="K49" s="199">
        <f>IF(K48=0,0,(1+K48)/(1+Inputs!$I$179)-1)</f>
        <v>5.3181202862115917E-3</v>
      </c>
      <c r="L49" s="199">
        <f>IF(L48=0,0,(1+L48)/(1+Inputs!$I$179)-1)</f>
        <v>7.2519822084704533E-3</v>
      </c>
      <c r="M49" s="199">
        <f>IF(M48=0,0,(1+M48)/(1+Inputs!$I$179)-1)</f>
        <v>7.2519822084704533E-3</v>
      </c>
      <c r="N49" s="199">
        <f>IF(N48=0,0,(1+N48)/(1+Inputs!$I$179)-1)</f>
        <v>7.2519822084704533E-3</v>
      </c>
      <c r="O49" s="199">
        <f>IF(O48=0,0,(1+O48)/(1+Inputs!$I$179)-1)</f>
        <v>7.2519822084704533E-3</v>
      </c>
      <c r="P49" s="199">
        <f>IF(P48=0,0,(1+P48)/(1+Inputs!$I$179)-1)</f>
        <v>7.2519822084704533E-3</v>
      </c>
      <c r="Q49" s="199">
        <f>IF(Q48=0,0,(1+Q48)/(1+Inputs!$I$179)-1)</f>
        <v>9.1858441307290928E-3</v>
      </c>
      <c r="R49" s="199">
        <f>IF(R48=0,0,(1+R48)/(1+Inputs!$I$179)-1)</f>
        <v>9.1858441307290928E-3</v>
      </c>
      <c r="S49" s="199">
        <f>IF(S48=0,0,(1+S48)/(1+Inputs!$I$179)-1)</f>
        <v>9.1858441307290928E-3</v>
      </c>
      <c r="T49" s="199">
        <f>IF(T48=0,0,(1+T48)/(1+Inputs!$I$179)-1)</f>
        <v>9.1858441307290928E-3</v>
      </c>
      <c r="U49" s="199">
        <f>IF(U48=0,0,(1+U48)/(1+Inputs!$I$179)-1)</f>
        <v>9.1858441307290928E-3</v>
      </c>
      <c r="V49" s="199">
        <f>IF(V48=0,0,(1+V48)/(1+Inputs!$I$179)-1)</f>
        <v>1.1119706052987954E-2</v>
      </c>
      <c r="W49" s="199">
        <f>IF(W48=0,0,(1+W48)/(1+Inputs!$I$179)-1)</f>
        <v>1.1119706052987954E-2</v>
      </c>
      <c r="X49" s="199">
        <f>IF(X48=0,0,(1+X48)/(1+Inputs!$I$179)-1)</f>
        <v>1.1119706052987954E-2</v>
      </c>
      <c r="Y49" s="199">
        <f>IF(Y48=0,0,(1+Y48)/(1+Inputs!$I$179)-1)</f>
        <v>1.1119706052987954E-2</v>
      </c>
      <c r="Z49" s="199">
        <f>IF(Z48=0,0,(1+Z48)/(1+Inputs!$I$179)-1)</f>
        <v>1.1119706052987954E-2</v>
      </c>
      <c r="AA49" s="199">
        <f>IF(AA48=0,0,(1+AA48)/(1+Inputs!$I$179)-1)</f>
        <v>-1.2086637014117163E-2</v>
      </c>
      <c r="AB49" s="199">
        <f>IF(AB48=0,0,(1+AB48)/(1+Inputs!$I$179)-1)</f>
        <v>-1.2086637014117163E-2</v>
      </c>
      <c r="AC49" s="199">
        <f>IF(AC48=0,0,(1+AC48)/(1+Inputs!$I$179)-1)</f>
        <v>-1.2086637014117163E-2</v>
      </c>
      <c r="AD49" s="199">
        <f>IF(AD48=0,0,(1+AD48)/(1+Inputs!$I$179)-1)</f>
        <v>-1.2086637014117163E-2</v>
      </c>
      <c r="AE49" s="199">
        <f>IF(AE48=0,0,(1+AE48)/(1+Inputs!$I$179)-1)</f>
        <v>-1.2086637014117163E-2</v>
      </c>
      <c r="AF49" s="199">
        <f>IF(AF48=0,0,(1+AF48)/(1+Inputs!$I$179)-1)</f>
        <v>-1.2086637014117163E-2</v>
      </c>
      <c r="AG49" s="199">
        <f>IF(AG48=0,0,(1+AG48)/(1+Inputs!$I$179)-1)</f>
        <v>-1.2086637014117163E-2</v>
      </c>
      <c r="AH49" s="199">
        <f>IF(AH48=0,0,(1+AH48)/(1+Inputs!$I$179)-1)</f>
        <v>-1.2086637014117163E-2</v>
      </c>
      <c r="AI49" s="199">
        <f>IF(AI48=0,0,(1+AI48)/(1+Inputs!$I$179)-1)</f>
        <v>0</v>
      </c>
    </row>
    <row r="50" spans="1:35" ht="15" customHeight="1">
      <c r="A50" s="125"/>
      <c r="B50" s="26"/>
      <c r="C50" s="26"/>
      <c r="D50" s="26"/>
      <c r="E50" s="16" t="s">
        <v>431</v>
      </c>
      <c r="G50" s="16" t="s">
        <v>111</v>
      </c>
      <c r="K50" s="199">
        <f>SUMIF(Finance!10:10,Allowances_Floor!K4,Finance!140:140)/SUM(Finance!$K$140:$AX$140)</f>
        <v>9.428491485717172E-2</v>
      </c>
      <c r="L50" s="199">
        <f>SUMIF(Finance!10:10,Allowances_Floor!L4,Finance!140:140)/SUM(Finance!$K$140:$AX$140)</f>
        <v>9.5182981767690106E-2</v>
      </c>
      <c r="M50" s="199">
        <f>SUMIF(Finance!10:10,Allowances_Floor!M4,Finance!140:140)/SUM(Finance!$K$140:$AX$140)</f>
        <v>9.1165817628927226E-2</v>
      </c>
      <c r="N50" s="199">
        <f>SUMIF(Finance!10:10,Allowances_Floor!N4,Finance!140:140)/SUM(Finance!$K$140:$AX$140)</f>
        <v>8.7823779046295167E-2</v>
      </c>
      <c r="O50" s="199">
        <f>SUMIF(Finance!10:10,Allowances_Floor!O4,Finance!140:140)/SUM(Finance!$K$140:$AX$140)</f>
        <v>8.3207601009056067E-2</v>
      </c>
      <c r="P50" s="199">
        <f>SUMIF(Finance!10:10,Allowances_Floor!P4,Finance!140:140)/SUM(Finance!$K$140:$AX$140)</f>
        <v>7.8113820109826634E-2</v>
      </c>
      <c r="Q50" s="199">
        <f>SUMIF(Finance!10:10,Allowances_Floor!Q4,Finance!140:140)/SUM(Finance!$K$140:$AX$140)</f>
        <v>7.6176088263672004E-2</v>
      </c>
      <c r="R50" s="199">
        <f>SUMIF(Finance!10:10,Allowances_Floor!R4,Finance!140:140)/SUM(Finance!$K$140:$AX$140)</f>
        <v>7.0132423557399876E-2</v>
      </c>
      <c r="S50" s="199">
        <f>SUMIF(Finance!10:10,Allowances_Floor!S4,Finance!140:140)/SUM(Finance!$K$140:$AX$140)</f>
        <v>6.3631515769397642E-2</v>
      </c>
      <c r="T50" s="199">
        <f>SUMIF(Finance!10:10,Allowances_Floor!T4,Finance!140:140)/SUM(Finance!$K$140:$AX$140)</f>
        <v>5.6646969910828862E-2</v>
      </c>
      <c r="U50" s="199">
        <f>SUMIF(Finance!10:10,Allowances_Floor!U4,Finance!140:140)/SUM(Finance!$K$140:$AX$140)</f>
        <v>4.9156063045589678E-2</v>
      </c>
      <c r="V50" s="199">
        <f>SUMIF(Finance!10:10,Allowances_Floor!V4,Finance!140:140)/SUM(Finance!$K$140:$AX$140)</f>
        <v>4.9598322175179135E-2</v>
      </c>
      <c r="W50" s="199">
        <f>SUMIF(Finance!10:10,Allowances_Floor!W4,Finance!140:140)/SUM(Finance!$K$140:$AX$140)</f>
        <v>4.15422709155637E-2</v>
      </c>
      <c r="X50" s="199">
        <f>SUMIF(Finance!10:10,Allowances_Floor!X4,Finance!140:140)/SUM(Finance!$K$140:$AX$140)</f>
        <v>3.2317144031597862E-2</v>
      </c>
      <c r="Y50" s="199">
        <f>SUMIF(Finance!10:10,Allowances_Floor!Y4,Finance!140:140)/SUM(Finance!$K$140:$AX$140)</f>
        <v>2.2473518613543877E-2</v>
      </c>
      <c r="Z50" s="199">
        <f>SUMIF(Finance!10:10,Allowances_Floor!Z4,Finance!140:140)/SUM(Finance!$K$140:$AX$140)</f>
        <v>1.1990772253405751E-2</v>
      </c>
      <c r="AA50" s="199">
        <f>SUMIF(Finance!10:10,Allowances_Floor!AA4,Finance!140:140)/SUM(Finance!$K$140:$AX$140)</f>
        <v>-4.3050036939316921E-4</v>
      </c>
      <c r="AB50" s="199">
        <f>SUMIF(Finance!10:10,Allowances_Floor!AB4,Finance!140:140)/SUM(Finance!$K$140:$AX$140)</f>
        <v>-4.3050036939316921E-4</v>
      </c>
      <c r="AC50" s="199">
        <f>SUMIF(Finance!10:10,Allowances_Floor!AC4,Finance!140:140)/SUM(Finance!$K$140:$AX$140)</f>
        <v>-4.3050036939316921E-4</v>
      </c>
      <c r="AD50" s="199">
        <f>SUMIF(Finance!10:10,Allowances_Floor!AD4,Finance!140:140)/SUM(Finance!$K$140:$AX$140)</f>
        <v>-4.3050036939316921E-4</v>
      </c>
      <c r="AE50" s="199">
        <f>SUMIF(Finance!10:10,Allowances_Floor!AE4,Finance!140:140)/SUM(Finance!$K$140:$AX$140)</f>
        <v>-4.3050036939316921E-4</v>
      </c>
      <c r="AF50" s="199">
        <f>SUMIF(Finance!10:10,Allowances_Floor!AF4,Finance!140:140)/SUM(Finance!$K$140:$AX$140)</f>
        <v>-4.3050036939316921E-4</v>
      </c>
      <c r="AG50" s="199">
        <f>SUMIF(Finance!10:10,Allowances_Floor!AG4,Finance!140:140)/SUM(Finance!$K$140:$AX$140)</f>
        <v>-4.3050036939316921E-4</v>
      </c>
      <c r="AH50" s="199">
        <f>SUMIF(Finance!10:10,Allowances_Floor!AH4,Finance!140:140)/SUM(Finance!$K$140:$AX$140)</f>
        <v>-4.3050036939316921E-4</v>
      </c>
      <c r="AI50" s="199">
        <f>SUMIF(Finance!10:10,Allowances_Floor!AI4,Finance!140:140)/SUM(Finance!$K$140:$AX$140)</f>
        <v>0</v>
      </c>
    </row>
    <row r="51" spans="1:35" ht="15" customHeight="1">
      <c r="A51" s="125"/>
      <c r="B51" s="26"/>
      <c r="C51" s="26"/>
      <c r="D51" s="26"/>
    </row>
    <row r="52" spans="1:35" ht="15" customHeight="1">
      <c r="A52" s="125"/>
      <c r="E52" s="102" t="s">
        <v>170</v>
      </c>
      <c r="I52" s="194">
        <f>SUMPRODUCT(K49:AI49,K50:AI50)</f>
        <v>8.3576527387735373E-3</v>
      </c>
    </row>
    <row r="53" spans="1:35" ht="15" customHeight="1">
      <c r="A53" s="125"/>
      <c r="B53" s="26"/>
      <c r="C53" s="26"/>
      <c r="D53" s="26"/>
      <c r="E53" s="16" t="s">
        <v>46</v>
      </c>
      <c r="G53" s="223" t="str">
        <f>Inputs!G85</f>
        <v>full years</v>
      </c>
      <c r="I53" s="219">
        <f>Inputs!I85</f>
        <v>23.3</v>
      </c>
      <c r="J53" s="193"/>
      <c r="K53" s="193"/>
      <c r="L53" s="193"/>
      <c r="M53" s="193"/>
      <c r="N53" s="193"/>
      <c r="O53" s="193"/>
      <c r="P53" s="193"/>
      <c r="Q53" s="193"/>
      <c r="R53" s="193"/>
      <c r="S53" s="193"/>
      <c r="T53" s="193"/>
      <c r="U53" s="193"/>
      <c r="V53" s="193"/>
      <c r="W53" s="193"/>
      <c r="X53" s="193"/>
      <c r="Y53" s="193"/>
      <c r="Z53" s="193"/>
      <c r="AA53" s="193"/>
      <c r="AB53" s="193"/>
      <c r="AC53" s="193"/>
      <c r="AD53" s="193"/>
      <c r="AE53" s="193"/>
      <c r="AF53" s="193"/>
      <c r="AG53" s="193"/>
      <c r="AH53" s="193"/>
      <c r="AI53" s="193"/>
    </row>
    <row r="54" spans="1:35" ht="15" customHeight="1">
      <c r="A54" s="125"/>
      <c r="B54" s="26"/>
      <c r="C54" s="26"/>
      <c r="D54" s="26"/>
      <c r="E54" s="16" t="s">
        <v>432</v>
      </c>
      <c r="G54" s="16" t="s">
        <v>265</v>
      </c>
      <c r="I54" s="75">
        <f>I52 / (1 - (1 + I52)^(-I53))</f>
        <v>4.7411359208591811E-2</v>
      </c>
      <c r="J54" s="193"/>
      <c r="K54" s="193"/>
      <c r="L54" s="193"/>
      <c r="M54" s="193"/>
      <c r="N54" s="193"/>
      <c r="O54" s="193"/>
      <c r="P54" s="193"/>
      <c r="Q54" s="193"/>
      <c r="R54" s="193"/>
      <c r="S54" s="193"/>
      <c r="T54" s="193"/>
      <c r="U54" s="193"/>
      <c r="V54" s="193"/>
      <c r="W54" s="193"/>
      <c r="X54" s="193"/>
      <c r="Y54" s="193"/>
      <c r="Z54" s="193"/>
      <c r="AA54" s="193"/>
      <c r="AB54" s="193"/>
      <c r="AC54" s="193"/>
      <c r="AD54" s="193"/>
      <c r="AE54" s="193"/>
      <c r="AF54" s="193"/>
      <c r="AG54" s="193"/>
      <c r="AH54" s="193"/>
      <c r="AI54" s="193"/>
    </row>
    <row r="55" spans="1:35" ht="15" customHeight="1">
      <c r="A55" s="125"/>
      <c r="B55" s="26"/>
      <c r="C55" s="26"/>
      <c r="D55" s="26"/>
      <c r="I55" s="83"/>
    </row>
    <row r="56" spans="1:35" ht="15" customHeight="1">
      <c r="A56" s="125"/>
      <c r="B56" s="26"/>
      <c r="C56" s="26"/>
      <c r="D56" s="26"/>
      <c r="E56" s="26" t="s">
        <v>433</v>
      </c>
      <c r="F56" s="26"/>
      <c r="G56" s="26" t="s">
        <v>247</v>
      </c>
      <c r="H56" s="26"/>
      <c r="I56" s="213"/>
      <c r="J56" s="107"/>
      <c r="K56" s="212" t="b">
        <f>(SUMIF(Inputs!164:164,Allowances_Floor!K4,Inputs!171:171)&lt;&gt;0)</f>
        <v>1</v>
      </c>
      <c r="L56" s="212" t="b">
        <f>(SUMIF(Inputs!164:164,Allowances_Floor!L4,Inputs!171:171)&lt;&gt;0)</f>
        <v>1</v>
      </c>
      <c r="M56" s="212" t="b">
        <f>(SUMIF(Inputs!164:164,Allowances_Floor!M4,Inputs!171:171)&lt;&gt;0)</f>
        <v>1</v>
      </c>
      <c r="N56" s="212" t="b">
        <f>(SUMIF(Inputs!164:164,Allowances_Floor!N4,Inputs!171:171)&lt;&gt;0)</f>
        <v>1</v>
      </c>
      <c r="O56" s="212" t="b">
        <f>(SUMIF(Inputs!164:164,Allowances_Floor!O4,Inputs!171:171)&lt;&gt;0)</f>
        <v>1</v>
      </c>
      <c r="P56" s="212" t="b">
        <f>(SUMIF(Inputs!164:164,Allowances_Floor!P4,Inputs!171:171)&lt;&gt;0)</f>
        <v>1</v>
      </c>
      <c r="Q56" s="212" t="b">
        <f>(SUMIF(Inputs!164:164,Allowances_Floor!Q4,Inputs!171:171)&lt;&gt;0)</f>
        <v>1</v>
      </c>
      <c r="R56" s="212" t="b">
        <f>(SUMIF(Inputs!164:164,Allowances_Floor!R4,Inputs!171:171)&lt;&gt;0)</f>
        <v>1</v>
      </c>
      <c r="S56" s="212" t="b">
        <f>(SUMIF(Inputs!164:164,Allowances_Floor!S4,Inputs!171:171)&lt;&gt;0)</f>
        <v>1</v>
      </c>
      <c r="T56" s="212" t="b">
        <f>(SUMIF(Inputs!164:164,Allowances_Floor!T4,Inputs!171:171)&lt;&gt;0)</f>
        <v>1</v>
      </c>
      <c r="U56" s="212" t="b">
        <f>(SUMIF(Inputs!164:164,Allowances_Floor!U4,Inputs!171:171)&lt;&gt;0)</f>
        <v>1</v>
      </c>
      <c r="V56" s="212" t="b">
        <f>(SUMIF(Inputs!164:164,Allowances_Floor!V4,Inputs!171:171)&lt;&gt;0)</f>
        <v>1</v>
      </c>
      <c r="W56" s="212" t="b">
        <f>(SUMIF(Inputs!164:164,Allowances_Floor!W4,Inputs!171:171)&lt;&gt;0)</f>
        <v>1</v>
      </c>
      <c r="X56" s="212" t="b">
        <f>(SUMIF(Inputs!164:164,Allowances_Floor!X4,Inputs!171:171)&lt;&gt;0)</f>
        <v>1</v>
      </c>
      <c r="Y56" s="212" t="b">
        <f>(SUMIF(Inputs!164:164,Allowances_Floor!Y4,Inputs!171:171)&lt;&gt;0)</f>
        <v>1</v>
      </c>
      <c r="Z56" s="212" t="b">
        <f>(SUMIF(Inputs!164:164,Allowances_Floor!Z4,Inputs!171:171)&lt;&gt;0)</f>
        <v>1</v>
      </c>
      <c r="AA56" s="212" t="b">
        <f>(SUMIF(Inputs!164:164,Allowances_Floor!AA4,Inputs!171:171)&lt;&gt;0)</f>
        <v>1</v>
      </c>
      <c r="AB56" s="212" t="b">
        <f>(SUMIF(Inputs!164:164,Allowances_Floor!AB4,Inputs!171:171)&lt;&gt;0)</f>
        <v>1</v>
      </c>
      <c r="AC56" s="212" t="b">
        <f>(SUMIF(Inputs!164:164,Allowances_Floor!AC4,Inputs!171:171)&lt;&gt;0)</f>
        <v>1</v>
      </c>
      <c r="AD56" s="212" t="b">
        <f>(SUMIF(Inputs!164:164,Allowances_Floor!AD4,Inputs!171:171)&lt;&gt;0)</f>
        <v>1</v>
      </c>
      <c r="AE56" s="212" t="b">
        <f>(SUMIF(Inputs!164:164,Allowances_Floor!AE4,Inputs!171:171)&lt;&gt;0)</f>
        <v>1</v>
      </c>
      <c r="AF56" s="212" t="b">
        <f>(SUMIF(Inputs!164:164,Allowances_Floor!AF4,Inputs!171:171)&lt;&gt;0)</f>
        <v>1</v>
      </c>
      <c r="AG56" s="212" t="b">
        <f>(SUMIF(Inputs!164:164,Allowances_Floor!AG4,Inputs!171:171)&lt;&gt;0)</f>
        <v>1</v>
      </c>
      <c r="AH56" s="212" t="b">
        <f>(SUMIF(Inputs!164:164,Allowances_Floor!AH4,Inputs!171:171)&lt;&gt;0)</f>
        <v>1</v>
      </c>
      <c r="AI56" s="212" t="b">
        <f>(SUMIF(Inputs!164:164,Allowances_Floor!AI4,Inputs!171:171)&lt;&gt;0)</f>
        <v>0</v>
      </c>
    </row>
    <row r="57" spans="1:35" ht="15" customHeight="1">
      <c r="A57" s="125"/>
      <c r="B57" s="26"/>
      <c r="C57" s="26"/>
      <c r="D57" s="26"/>
      <c r="E57" s="16" t="s">
        <v>434</v>
      </c>
      <c r="G57" s="16" t="s">
        <v>265</v>
      </c>
      <c r="I57" s="193"/>
      <c r="J57" s="193"/>
      <c r="K57" s="220">
        <f t="shared" ref="K57:AI57" si="7">(1 + $I52) ^ - K4</f>
        <v>0.99171161867411461</v>
      </c>
      <c r="L57" s="220">
        <f t="shared" si="7"/>
        <v>0.98349193461323259</v>
      </c>
      <c r="M57" s="220">
        <f t="shared" si="7"/>
        <v>0.9753403784282253</v>
      </c>
      <c r="N57" s="220">
        <f t="shared" si="7"/>
        <v>0.96725638544927883</v>
      </c>
      <c r="O57" s="220">
        <f t="shared" si="7"/>
        <v>0.95923939568677763</v>
      </c>
      <c r="P57" s="220">
        <f t="shared" si="7"/>
        <v>0.95128885379251393</v>
      </c>
      <c r="Q57" s="220">
        <f t="shared" si="7"/>
        <v>0.94340420902121702</v>
      </c>
      <c r="R57" s="220">
        <f t="shared" si="7"/>
        <v>0.93558491519240394</v>
      </c>
      <c r="S57" s="220">
        <f t="shared" si="7"/>
        <v>0.92783043065254323</v>
      </c>
      <c r="T57" s="220">
        <f t="shared" si="7"/>
        <v>0.92014021823753456</v>
      </c>
      <c r="U57" s="220">
        <f t="shared" si="7"/>
        <v>0.91251374523549833</v>
      </c>
      <c r="V57" s="220">
        <f t="shared" si="7"/>
        <v>0.90495048334987471</v>
      </c>
      <c r="W57" s="220">
        <f t="shared" si="7"/>
        <v>0.8974499086628267</v>
      </c>
      <c r="X57" s="220">
        <f t="shared" si="7"/>
        <v>0.89001150159894815</v>
      </c>
      <c r="Y57" s="220">
        <f t="shared" si="7"/>
        <v>0.88263474688927213</v>
      </c>
      <c r="Z57" s="220">
        <f t="shared" si="7"/>
        <v>0.87531913353557766</v>
      </c>
      <c r="AA57" s="220">
        <f t="shared" si="7"/>
        <v>0.86806415477499121</v>
      </c>
      <c r="AB57" s="220">
        <f t="shared" si="7"/>
        <v>0.86086930804488371</v>
      </c>
      <c r="AC57" s="220">
        <f t="shared" si="7"/>
        <v>0.85373409494805652</v>
      </c>
      <c r="AD57" s="220">
        <f t="shared" si="7"/>
        <v>0.84665802121821754</v>
      </c>
      <c r="AE57" s="220">
        <f t="shared" si="7"/>
        <v>0.83964059668574131</v>
      </c>
      <c r="AF57" s="220">
        <f t="shared" si="7"/>
        <v>0.83268133524371601</v>
      </c>
      <c r="AG57" s="220">
        <f t="shared" si="7"/>
        <v>0.82577975481426868</v>
      </c>
      <c r="AH57" s="220">
        <f t="shared" si="7"/>
        <v>0.81893537731517196</v>
      </c>
      <c r="AI57" s="220">
        <f t="shared" si="7"/>
        <v>0.81214772862672602</v>
      </c>
    </row>
    <row r="58" spans="1:35" ht="15" customHeight="1">
      <c r="A58" s="125"/>
      <c r="B58" s="26"/>
      <c r="C58" s="26"/>
      <c r="D58" s="26"/>
    </row>
    <row r="59" spans="1:35" ht="15" customHeight="1">
      <c r="A59" s="125"/>
      <c r="C59" s="67" t="s">
        <v>435</v>
      </c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</row>
    <row r="60" spans="1:35" ht="15" customHeight="1">
      <c r="A60" s="125"/>
    </row>
    <row r="61" spans="1:35" ht="15" customHeight="1">
      <c r="A61" s="125"/>
      <c r="B61" s="26"/>
      <c r="C61" s="26"/>
      <c r="D61" s="26"/>
      <c r="E61" s="26" t="s">
        <v>436</v>
      </c>
      <c r="G61" s="26" t="str">
        <f>Inputs!$I$11</f>
        <v>£m 20/21 prices</v>
      </c>
      <c r="I61" s="193"/>
      <c r="J61" s="193"/>
      <c r="K61" s="26">
        <f t="shared" ref="K61:AI61" si="8">K42 * K$57 *K56</f>
        <v>111.08815258744761</v>
      </c>
      <c r="L61" s="26">
        <f t="shared" si="8"/>
        <v>107.27643455037007</v>
      </c>
      <c r="M61" s="26">
        <f t="shared" si="8"/>
        <v>94.707132241908681</v>
      </c>
      <c r="N61" s="26">
        <f t="shared" si="8"/>
        <v>102.91102152959341</v>
      </c>
      <c r="O61" s="26">
        <f t="shared" si="8"/>
        <v>103.59320492650714</v>
      </c>
      <c r="P61" s="26">
        <f t="shared" si="8"/>
        <v>100.33429539713373</v>
      </c>
      <c r="Q61" s="26">
        <f t="shared" si="8"/>
        <v>98.569545566697755</v>
      </c>
      <c r="R61" s="26">
        <f t="shared" si="8"/>
        <v>96.743296599258812</v>
      </c>
      <c r="S61" s="26">
        <f t="shared" si="8"/>
        <v>93.790675744913642</v>
      </c>
      <c r="T61" s="26">
        <f t="shared" si="8"/>
        <v>92.063999707699139</v>
      </c>
      <c r="U61" s="26">
        <f t="shared" si="8"/>
        <v>45.578669312528518</v>
      </c>
      <c r="V61" s="26">
        <f t="shared" si="8"/>
        <v>86.250063811709566</v>
      </c>
      <c r="W61" s="26">
        <f t="shared" si="8"/>
        <v>87.033857581097337</v>
      </c>
      <c r="X61" s="26">
        <f t="shared" si="8"/>
        <v>85.204199578551197</v>
      </c>
      <c r="Y61" s="26">
        <f t="shared" si="8"/>
        <v>83.351979047465647</v>
      </c>
      <c r="Z61" s="26">
        <f t="shared" si="8"/>
        <v>82.795017501970491</v>
      </c>
      <c r="AA61" s="26">
        <f t="shared" si="8"/>
        <v>16.317883559396751</v>
      </c>
      <c r="AB61" s="26">
        <f t="shared" si="8"/>
        <v>16.186070418441609</v>
      </c>
      <c r="AC61" s="26">
        <f t="shared" si="8"/>
        <v>16.055208645043688</v>
      </c>
      <c r="AD61" s="26">
        <f t="shared" si="8"/>
        <v>17.172494447507695</v>
      </c>
      <c r="AE61" s="26">
        <f t="shared" si="8"/>
        <v>15.796330634437211</v>
      </c>
      <c r="AF61" s="26">
        <f t="shared" si="8"/>
        <v>15.668309573241618</v>
      </c>
      <c r="AG61" s="26">
        <f t="shared" si="8"/>
        <v>15.541230254368639</v>
      </c>
      <c r="AH61" s="26">
        <f t="shared" si="8"/>
        <v>16.62145028985022</v>
      </c>
      <c r="AI61" s="26">
        <f t="shared" si="8"/>
        <v>0</v>
      </c>
    </row>
    <row r="62" spans="1:35" ht="15" customHeight="1">
      <c r="A62" s="125"/>
      <c r="B62" s="26"/>
      <c r="C62" s="26"/>
      <c r="D62" s="26"/>
      <c r="E62" s="16" t="s">
        <v>437</v>
      </c>
      <c r="G62" s="26" t="str">
        <f>Inputs!$I$11</f>
        <v>£m 20/21 prices</v>
      </c>
      <c r="I62" s="221">
        <f>SUM(K61:AI61)</f>
        <v>1600.6505235071404</v>
      </c>
      <c r="J62" s="193"/>
      <c r="K62" s="193"/>
      <c r="L62" s="193"/>
      <c r="M62" s="193"/>
      <c r="N62" s="193"/>
      <c r="O62" s="193"/>
      <c r="P62" s="193"/>
      <c r="Q62" s="193"/>
      <c r="R62" s="193"/>
      <c r="S62" s="193"/>
      <c r="T62" s="193"/>
      <c r="U62" s="193"/>
      <c r="V62" s="193"/>
      <c r="W62" s="193"/>
      <c r="X62" s="193"/>
      <c r="Y62" s="193"/>
      <c r="Z62" s="193"/>
      <c r="AA62" s="193"/>
      <c r="AB62" s="193"/>
      <c r="AC62" s="193"/>
      <c r="AD62" s="193"/>
      <c r="AE62" s="193"/>
      <c r="AF62" s="193"/>
      <c r="AG62" s="193"/>
      <c r="AH62" s="193"/>
      <c r="AI62" s="193"/>
    </row>
    <row r="63" spans="1:35" ht="15" customHeight="1">
      <c r="A63" s="125"/>
      <c r="B63" s="26"/>
      <c r="C63" s="26"/>
      <c r="D63" s="26"/>
      <c r="G63" s="26"/>
      <c r="I63" s="193"/>
      <c r="J63" s="193"/>
      <c r="K63" s="193"/>
      <c r="L63" s="193"/>
      <c r="M63" s="193"/>
      <c r="N63" s="193"/>
      <c r="O63" s="193"/>
      <c r="P63" s="193"/>
      <c r="Q63" s="193"/>
      <c r="R63" s="193"/>
      <c r="S63" s="193"/>
      <c r="T63" s="193"/>
      <c r="U63" s="193"/>
      <c r="V63" s="193"/>
      <c r="W63" s="193"/>
      <c r="X63" s="193"/>
      <c r="Y63" s="193"/>
      <c r="Z63" s="193"/>
      <c r="AA63" s="193"/>
      <c r="AB63" s="193"/>
      <c r="AC63" s="193"/>
      <c r="AD63" s="193"/>
      <c r="AE63" s="193"/>
      <c r="AF63" s="193"/>
      <c r="AG63" s="193"/>
      <c r="AH63" s="193"/>
      <c r="AI63" s="193"/>
    </row>
    <row r="64" spans="1:35" ht="15" customHeight="1">
      <c r="A64" s="125"/>
      <c r="B64" s="26"/>
      <c r="C64" s="26"/>
      <c r="D64" s="26"/>
      <c r="E64" s="16" t="s">
        <v>421</v>
      </c>
      <c r="G64" s="16" t="str">
        <f>G$21</f>
        <v>scalar</v>
      </c>
      <c r="I64" s="147">
        <f>I$54</f>
        <v>4.7411359208591811E-2</v>
      </c>
      <c r="J64" s="193"/>
      <c r="K64" s="193"/>
      <c r="L64" s="193"/>
      <c r="M64" s="193"/>
      <c r="N64" s="193"/>
      <c r="O64" s="193"/>
      <c r="P64" s="193"/>
      <c r="Q64" s="193"/>
      <c r="R64" s="193"/>
      <c r="S64" s="193"/>
      <c r="T64" s="193"/>
      <c r="U64" s="193"/>
      <c r="V64" s="193"/>
      <c r="W64" s="193"/>
      <c r="X64" s="193"/>
      <c r="Y64" s="193"/>
      <c r="Z64" s="193"/>
      <c r="AA64" s="193"/>
      <c r="AB64" s="193"/>
      <c r="AC64" s="193"/>
      <c r="AD64" s="193"/>
      <c r="AE64" s="193"/>
      <c r="AF64" s="193"/>
      <c r="AG64" s="193"/>
      <c r="AH64" s="193"/>
      <c r="AI64" s="193"/>
    </row>
    <row r="65" spans="1:35" ht="15" customHeight="1">
      <c r="A65" s="125"/>
      <c r="B65" s="26"/>
      <c r="C65" s="26"/>
      <c r="D65" s="26"/>
      <c r="G65" s="26"/>
      <c r="I65" s="193"/>
      <c r="J65" s="193"/>
      <c r="K65" s="193"/>
      <c r="L65" s="193"/>
      <c r="M65" s="193"/>
      <c r="N65" s="193"/>
      <c r="O65" s="193"/>
      <c r="P65" s="193"/>
      <c r="Q65" s="193"/>
      <c r="R65" s="193"/>
      <c r="S65" s="193"/>
      <c r="T65" s="193"/>
      <c r="U65" s="193"/>
      <c r="V65" s="193"/>
      <c r="W65" s="193"/>
      <c r="X65" s="193"/>
      <c r="Y65" s="193"/>
      <c r="Z65" s="193"/>
      <c r="AA65" s="193"/>
      <c r="AB65" s="193"/>
      <c r="AC65" s="193"/>
      <c r="AD65" s="193"/>
      <c r="AE65" s="193"/>
      <c r="AF65" s="193"/>
      <c r="AG65" s="193"/>
      <c r="AH65" s="193"/>
      <c r="AI65" s="193"/>
    </row>
    <row r="66" spans="1:35" ht="15" customHeight="1">
      <c r="A66" s="125"/>
      <c r="B66" s="26"/>
      <c r="C66" s="26"/>
      <c r="D66" s="26"/>
      <c r="E66" s="16" t="s">
        <v>438</v>
      </c>
      <c r="G66" s="26" t="str">
        <f>Inputs!$I$11</f>
        <v>£m 20/21 prices</v>
      </c>
      <c r="I66" s="222">
        <f>I62 * I64</f>
        <v>75.889016937417566</v>
      </c>
      <c r="J66" s="193"/>
    </row>
    <row r="67" spans="1:35" ht="15" customHeight="1">
      <c r="A67" s="125"/>
      <c r="B67" s="26"/>
      <c r="C67" s="26"/>
      <c r="D67" s="26"/>
      <c r="E67" s="26" t="s">
        <v>439</v>
      </c>
      <c r="G67" s="26" t="str">
        <f>Inputs!$I$11</f>
        <v>£m 20/21 prices</v>
      </c>
      <c r="J67" s="193"/>
      <c r="K67" s="20">
        <f t="shared" ref="K67:AI67" si="9">K$56 * $I66</f>
        <v>75.889016937417566</v>
      </c>
      <c r="L67" s="20">
        <f t="shared" si="9"/>
        <v>75.889016937417566</v>
      </c>
      <c r="M67" s="20">
        <f t="shared" si="9"/>
        <v>75.889016937417566</v>
      </c>
      <c r="N67" s="20">
        <f t="shared" si="9"/>
        <v>75.889016937417566</v>
      </c>
      <c r="O67" s="20">
        <f t="shared" si="9"/>
        <v>75.889016937417566</v>
      </c>
      <c r="P67" s="20">
        <f t="shared" si="9"/>
        <v>75.889016937417566</v>
      </c>
      <c r="Q67" s="20">
        <f t="shared" si="9"/>
        <v>75.889016937417566</v>
      </c>
      <c r="R67" s="20">
        <f t="shared" si="9"/>
        <v>75.889016937417566</v>
      </c>
      <c r="S67" s="20">
        <f t="shared" si="9"/>
        <v>75.889016937417566</v>
      </c>
      <c r="T67" s="20">
        <f t="shared" si="9"/>
        <v>75.889016937417566</v>
      </c>
      <c r="U67" s="20">
        <f t="shared" si="9"/>
        <v>75.889016937417566</v>
      </c>
      <c r="V67" s="20">
        <f t="shared" si="9"/>
        <v>75.889016937417566</v>
      </c>
      <c r="W67" s="20">
        <f t="shared" si="9"/>
        <v>75.889016937417566</v>
      </c>
      <c r="X67" s="20">
        <f t="shared" si="9"/>
        <v>75.889016937417566</v>
      </c>
      <c r="Y67" s="20">
        <f t="shared" si="9"/>
        <v>75.889016937417566</v>
      </c>
      <c r="Z67" s="20">
        <f t="shared" si="9"/>
        <v>75.889016937417566</v>
      </c>
      <c r="AA67" s="20">
        <f t="shared" si="9"/>
        <v>75.889016937417566</v>
      </c>
      <c r="AB67" s="20">
        <f t="shared" si="9"/>
        <v>75.889016937417566</v>
      </c>
      <c r="AC67" s="20">
        <f t="shared" si="9"/>
        <v>75.889016937417566</v>
      </c>
      <c r="AD67" s="20">
        <f t="shared" si="9"/>
        <v>75.889016937417566</v>
      </c>
      <c r="AE67" s="20">
        <f t="shared" si="9"/>
        <v>75.889016937417566</v>
      </c>
      <c r="AF67" s="20">
        <f t="shared" si="9"/>
        <v>75.889016937417566</v>
      </c>
      <c r="AG67" s="20">
        <f t="shared" si="9"/>
        <v>75.889016937417566</v>
      </c>
      <c r="AH67" s="20">
        <f t="shared" si="9"/>
        <v>75.889016937417566</v>
      </c>
      <c r="AI67" s="20">
        <f t="shared" si="9"/>
        <v>0</v>
      </c>
    </row>
    <row r="68" spans="1:35" ht="15" customHeight="1">
      <c r="A68" s="125"/>
      <c r="B68" s="26"/>
    </row>
    <row r="69" spans="1:35" ht="15" customHeight="1">
      <c r="A69" s="125"/>
      <c r="B69" s="26"/>
      <c r="C69" s="67" t="s">
        <v>440</v>
      </c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</row>
    <row r="70" spans="1:35" ht="15" customHeight="1">
      <c r="A70" s="125"/>
      <c r="B70" s="26"/>
    </row>
    <row r="71" spans="1:35" ht="15" customHeight="1">
      <c r="A71" s="125"/>
      <c r="B71" s="26"/>
      <c r="E71" s="16" t="s">
        <v>46</v>
      </c>
      <c r="G71" s="223" t="str">
        <f>Inputs!G85</f>
        <v>full years</v>
      </c>
      <c r="I71" s="219">
        <f>Inputs!I85</f>
        <v>23.3</v>
      </c>
    </row>
    <row r="72" spans="1:35" ht="15" customHeight="1">
      <c r="A72" s="125"/>
      <c r="B72" s="26"/>
      <c r="E72" s="16" t="s">
        <v>441</v>
      </c>
      <c r="G72" s="223" t="str">
        <f>Inputs!G86</f>
        <v>full years</v>
      </c>
      <c r="I72" s="219">
        <f>Inputs!I86</f>
        <v>1.75</v>
      </c>
    </row>
    <row r="73" spans="1:35" ht="15" customHeight="1">
      <c r="A73" s="125"/>
      <c r="B73" s="26"/>
    </row>
    <row r="74" spans="1:35" ht="15" customHeight="1">
      <c r="A74" s="125"/>
      <c r="B74" s="26"/>
      <c r="D74" s="26"/>
      <c r="E74" s="26" t="s">
        <v>442</v>
      </c>
      <c r="F74" s="26"/>
      <c r="G74" s="26" t="s">
        <v>247</v>
      </c>
      <c r="H74" s="26"/>
      <c r="I74" s="213"/>
      <c r="J74" s="107"/>
      <c r="K74" s="212" t="b">
        <f>AND((SUMIF(Inputs!164:164,Allowances_Floor!K4,Inputs!172:172)&lt;&gt;0),K56&lt;&gt;TRUE)</f>
        <v>0</v>
      </c>
      <c r="L74" s="212" t="b">
        <f>AND((SUMIF(Inputs!164:164,Allowances_Floor!L4,Inputs!172:172)&lt;&gt;0),L56&lt;&gt;TRUE)</f>
        <v>0</v>
      </c>
      <c r="M74" s="212" t="b">
        <f>AND((SUMIF(Inputs!164:164,Allowances_Floor!M4,Inputs!172:172)&lt;&gt;0),M56&lt;&gt;TRUE)</f>
        <v>0</v>
      </c>
      <c r="N74" s="212" t="b">
        <f>AND((SUMIF(Inputs!164:164,Allowances_Floor!N4,Inputs!172:172)&lt;&gt;0),N56&lt;&gt;TRUE)</f>
        <v>0</v>
      </c>
      <c r="O74" s="212" t="b">
        <f>AND((SUMIF(Inputs!164:164,Allowances_Floor!O4,Inputs!172:172)&lt;&gt;0),O56&lt;&gt;TRUE)</f>
        <v>0</v>
      </c>
      <c r="P74" s="212" t="b">
        <f>AND((SUMIF(Inputs!164:164,Allowances_Floor!P4,Inputs!172:172)&lt;&gt;0),P56&lt;&gt;TRUE)</f>
        <v>0</v>
      </c>
      <c r="Q74" s="212" t="b">
        <f>AND((SUMIF(Inputs!164:164,Allowances_Floor!Q4,Inputs!172:172)&lt;&gt;0),Q56&lt;&gt;TRUE)</f>
        <v>0</v>
      </c>
      <c r="R74" s="212" t="b">
        <f>AND((SUMIF(Inputs!164:164,Allowances_Floor!R4,Inputs!172:172)&lt;&gt;0),R56&lt;&gt;TRUE)</f>
        <v>0</v>
      </c>
      <c r="S74" s="212" t="b">
        <f>AND((SUMIF(Inputs!164:164,Allowances_Floor!S4,Inputs!172:172)&lt;&gt;0),S56&lt;&gt;TRUE)</f>
        <v>0</v>
      </c>
      <c r="T74" s="212" t="b">
        <f>AND((SUMIF(Inputs!164:164,Allowances_Floor!T4,Inputs!172:172)&lt;&gt;0),T56&lt;&gt;TRUE)</f>
        <v>0</v>
      </c>
      <c r="U74" s="212" t="b">
        <f>AND((SUMIF(Inputs!164:164,Allowances_Floor!U4,Inputs!172:172)&lt;&gt;0),U56&lt;&gt;TRUE)</f>
        <v>0</v>
      </c>
      <c r="V74" s="212" t="b">
        <f>AND((SUMIF(Inputs!164:164,Allowances_Floor!V4,Inputs!172:172)&lt;&gt;0),V56&lt;&gt;TRUE)</f>
        <v>0</v>
      </c>
      <c r="W74" s="212" t="b">
        <f>AND((SUMIF(Inputs!164:164,Allowances_Floor!W4,Inputs!172:172)&lt;&gt;0),W56&lt;&gt;TRUE)</f>
        <v>0</v>
      </c>
      <c r="X74" s="212" t="b">
        <f>AND((SUMIF(Inputs!164:164,Allowances_Floor!X4,Inputs!172:172)&lt;&gt;0),X56&lt;&gt;TRUE)</f>
        <v>0</v>
      </c>
      <c r="Y74" s="212" t="b">
        <f>AND((SUMIF(Inputs!164:164,Allowances_Floor!Y4,Inputs!172:172)&lt;&gt;0),Y56&lt;&gt;TRUE)</f>
        <v>0</v>
      </c>
      <c r="Z74" s="212" t="b">
        <f>AND((SUMIF(Inputs!164:164,Allowances_Floor!Z4,Inputs!172:172)&lt;&gt;0),Z56&lt;&gt;TRUE)</f>
        <v>0</v>
      </c>
      <c r="AA74" s="212" t="b">
        <f>AND((SUMIF(Inputs!164:164,Allowances_Floor!AA4,Inputs!172:172)&lt;&gt;0),AA56&lt;&gt;TRUE)</f>
        <v>0</v>
      </c>
      <c r="AB74" s="212" t="b">
        <f>AND((SUMIF(Inputs!164:164,Allowances_Floor!AB4,Inputs!172:172)&lt;&gt;0),AB56&lt;&gt;TRUE)</f>
        <v>0</v>
      </c>
      <c r="AC74" s="212" t="b">
        <f>AND((SUMIF(Inputs!164:164,Allowances_Floor!AC4,Inputs!172:172)&lt;&gt;0),AC56&lt;&gt;TRUE)</f>
        <v>0</v>
      </c>
      <c r="AD74" s="212" t="b">
        <f>AND((SUMIF(Inputs!164:164,Allowances_Floor!AD4,Inputs!172:172)&lt;&gt;0),AD56&lt;&gt;TRUE)</f>
        <v>0</v>
      </c>
      <c r="AE74" s="212" t="b">
        <f>AND((SUMIF(Inputs!164:164,Allowances_Floor!AE4,Inputs!172:172)&lt;&gt;0),AE56&lt;&gt;TRUE)</f>
        <v>0</v>
      </c>
      <c r="AF74" s="212" t="b">
        <f>AND((SUMIF(Inputs!164:164,Allowances_Floor!AF4,Inputs!172:172)&lt;&gt;0),AF56&lt;&gt;TRUE)</f>
        <v>0</v>
      </c>
      <c r="AG74" s="212" t="b">
        <f>AND((SUMIF(Inputs!164:164,Allowances_Floor!AG4,Inputs!172:172)&lt;&gt;0),AG56&lt;&gt;TRUE)</f>
        <v>0</v>
      </c>
      <c r="AH74" s="212" t="b">
        <f>AND((SUMIF(Inputs!164:164,Allowances_Floor!AH4,Inputs!172:172)&lt;&gt;0),AH56&lt;&gt;TRUE)</f>
        <v>0</v>
      </c>
      <c r="AI74" s="212" t="b">
        <f>AND((SUMIF(Inputs!164:164,Allowances_Floor!AI4,Inputs!172:172)&lt;&gt;0),AI56&lt;&gt;TRUE)</f>
        <v>1</v>
      </c>
    </row>
    <row r="75" spans="1:35" ht="15" customHeight="1">
      <c r="A75" s="125"/>
      <c r="B75" s="26"/>
    </row>
    <row r="76" spans="1:35" ht="15" customHeight="1">
      <c r="A76" s="125"/>
      <c r="B76" s="26"/>
      <c r="C76" s="26"/>
      <c r="D76" s="26"/>
      <c r="E76" s="26" t="s">
        <v>443</v>
      </c>
      <c r="G76" s="26" t="str">
        <f>Inputs!$I$11</f>
        <v>£m 20/21 prices</v>
      </c>
      <c r="J76" s="193"/>
      <c r="K76" s="20">
        <f t="shared" ref="K76:AI76" si="10">K$74 * $I66</f>
        <v>0</v>
      </c>
      <c r="L76" s="20">
        <f t="shared" si="10"/>
        <v>0</v>
      </c>
      <c r="M76" s="20">
        <f t="shared" si="10"/>
        <v>0</v>
      </c>
      <c r="N76" s="20">
        <f t="shared" si="10"/>
        <v>0</v>
      </c>
      <c r="O76" s="20">
        <f t="shared" si="10"/>
        <v>0</v>
      </c>
      <c r="P76" s="20">
        <f t="shared" si="10"/>
        <v>0</v>
      </c>
      <c r="Q76" s="20">
        <f t="shared" si="10"/>
        <v>0</v>
      </c>
      <c r="R76" s="20">
        <f t="shared" si="10"/>
        <v>0</v>
      </c>
      <c r="S76" s="20">
        <f t="shared" si="10"/>
        <v>0</v>
      </c>
      <c r="T76" s="20">
        <f t="shared" si="10"/>
        <v>0</v>
      </c>
      <c r="U76" s="20">
        <f t="shared" si="10"/>
        <v>0</v>
      </c>
      <c r="V76" s="20">
        <f t="shared" si="10"/>
        <v>0</v>
      </c>
      <c r="W76" s="20">
        <f t="shared" si="10"/>
        <v>0</v>
      </c>
      <c r="X76" s="20">
        <f t="shared" si="10"/>
        <v>0</v>
      </c>
      <c r="Y76" s="20">
        <f t="shared" si="10"/>
        <v>0</v>
      </c>
      <c r="Z76" s="20">
        <f t="shared" si="10"/>
        <v>0</v>
      </c>
      <c r="AA76" s="20">
        <f t="shared" si="10"/>
        <v>0</v>
      </c>
      <c r="AB76" s="20">
        <f t="shared" si="10"/>
        <v>0</v>
      </c>
      <c r="AC76" s="20">
        <f t="shared" si="10"/>
        <v>0</v>
      </c>
      <c r="AD76" s="20">
        <f t="shared" si="10"/>
        <v>0</v>
      </c>
      <c r="AE76" s="20">
        <f t="shared" si="10"/>
        <v>0</v>
      </c>
      <c r="AF76" s="20">
        <f t="shared" si="10"/>
        <v>0</v>
      </c>
      <c r="AG76" s="20">
        <f t="shared" si="10"/>
        <v>0</v>
      </c>
      <c r="AH76" s="20">
        <f t="shared" si="10"/>
        <v>0</v>
      </c>
      <c r="AI76" s="20">
        <f t="shared" si="10"/>
        <v>75.889016937417566</v>
      </c>
    </row>
    <row r="77" spans="1:35" ht="15" customHeight="1">
      <c r="A77" s="125"/>
      <c r="B77" s="26"/>
    </row>
    <row r="78" spans="1:35" ht="15" customHeight="1">
      <c r="A78"/>
      <c r="B78" s="14" t="s">
        <v>47</v>
      </c>
      <c r="C78" s="58"/>
      <c r="D78" s="58"/>
      <c r="E78" s="58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</row>
    <row r="79" spans="1:35" ht="15" customHeight="1"/>
    <row r="80" spans="1:35" ht="0" hidden="1" customHeight="1"/>
  </sheetData>
  <sheetProtection sheet="1" objects="1" scenarios="1"/>
  <conditionalFormatting sqref="K23:AI23">
    <cfRule type="cellIs" dxfId="2" priority="5" stopIfTrue="1" operator="equal">
      <formula>FALSE()</formula>
    </cfRule>
  </conditionalFormatting>
  <conditionalFormatting sqref="K56:AI56">
    <cfRule type="cellIs" dxfId="1" priority="6" stopIfTrue="1" operator="equal">
      <formula>FALSE()</formula>
    </cfRule>
  </conditionalFormatting>
  <conditionalFormatting sqref="K74:AI74">
    <cfRule type="cellIs" dxfId="0" priority="7" stopIfTrue="1" operator="equal">
      <formula>FALSE()</formula>
    </cfRule>
  </conditionalFormatting>
  <pageMargins left="0.23622047244094502" right="0.23622047244094502" top="0.74803149606299213" bottom="0.74803149606299213" header="0.31496062992126012" footer="0.31496062992126012"/>
  <pageSetup paperSize="0" fitToHeight="0" orientation="landscape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24</vt:i4>
      </vt:variant>
    </vt:vector>
  </HeadingPairs>
  <TitlesOfParts>
    <vt:vector size="37" baseType="lpstr">
      <vt:lpstr>Cover</vt:lpstr>
      <vt:lpstr>Version_Control</vt:lpstr>
      <vt:lpstr>Inputs</vt:lpstr>
      <vt:lpstr>Data_Sources</vt:lpstr>
      <vt:lpstr>Pre_Op_RAV</vt:lpstr>
      <vt:lpstr>Finance</vt:lpstr>
      <vt:lpstr>Op_Rav</vt:lpstr>
      <vt:lpstr>Allowances_Cap</vt:lpstr>
      <vt:lpstr>Allowances_Floor</vt:lpstr>
      <vt:lpstr>Tax_Deductions</vt:lpstr>
      <vt:lpstr>Tax_Cap</vt:lpstr>
      <vt:lpstr>Tax_Floor</vt:lpstr>
      <vt:lpstr>Cap_Floor_Levels</vt:lpstr>
      <vt:lpstr>Allowances_Cap!Print_Area</vt:lpstr>
      <vt:lpstr>Allowances_Floor!Print_Area</vt:lpstr>
      <vt:lpstr>Cap_Floor_Levels!Print_Area</vt:lpstr>
      <vt:lpstr>Cover!Print_Area</vt:lpstr>
      <vt:lpstr>Data_Sources!Print_Area</vt:lpstr>
      <vt:lpstr>Finance!Print_Area</vt:lpstr>
      <vt:lpstr>Inputs!Print_Area</vt:lpstr>
      <vt:lpstr>Op_Rav!Print_Area</vt:lpstr>
      <vt:lpstr>Pre_Op_RAV!Print_Area</vt:lpstr>
      <vt:lpstr>Tax_Cap!Print_Area</vt:lpstr>
      <vt:lpstr>Tax_Deductions!Print_Area</vt:lpstr>
      <vt:lpstr>Tax_Floor!Print_Area</vt:lpstr>
      <vt:lpstr>Allowances_Cap!Print_Titles</vt:lpstr>
      <vt:lpstr>Allowances_Floor!Print_Titles</vt:lpstr>
      <vt:lpstr>Cap_Floor_Levels!Print_Titles</vt:lpstr>
      <vt:lpstr>Cover!Print_Titles</vt:lpstr>
      <vt:lpstr>Data_Sources!Print_Titles</vt:lpstr>
      <vt:lpstr>Finance!Print_Titles</vt:lpstr>
      <vt:lpstr>Inputs!Print_Titles</vt:lpstr>
      <vt:lpstr>Op_Rav!Print_Titles</vt:lpstr>
      <vt:lpstr>Pre_Op_RAV!Print_Titles</vt:lpstr>
      <vt:lpstr>Tax_Cap!Print_Titles</vt:lpstr>
      <vt:lpstr>Tax_Deductions!Print_Titles</vt:lpstr>
      <vt:lpstr>Tax_Floor!Print_Titles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GCFFM1 - Greenlink Cap and Floor Financial Model 1</dc:title>
  <dc:subject/>
  <dc:creator>Martin Namor</dc:creator>
  <cp:lastModifiedBy>Anju Thomas</cp:lastModifiedBy>
  <cp:lastPrinted>2019-02-01T10:22:22Z</cp:lastPrinted>
  <dcterms:created xsi:type="dcterms:W3CDTF">2014-03-17T11:35:35Z</dcterms:created>
  <dcterms:modified xsi:type="dcterms:W3CDTF">2023-07-20T14:11:44Z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0x010100DDEA4FF4EB60D64EAC5B36DFAFCB9186</vt:lpwstr>
  </property>
  <property fmtid="{D5CDD505-2E9C-101B-9397-08002B2CF9AE}" pid="3" name="Select Content Type Above">
    <vt:lpwstr/>
  </property>
  <property fmtid="{D5CDD505-2E9C-101B-9397-08002B2CF9AE}" pid="4" name="Order">
    <vt:r8>2893600</vt:r8>
  </property>
  <property fmtid="{D5CDD505-2E9C-101B-9397-08002B2CF9AE}" pid="5" name="Applicable Start Date">
    <vt:filetime>2014-03-17T00:00:00Z</vt:filetime>
  </property>
  <property fmtid="{D5CDD505-2E9C-101B-9397-08002B2CF9AE}" pid="6" name="URL">
    <vt:lpwstr/>
  </property>
  <property fmtid="{D5CDD505-2E9C-101B-9397-08002B2CF9AE}" pid="7" name="From">
    <vt:lpwstr/>
  </property>
  <property fmtid="{D5CDD505-2E9C-101B-9397-08002B2CF9AE}" pid="8" name="Project Sponsor">
    <vt:lpwstr/>
  </property>
  <property fmtid="{D5CDD505-2E9C-101B-9397-08002B2CF9AE}" pid="9" name="BCC">
    <vt:lpwstr/>
  </property>
  <property fmtid="{D5CDD505-2E9C-101B-9397-08002B2CF9AE}" pid="10" name="xd_ProgID">
    <vt:lpwstr/>
  </property>
  <property fmtid="{D5CDD505-2E9C-101B-9397-08002B2CF9AE}" pid="11" name="_Version">
    <vt:lpwstr/>
  </property>
  <property fmtid="{D5CDD505-2E9C-101B-9397-08002B2CF9AE}" pid="12" name="Project Manager">
    <vt:lpwstr/>
  </property>
  <property fmtid="{D5CDD505-2E9C-101B-9397-08002B2CF9AE}" pid="13" name="Ref No">
    <vt:lpwstr/>
  </property>
  <property fmtid="{D5CDD505-2E9C-101B-9397-08002B2CF9AE}" pid="14" name="Applicable Duration">
    <vt:lpwstr>-</vt:lpwstr>
  </property>
  <property fmtid="{D5CDD505-2E9C-101B-9397-08002B2CF9AE}" pid="15" name="Project Name">
    <vt:lpwstr/>
  </property>
  <property fmtid="{D5CDD505-2E9C-101B-9397-08002B2CF9AE}" pid="16" name="Project Owner">
    <vt:lpwstr/>
  </property>
  <property fmtid="{D5CDD505-2E9C-101B-9397-08002B2CF9AE}" pid="17" name="TemplateUrl">
    <vt:lpwstr/>
  </property>
  <property fmtid="{D5CDD505-2E9C-101B-9397-08002B2CF9AE}" pid="18" name="CC">
    <vt:lpwstr/>
  </property>
  <property fmtid="{D5CDD505-2E9C-101B-9397-08002B2CF9AE}" pid="19" name="DLCPolicyLabelLock">
    <vt:lpwstr/>
  </property>
  <property fmtid="{D5CDD505-2E9C-101B-9397-08002B2CF9AE}" pid="20" name="To">
    <vt:lpwstr/>
  </property>
  <property fmtid="{D5CDD505-2E9C-101B-9397-08002B2CF9AE}" pid="21" name="::">
    <vt:lpwstr/>
  </property>
  <property fmtid="{D5CDD505-2E9C-101B-9397-08002B2CF9AE}" pid="22" name="Attach Count">
    <vt:lpwstr/>
  </property>
  <property fmtid="{D5CDD505-2E9C-101B-9397-08002B2CF9AE}" pid="23" name=":">
    <vt:lpwstr/>
  </property>
  <property fmtid="{D5CDD505-2E9C-101B-9397-08002B2CF9AE}" pid="24" name="Importance">
    <vt:lpwstr/>
  </property>
  <property fmtid="{D5CDD505-2E9C-101B-9397-08002B2CF9AE}" pid="25" name="DLCPolicyLabelClientValue">
    <vt:lpwstr>Version : {_UIVersionString}</vt:lpwstr>
  </property>
  <property fmtid="{D5CDD505-2E9C-101B-9397-08002B2CF9AE}" pid="26" name="docIndexRef">
    <vt:lpwstr>e8c5d3e4-b29a-4bc9-b338-4aa0c973637c</vt:lpwstr>
  </property>
  <property fmtid="{D5CDD505-2E9C-101B-9397-08002B2CF9AE}" pid="27" name="bjSaver">
    <vt:lpwstr>F4pwnGwIynODlByWBfXh7WvHa6LyLkXu</vt:lpwstr>
  </property>
  <property fmtid="{D5CDD505-2E9C-101B-9397-08002B2CF9AE}" pid="28" name="_NewReviewCycle">
    <vt:lpwstr/>
  </property>
  <property fmtid="{D5CDD505-2E9C-101B-9397-08002B2CF9AE}" pid="29" name="BJSCc5a055b0-1bed-4579_x">
    <vt:lpwstr/>
  </property>
  <property fmtid="{D5CDD505-2E9C-101B-9397-08002B2CF9AE}" pid="30" name="BJSCSummaryMarking">
    <vt:lpwstr>This item has no classification</vt:lpwstr>
  </property>
  <property fmtid="{D5CDD505-2E9C-101B-9397-08002B2CF9AE}" pid="31" name="BJSCInternalLabel">
    <vt:lpwstr>&lt;?xml version="1.0" encoding="us-ascii"?&gt;&lt;sisl xmlns:xsi="http://www.w3.org/2001/XMLSchema-instance" xmlns:xsd="http://www.w3.org/2001/XMLSchema" sislVersion="0" policy="973096ae-7329-4b3b-9368-47aeba6959e1" xmlns="http://www.boldonjames.com/2008/01/sie/internal/label" /&gt;</vt:lpwstr>
  </property>
  <property fmtid="{D5CDD505-2E9C-101B-9397-08002B2CF9AE}" pid="32" name="BJSCdd9eba61-d6b9-469b_x">
    <vt:lpwstr/>
  </property>
  <property fmtid="{D5CDD505-2E9C-101B-9397-08002B2CF9AE}" pid="33" name="MSIP_Label_7fa661c7-26ae-4657-b815-44993f82ceaf_Enabled">
    <vt:lpwstr>True</vt:lpwstr>
  </property>
  <property fmtid="{D5CDD505-2E9C-101B-9397-08002B2CF9AE}" pid="34" name="MSIP_Label_7fa661c7-26ae-4657-b815-44993f82ceaf_SiteId">
    <vt:lpwstr>c9a7d621-4bc4-4407-b730-f428e656aa9e</vt:lpwstr>
  </property>
  <property fmtid="{D5CDD505-2E9C-101B-9397-08002B2CF9AE}" pid="35" name="MSIP_Label_7fa661c7-26ae-4657-b815-44993f82ceaf_Owner">
    <vt:lpwstr>victor.creste@sgcib.com</vt:lpwstr>
  </property>
  <property fmtid="{D5CDD505-2E9C-101B-9397-08002B2CF9AE}" pid="36" name="MSIP_Label_7fa661c7-26ae-4657-b815-44993f82ceaf_SetDate">
    <vt:lpwstr>2020-07-29T17:27:50.2522221Z</vt:lpwstr>
  </property>
  <property fmtid="{D5CDD505-2E9C-101B-9397-08002B2CF9AE}" pid="37" name="MSIP_Label_7fa661c7-26ae-4657-b815-44993f82ceaf_Name">
    <vt:lpwstr>C2 - Confidential</vt:lpwstr>
  </property>
  <property fmtid="{D5CDD505-2E9C-101B-9397-08002B2CF9AE}" pid="38" name="MSIP_Label_7fa661c7-26ae-4657-b815-44993f82ceaf_Application">
    <vt:lpwstr>Microsoft Azure Information Protection</vt:lpwstr>
  </property>
  <property fmtid="{D5CDD505-2E9C-101B-9397-08002B2CF9AE}" pid="39" name="MSIP_Label_7fa661c7-26ae-4657-b815-44993f82ceaf_ActionId">
    <vt:lpwstr>5771a1c3-62af-4b46-9911-93df0255c83b</vt:lpwstr>
  </property>
  <property fmtid="{D5CDD505-2E9C-101B-9397-08002B2CF9AE}" pid="40" name="MSIP_Label_7fa661c7-26ae-4657-b815-44993f82ceaf_Extended_MSFT_Method">
    <vt:lpwstr>Manual</vt:lpwstr>
  </property>
  <property fmtid="{D5CDD505-2E9C-101B-9397-08002B2CF9AE}" pid="41" name="Sensitivity">
    <vt:lpwstr>C2 - Confidential</vt:lpwstr>
  </property>
  <property fmtid="{D5CDD505-2E9C-101B-9397-08002B2CF9AE}" pid="42" name="bjClsUserRVM">
    <vt:lpwstr>[]</vt:lpwstr>
  </property>
  <property fmtid="{D5CDD505-2E9C-101B-9397-08002B2CF9AE}" pid="43" name="bjDocumentSecurityLabel">
    <vt:lpwstr>This item has no classification</vt:lpwstr>
  </property>
  <property fmtid="{D5CDD505-2E9C-101B-9397-08002B2CF9AE}" pid="44" name="RoutingRuleDescription">
    <vt:lpwstr/>
  </property>
  <property fmtid="{D5CDD505-2E9C-101B-9397-08002B2CF9AE}" pid="45" name="MediaServiceImageTags">
    <vt:lpwstr/>
  </property>
  <property fmtid="{D5CDD505-2E9C-101B-9397-08002B2CF9AE}" pid="46" name="SharedWithUsers">
    <vt:lpwstr>303;#Ubah Abraham;#23;#Okon Enyenihi</vt:lpwstr>
  </property>
</Properties>
</file>