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codeName="ThisWorkbook"/>
  <mc:AlternateContent xmlns:mc="http://schemas.openxmlformats.org/markup-compatibility/2006">
    <mc:Choice Requires="x15">
      <x15ac:absPath xmlns:x15ac="http://schemas.microsoft.com/office/spreadsheetml/2010/11/ac" url="https://ofgemcloud.sharepoint.com/sites/PriceCapPolicy/Shared Documents/Cap extension - work from Oct 2022 onwards/Consultation 2/Docs for publication/Finalised models/"/>
    </mc:Choice>
  </mc:AlternateContent>
  <xr:revisionPtr revIDLastSave="972" documentId="13_ncr:1_{BB0ECB35-2EB2-4DFC-9E1E-1ADC58A2819A}" xr6:coauthVersionLast="47" xr6:coauthVersionMax="47" xr10:uidLastSave="{67709380-1154-4459-BD92-A764116B018C}"/>
  <bookViews>
    <workbookView xWindow="-110" yWindow="-110" windowWidth="19420" windowHeight="10420" xr2:uid="{D418F4BB-C814-43BE-99F1-625E4822E3A6}"/>
  </bookViews>
  <sheets>
    <sheet name="Front sheet" sheetId="14" r:id="rId1"/>
    <sheet name="Notes" sheetId="15" r:id="rId2"/>
    <sheet name="1 Outputs=&gt;" sheetId="20" r:id="rId3"/>
    <sheet name="1a SMNCC Values" sheetId="9" r:id="rId4"/>
    <sheet name="2 Inputs and calculations=&gt;" sheetId="17" r:id="rId5"/>
    <sheet name="2a Non pass-through costs" sheetId="22" r:id="rId6"/>
    <sheet name="2b SEGB" sheetId="8" r:id="rId7"/>
    <sheet name="2c DCC" sheetId="11" r:id="rId8"/>
    <sheet name="2d SMICoP" sheetId="13" r:id="rId9"/>
    <sheet name="2f Scaling factor" sheetId="25" r:id="rId10"/>
    <sheet name="2e CPIH" sheetId="21" r:id="rId11"/>
    <sheet name="2g PPM cost offset" sheetId="27" r:id="rId12"/>
    <sheet name="3 Forecasted Values = &gt;" sheetId="26" r:id="rId13"/>
    <sheet name="3a Forecasted Values" sheetId="19"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 hidden="1">'[1]Model inputs'!#REF!</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9" i="9" l="1"/>
  <c r="X29" i="9"/>
  <c r="Y29" i="9"/>
  <c r="Z29" i="9"/>
  <c r="AA29" i="9"/>
  <c r="AB29" i="9"/>
  <c r="AC29" i="9"/>
  <c r="AD29" i="9"/>
  <c r="AE29" i="9"/>
  <c r="AF29" i="9"/>
  <c r="AG29" i="9"/>
  <c r="AH29" i="9"/>
  <c r="AI29" i="9"/>
  <c r="AJ29" i="9"/>
  <c r="AK29" i="9"/>
  <c r="AL29" i="9"/>
  <c r="AM29" i="9"/>
  <c r="AN29" i="9"/>
  <c r="AO29" i="9"/>
  <c r="AP29" i="9"/>
  <c r="AQ29" i="9"/>
  <c r="AR29" i="9"/>
  <c r="AS29" i="9"/>
  <c r="AT29" i="9"/>
  <c r="AU29" i="9"/>
  <c r="AV29" i="9"/>
  <c r="AW29" i="9"/>
  <c r="AX29" i="9"/>
  <c r="W30" i="9"/>
  <c r="X30" i="9"/>
  <c r="Y30" i="9"/>
  <c r="Z30" i="9"/>
  <c r="AA30" i="9"/>
  <c r="AB30" i="9"/>
  <c r="AC30" i="9"/>
  <c r="AD30" i="9"/>
  <c r="AE30" i="9"/>
  <c r="AF30" i="9"/>
  <c r="AG30" i="9"/>
  <c r="AH30" i="9"/>
  <c r="AI30" i="9"/>
  <c r="AJ30" i="9"/>
  <c r="AK30" i="9"/>
  <c r="AL30" i="9"/>
  <c r="AM30" i="9"/>
  <c r="AN30" i="9"/>
  <c r="AO30" i="9"/>
  <c r="AP30" i="9"/>
  <c r="AQ30" i="9"/>
  <c r="AR30" i="9"/>
  <c r="AS30" i="9"/>
  <c r="AT30" i="9"/>
  <c r="AU30" i="9"/>
  <c r="AV30" i="9"/>
  <c r="AW30" i="9"/>
  <c r="AX30" i="9"/>
  <c r="W31" i="9"/>
  <c r="X31" i="9"/>
  <c r="Y31" i="9"/>
  <c r="Z31" i="9"/>
  <c r="AA31" i="9"/>
  <c r="AB31" i="9"/>
  <c r="AC31" i="9"/>
  <c r="AD31" i="9"/>
  <c r="AE31" i="9"/>
  <c r="AF31" i="9"/>
  <c r="AG31" i="9"/>
  <c r="AH31" i="9"/>
  <c r="AI31" i="9"/>
  <c r="AJ31" i="9"/>
  <c r="AK31" i="9"/>
  <c r="AL31" i="9"/>
  <c r="AM31" i="9"/>
  <c r="AN31" i="9"/>
  <c r="AO31" i="9"/>
  <c r="AP31" i="9"/>
  <c r="AQ31" i="9"/>
  <c r="AR31" i="9"/>
  <c r="AS31" i="9"/>
  <c r="AT31" i="9"/>
  <c r="AU31" i="9"/>
  <c r="AV31" i="9"/>
  <c r="AW31" i="9"/>
  <c r="AX31" i="9"/>
  <c r="W32" i="9"/>
  <c r="X32" i="9"/>
  <c r="Y32" i="9"/>
  <c r="Z32" i="9"/>
  <c r="AA32" i="9"/>
  <c r="AB32" i="9"/>
  <c r="AC32" i="9"/>
  <c r="AD32" i="9"/>
  <c r="AE32" i="9"/>
  <c r="AF32" i="9"/>
  <c r="AG32" i="9"/>
  <c r="AH32" i="9"/>
  <c r="AI32" i="9"/>
  <c r="AJ32" i="9"/>
  <c r="AK32" i="9"/>
  <c r="AL32" i="9"/>
  <c r="AM32" i="9"/>
  <c r="AN32" i="9"/>
  <c r="AO32" i="9"/>
  <c r="AP32" i="9"/>
  <c r="AQ32" i="9"/>
  <c r="AR32" i="9"/>
  <c r="AS32" i="9"/>
  <c r="AT32" i="9"/>
  <c r="AU32" i="9"/>
  <c r="AV32" i="9"/>
  <c r="AW32" i="9"/>
  <c r="AX32" i="9"/>
  <c r="X14" i="9"/>
  <c r="Y14" i="9"/>
  <c r="Z14" i="9"/>
  <c r="AA14" i="9"/>
  <c r="AB14" i="9"/>
  <c r="AC14" i="9"/>
  <c r="AD14" i="9"/>
  <c r="AE14" i="9"/>
  <c r="AF14" i="9"/>
  <c r="AG14" i="9"/>
  <c r="AH14" i="9"/>
  <c r="AI14" i="9"/>
  <c r="AJ14" i="9"/>
  <c r="AK14" i="9"/>
  <c r="AL14" i="9"/>
  <c r="AM14" i="9"/>
  <c r="AN14" i="9"/>
  <c r="AO14" i="9"/>
  <c r="AP14" i="9"/>
  <c r="AQ14" i="9"/>
  <c r="AR14" i="9"/>
  <c r="AS14" i="9"/>
  <c r="AT14" i="9"/>
  <c r="AU14" i="9"/>
  <c r="AV14" i="9"/>
  <c r="AW14" i="9"/>
  <c r="AX14" i="9"/>
  <c r="X15" i="9"/>
  <c r="Y15" i="9"/>
  <c r="Z15" i="9"/>
  <c r="AA15" i="9"/>
  <c r="AB15" i="9"/>
  <c r="AC15" i="9"/>
  <c r="AD15" i="9"/>
  <c r="AE15" i="9"/>
  <c r="AF15" i="9"/>
  <c r="AG15" i="9"/>
  <c r="AH15" i="9"/>
  <c r="AI15" i="9"/>
  <c r="AJ15" i="9"/>
  <c r="AK15" i="9"/>
  <c r="AL15" i="9"/>
  <c r="AM15" i="9"/>
  <c r="AN15" i="9"/>
  <c r="AO15" i="9"/>
  <c r="AP15" i="9"/>
  <c r="AQ15" i="9"/>
  <c r="AR15" i="9"/>
  <c r="AS15" i="9"/>
  <c r="AT15" i="9"/>
  <c r="AU15" i="9"/>
  <c r="AV15" i="9"/>
  <c r="AW15" i="9"/>
  <c r="AX15"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X21" i="9"/>
  <c r="Y21" i="9"/>
  <c r="Z21" i="9"/>
  <c r="AA21" i="9"/>
  <c r="AB21" i="9"/>
  <c r="AC21" i="9"/>
  <c r="AD21" i="9"/>
  <c r="AE21" i="9"/>
  <c r="AF21" i="9"/>
  <c r="AG21" i="9"/>
  <c r="AH21" i="9"/>
  <c r="AI21" i="9"/>
  <c r="AJ21" i="9"/>
  <c r="AK21" i="9"/>
  <c r="AL21" i="9"/>
  <c r="AM21" i="9"/>
  <c r="AN21" i="9"/>
  <c r="AO21" i="9"/>
  <c r="AP21" i="9"/>
  <c r="AQ21" i="9"/>
  <c r="AR21" i="9"/>
  <c r="AS21" i="9"/>
  <c r="AT21" i="9"/>
  <c r="AU21" i="9"/>
  <c r="AV21" i="9"/>
  <c r="AW21" i="9"/>
  <c r="AX21" i="9"/>
  <c r="W14" i="9"/>
  <c r="W15" i="9"/>
  <c r="W20" i="9"/>
  <c r="W21" i="9"/>
  <c r="V13" i="9"/>
  <c r="V16" i="9" s="1"/>
  <c r="V18" i="9" s="1"/>
  <c r="V14" i="9"/>
  <c r="V19" i="9"/>
  <c r="V20" i="9"/>
  <c r="V21" i="9"/>
  <c r="V22" i="9"/>
  <c r="V24" i="9" s="1"/>
  <c r="S40" i="11"/>
  <c r="U16" i="13"/>
  <c r="U18" i="13" s="1"/>
  <c r="V15" i="9" s="1"/>
  <c r="T16" i="13"/>
  <c r="W16" i="21"/>
  <c r="V16" i="21"/>
  <c r="X16" i="21"/>
  <c r="Y16" i="21"/>
  <c r="Z16" i="21"/>
  <c r="AA16" i="21"/>
  <c r="AB16" i="21"/>
  <c r="AC16" i="21"/>
  <c r="AD16" i="21"/>
  <c r="AE16" i="21"/>
  <c r="AF16" i="21"/>
  <c r="AG16" i="21"/>
  <c r="AH16" i="21"/>
  <c r="AI16" i="21"/>
  <c r="AJ16" i="21"/>
  <c r="AK16" i="21"/>
  <c r="AL16" i="21"/>
  <c r="AM16" i="21"/>
  <c r="AN16" i="21"/>
  <c r="AO16" i="21"/>
  <c r="AP16" i="21"/>
  <c r="AQ16" i="21"/>
  <c r="AR16" i="21"/>
  <c r="AS16" i="21"/>
  <c r="AT16" i="21"/>
  <c r="AU16" i="21"/>
  <c r="AV16" i="21"/>
  <c r="AW16" i="21"/>
  <c r="AX16" i="21"/>
  <c r="V21" i="13"/>
  <c r="W21" i="13"/>
  <c r="X21" i="13"/>
  <c r="Y21" i="13"/>
  <c r="Z21" i="13"/>
  <c r="AA21" i="13"/>
  <c r="AB21" i="13"/>
  <c r="AC21" i="13"/>
  <c r="AD21" i="13"/>
  <c r="AE21" i="13"/>
  <c r="AF21" i="13"/>
  <c r="AG21" i="13"/>
  <c r="AH21" i="13"/>
  <c r="AI21" i="13"/>
  <c r="AJ21" i="13"/>
  <c r="AK21" i="13"/>
  <c r="AL21" i="13"/>
  <c r="AM21" i="13"/>
  <c r="AN21" i="13"/>
  <c r="AO21" i="13"/>
  <c r="AP21" i="13"/>
  <c r="AQ21" i="13"/>
  <c r="AR21" i="13"/>
  <c r="AS21" i="13"/>
  <c r="AT21" i="13"/>
  <c r="AU21" i="13"/>
  <c r="AV21" i="13"/>
  <c r="AW21"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S18" i="13" s="1"/>
  <c r="AT16" i="13"/>
  <c r="AU16" i="13"/>
  <c r="AV16" i="13"/>
  <c r="AW16" i="13"/>
  <c r="V17" i="13"/>
  <c r="W17" i="13"/>
  <c r="X17" i="13"/>
  <c r="Y17" i="13"/>
  <c r="Z17" i="13"/>
  <c r="Z19" i="13" s="1"/>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T18" i="13"/>
  <c r="AU18" i="13"/>
  <c r="AV18" i="13"/>
  <c r="AW18" i="13"/>
  <c r="V19" i="13"/>
  <c r="W19" i="13"/>
  <c r="X19" i="13"/>
  <c r="Y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V40" i="11"/>
  <c r="W40" i="11"/>
  <c r="X40" i="11"/>
  <c r="Y40" i="11"/>
  <c r="Z40" i="11"/>
  <c r="AA40" i="11"/>
  <c r="AB40" i="11"/>
  <c r="AC40" i="11"/>
  <c r="AD40" i="11"/>
  <c r="AE40" i="11"/>
  <c r="AF40" i="11"/>
  <c r="AG40" i="11"/>
  <c r="AH40" i="11"/>
  <c r="AI40" i="11"/>
  <c r="AJ40" i="11"/>
  <c r="AK40" i="11"/>
  <c r="AL40" i="11"/>
  <c r="AM40" i="11"/>
  <c r="AN40" i="11"/>
  <c r="AO40" i="11"/>
  <c r="AP40" i="11"/>
  <c r="AQ40" i="11"/>
  <c r="AR40" i="11"/>
  <c r="AS40" i="11"/>
  <c r="AT40" i="11"/>
  <c r="AU40" i="11"/>
  <c r="AV40" i="11"/>
  <c r="AW40"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V42" i="11"/>
  <c r="W42" i="11"/>
  <c r="X42" i="11"/>
  <c r="Y42" i="11"/>
  <c r="Z42" i="11"/>
  <c r="AA42" i="11"/>
  <c r="AB42" i="11"/>
  <c r="AC42" i="11"/>
  <c r="AD42" i="11"/>
  <c r="AE42" i="11"/>
  <c r="AF42" i="11"/>
  <c r="AG42" i="11"/>
  <c r="AH42" i="11"/>
  <c r="AI42" i="11"/>
  <c r="AJ42" i="11"/>
  <c r="AK42" i="11"/>
  <c r="AL42" i="11"/>
  <c r="AM42" i="11"/>
  <c r="AN42" i="11"/>
  <c r="AO42" i="11"/>
  <c r="AP42" i="11"/>
  <c r="AQ42" i="11"/>
  <c r="AR42" i="11"/>
  <c r="AS42" i="11"/>
  <c r="AT42" i="11"/>
  <c r="AU42" i="11"/>
  <c r="AV42" i="11"/>
  <c r="AW42"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V46" i="11"/>
  <c r="W46" i="11"/>
  <c r="X46" i="11"/>
  <c r="Y46" i="11"/>
  <c r="Z46" i="11"/>
  <c r="AA46" i="11"/>
  <c r="AB46" i="11"/>
  <c r="AC46" i="11"/>
  <c r="AD46" i="11"/>
  <c r="AE46" i="11"/>
  <c r="AF46" i="11"/>
  <c r="AG46" i="11"/>
  <c r="AH46" i="11"/>
  <c r="AI46" i="11"/>
  <c r="AJ46" i="11"/>
  <c r="AK46" i="11"/>
  <c r="AL46" i="11"/>
  <c r="AM46" i="11"/>
  <c r="AN46" i="11"/>
  <c r="AO46" i="11"/>
  <c r="AP46" i="11"/>
  <c r="AQ46" i="11"/>
  <c r="AR46" i="11"/>
  <c r="AS46" i="11"/>
  <c r="AT46" i="11"/>
  <c r="AU46" i="11"/>
  <c r="AV46" i="11"/>
  <c r="AW46"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V48" i="11"/>
  <c r="W48" i="11"/>
  <c r="W52" i="11" s="1"/>
  <c r="W54" i="11" s="1"/>
  <c r="X48" i="11"/>
  <c r="X52" i="11" s="1"/>
  <c r="X54" i="11" s="1"/>
  <c r="Y48" i="11"/>
  <c r="Z48" i="11"/>
  <c r="AA48" i="11"/>
  <c r="AB48" i="11"/>
  <c r="AB52" i="11" s="1"/>
  <c r="AB54" i="11" s="1"/>
  <c r="AC48" i="11"/>
  <c r="AD48" i="11"/>
  <c r="AE48" i="11"/>
  <c r="AF48" i="11"/>
  <c r="AG48" i="11"/>
  <c r="AH48" i="11"/>
  <c r="AI48" i="11"/>
  <c r="AJ48" i="11"/>
  <c r="AK48" i="11"/>
  <c r="AL48" i="11"/>
  <c r="AM48" i="11"/>
  <c r="AN48" i="11"/>
  <c r="AO48" i="11"/>
  <c r="AP48" i="11"/>
  <c r="AQ48" i="11"/>
  <c r="AR48" i="11"/>
  <c r="AS48" i="11"/>
  <c r="AT48" i="11"/>
  <c r="AU48" i="11"/>
  <c r="AV48" i="11"/>
  <c r="AW48" i="11"/>
  <c r="V49" i="11"/>
  <c r="W49" i="11"/>
  <c r="X49" i="11"/>
  <c r="Y49" i="11"/>
  <c r="Z49" i="11"/>
  <c r="AA49" i="11"/>
  <c r="AB49" i="11"/>
  <c r="AC49" i="11"/>
  <c r="AD49" i="11"/>
  <c r="AE49" i="11"/>
  <c r="AF49" i="11"/>
  <c r="AG49" i="11"/>
  <c r="AH49" i="11"/>
  <c r="AI49" i="11"/>
  <c r="AJ49" i="11"/>
  <c r="AK49" i="11"/>
  <c r="AL49" i="11"/>
  <c r="AM49" i="11"/>
  <c r="AN49" i="11"/>
  <c r="AO49" i="11"/>
  <c r="AP49" i="11"/>
  <c r="AQ49" i="11"/>
  <c r="AR49" i="11"/>
  <c r="AS49" i="11"/>
  <c r="AT49" i="11"/>
  <c r="AU49" i="11"/>
  <c r="AV49" i="11"/>
  <c r="AW49"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V52" i="11"/>
  <c r="Y52" i="11"/>
  <c r="Z52" i="11"/>
  <c r="AA52" i="11"/>
  <c r="AC52" i="11"/>
  <c r="AD52" i="11"/>
  <c r="AE52" i="11"/>
  <c r="AF52" i="11"/>
  <c r="AG52" i="11"/>
  <c r="AH52" i="11"/>
  <c r="AI52" i="11"/>
  <c r="AJ52" i="11"/>
  <c r="AK52" i="11"/>
  <c r="AL52" i="11"/>
  <c r="AM52" i="11"/>
  <c r="AN52" i="11"/>
  <c r="AO52" i="11"/>
  <c r="AP52" i="11"/>
  <c r="AQ52" i="11"/>
  <c r="AR52" i="11"/>
  <c r="AS52" i="11"/>
  <c r="AT52" i="11"/>
  <c r="AU52" i="11"/>
  <c r="AV52" i="11"/>
  <c r="AW52" i="11"/>
  <c r="V53" i="11"/>
  <c r="W53" i="11"/>
  <c r="X53" i="11"/>
  <c r="Y53" i="11"/>
  <c r="Y55" i="11" s="1"/>
  <c r="Z19" i="9" s="1"/>
  <c r="Z22" i="9" s="1"/>
  <c r="Z24" i="9" s="1"/>
  <c r="Z60" i="9" s="1"/>
  <c r="Z53" i="11"/>
  <c r="Z55" i="11" s="1"/>
  <c r="AA19" i="9" s="1"/>
  <c r="AA22" i="9" s="1"/>
  <c r="AA24" i="9" s="1"/>
  <c r="AA60" i="9" s="1"/>
  <c r="AA53" i="11"/>
  <c r="AA55" i="11" s="1"/>
  <c r="AB19" i="9" s="1"/>
  <c r="AB22" i="9" s="1"/>
  <c r="AB24" i="9" s="1"/>
  <c r="AB60" i="9" s="1"/>
  <c r="AB53" i="11"/>
  <c r="AB55" i="11" s="1"/>
  <c r="AC19" i="9" s="1"/>
  <c r="AC22" i="9" s="1"/>
  <c r="AC24" i="9" s="1"/>
  <c r="AC60" i="9" s="1"/>
  <c r="AC53" i="11"/>
  <c r="AD53" i="11"/>
  <c r="AE53" i="11"/>
  <c r="AE55" i="11" s="1"/>
  <c r="AF19" i="9" s="1"/>
  <c r="AF22" i="9" s="1"/>
  <c r="AF24" i="9" s="1"/>
  <c r="AF60" i="9" s="1"/>
  <c r="AF53" i="11"/>
  <c r="AF55" i="11" s="1"/>
  <c r="AG19" i="9" s="1"/>
  <c r="AG22" i="9" s="1"/>
  <c r="AG24" i="9" s="1"/>
  <c r="AG60" i="9" s="1"/>
  <c r="AG53" i="11"/>
  <c r="AH53" i="11"/>
  <c r="AH55" i="11" s="1"/>
  <c r="AI19" i="9" s="1"/>
  <c r="AI22" i="9" s="1"/>
  <c r="AI24" i="9" s="1"/>
  <c r="AI60" i="9" s="1"/>
  <c r="AI53" i="11"/>
  <c r="AI55" i="11" s="1"/>
  <c r="AJ19" i="9" s="1"/>
  <c r="AJ22" i="9" s="1"/>
  <c r="AJ24" i="9" s="1"/>
  <c r="AJ60" i="9" s="1"/>
  <c r="AJ53" i="11"/>
  <c r="AJ55" i="11" s="1"/>
  <c r="AK19" i="9" s="1"/>
  <c r="AK22" i="9" s="1"/>
  <c r="AK24" i="9" s="1"/>
  <c r="AK60" i="9" s="1"/>
  <c r="AK53" i="11"/>
  <c r="AL53" i="11"/>
  <c r="AM53" i="11"/>
  <c r="AM55" i="11" s="1"/>
  <c r="AN19" i="9" s="1"/>
  <c r="AN22" i="9" s="1"/>
  <c r="AN24" i="9" s="1"/>
  <c r="AN60" i="9" s="1"/>
  <c r="AN53" i="11"/>
  <c r="AN55" i="11" s="1"/>
  <c r="AO19" i="9" s="1"/>
  <c r="AO22" i="9" s="1"/>
  <c r="AO24" i="9" s="1"/>
  <c r="AO60" i="9" s="1"/>
  <c r="AO53" i="11"/>
  <c r="AP53" i="11"/>
  <c r="AP55" i="11" s="1"/>
  <c r="AQ19" i="9" s="1"/>
  <c r="AQ22" i="9" s="1"/>
  <c r="AQ24" i="9" s="1"/>
  <c r="AQ60" i="9" s="1"/>
  <c r="AQ53" i="11"/>
  <c r="AQ55" i="11" s="1"/>
  <c r="AR19" i="9" s="1"/>
  <c r="AR22" i="9" s="1"/>
  <c r="AR24" i="9" s="1"/>
  <c r="AR60" i="9" s="1"/>
  <c r="AR53" i="11"/>
  <c r="AR55" i="11" s="1"/>
  <c r="AS19" i="9" s="1"/>
  <c r="AS22" i="9" s="1"/>
  <c r="AS24" i="9" s="1"/>
  <c r="AS60" i="9" s="1"/>
  <c r="AS53" i="11"/>
  <c r="AT53" i="11"/>
  <c r="AU53" i="11"/>
  <c r="AU55" i="11" s="1"/>
  <c r="AV19" i="9" s="1"/>
  <c r="AV22" i="9" s="1"/>
  <c r="AV24" i="9" s="1"/>
  <c r="AV60" i="9" s="1"/>
  <c r="AV53" i="11"/>
  <c r="AV55" i="11" s="1"/>
  <c r="AW19" i="9" s="1"/>
  <c r="AW22" i="9" s="1"/>
  <c r="AW24" i="9" s="1"/>
  <c r="AW60" i="9" s="1"/>
  <c r="AW53" i="11"/>
  <c r="V54" i="11"/>
  <c r="W13" i="9" s="1"/>
  <c r="W16" i="9" s="1"/>
  <c r="W18" i="9" s="1"/>
  <c r="W59" i="9" s="1"/>
  <c r="Y54" i="11"/>
  <c r="Y57" i="11" s="1"/>
  <c r="Z54" i="11"/>
  <c r="Z57" i="11" s="1"/>
  <c r="AA54" i="11"/>
  <c r="AB13" i="9" s="1"/>
  <c r="AB16" i="9" s="1"/>
  <c r="AB18" i="9" s="1"/>
  <c r="AB59" i="9" s="1"/>
  <c r="AC54" i="11"/>
  <c r="AD13" i="9" s="1"/>
  <c r="AD16" i="9" s="1"/>
  <c r="AD18" i="9" s="1"/>
  <c r="AD59" i="9" s="1"/>
  <c r="AD54" i="11"/>
  <c r="AE13" i="9" s="1"/>
  <c r="AE16" i="9" s="1"/>
  <c r="AE18" i="9" s="1"/>
  <c r="AE59" i="9" s="1"/>
  <c r="AE54" i="11"/>
  <c r="AF13" i="9" s="1"/>
  <c r="AF16" i="9" s="1"/>
  <c r="AF18" i="9" s="1"/>
  <c r="AF59" i="9" s="1"/>
  <c r="AF54" i="11"/>
  <c r="AG13" i="9" s="1"/>
  <c r="AG16" i="9" s="1"/>
  <c r="AG18" i="9" s="1"/>
  <c r="AG59" i="9" s="1"/>
  <c r="AG54" i="11"/>
  <c r="AG57" i="11" s="1"/>
  <c r="AH54" i="11"/>
  <c r="AH57" i="11" s="1"/>
  <c r="AI54" i="11"/>
  <c r="AJ13" i="9" s="1"/>
  <c r="AJ16" i="9" s="1"/>
  <c r="AJ18" i="9" s="1"/>
  <c r="AJ59" i="9" s="1"/>
  <c r="AJ54" i="11"/>
  <c r="AK13" i="9" s="1"/>
  <c r="AK16" i="9" s="1"/>
  <c r="AK18" i="9" s="1"/>
  <c r="AK59" i="9" s="1"/>
  <c r="AK54" i="11"/>
  <c r="AL13" i="9" s="1"/>
  <c r="AL16" i="9" s="1"/>
  <c r="AL18" i="9" s="1"/>
  <c r="AL59" i="9" s="1"/>
  <c r="AL54" i="11"/>
  <c r="AM13" i="9" s="1"/>
  <c r="AM16" i="9" s="1"/>
  <c r="AM18" i="9" s="1"/>
  <c r="AM59" i="9" s="1"/>
  <c r="AM54" i="11"/>
  <c r="AN13" i="9" s="1"/>
  <c r="AN16" i="9" s="1"/>
  <c r="AN18" i="9" s="1"/>
  <c r="AN59" i="9" s="1"/>
  <c r="AN54" i="11"/>
  <c r="AO13" i="9" s="1"/>
  <c r="AO16" i="9" s="1"/>
  <c r="AO18" i="9" s="1"/>
  <c r="AO59" i="9" s="1"/>
  <c r="AO54" i="11"/>
  <c r="AO57" i="11" s="1"/>
  <c r="AP54" i="11"/>
  <c r="AQ54" i="11"/>
  <c r="AR13" i="9" s="1"/>
  <c r="AR16" i="9" s="1"/>
  <c r="AR18" i="9" s="1"/>
  <c r="AR59" i="9" s="1"/>
  <c r="AR54" i="11"/>
  <c r="AS13" i="9" s="1"/>
  <c r="AS16" i="9" s="1"/>
  <c r="AS18" i="9" s="1"/>
  <c r="AS59" i="9" s="1"/>
  <c r="AS54" i="11"/>
  <c r="AT13" i="9" s="1"/>
  <c r="AT16" i="9" s="1"/>
  <c r="AT18" i="9" s="1"/>
  <c r="AT59" i="9" s="1"/>
  <c r="AT54" i="11"/>
  <c r="AU13" i="9" s="1"/>
  <c r="AU16" i="9" s="1"/>
  <c r="AU18" i="9" s="1"/>
  <c r="AU59" i="9" s="1"/>
  <c r="AU54" i="11"/>
  <c r="AV13" i="9" s="1"/>
  <c r="AV16" i="9" s="1"/>
  <c r="AV18" i="9" s="1"/>
  <c r="AV59" i="9" s="1"/>
  <c r="AV54" i="11"/>
  <c r="AW13" i="9" s="1"/>
  <c r="AW16" i="9" s="1"/>
  <c r="AW18" i="9" s="1"/>
  <c r="AW59" i="9" s="1"/>
  <c r="AW54" i="11"/>
  <c r="AW57" i="11" s="1"/>
  <c r="V55" i="11"/>
  <c r="W19" i="9" s="1"/>
  <c r="W22" i="9" s="1"/>
  <c r="W24" i="9" s="1"/>
  <c r="W60" i="9" s="1"/>
  <c r="W55" i="11"/>
  <c r="X19" i="9" s="1"/>
  <c r="X22" i="9" s="1"/>
  <c r="X24" i="9" s="1"/>
  <c r="X60" i="9" s="1"/>
  <c r="X55" i="11"/>
  <c r="Y19" i="9" s="1"/>
  <c r="Y22" i="9" s="1"/>
  <c r="Y24" i="9" s="1"/>
  <c r="Y60" i="9" s="1"/>
  <c r="AC55" i="11"/>
  <c r="AD19" i="9" s="1"/>
  <c r="AD22" i="9" s="1"/>
  <c r="AD24" i="9" s="1"/>
  <c r="AD60" i="9" s="1"/>
  <c r="AD55" i="11"/>
  <c r="AE19" i="9" s="1"/>
  <c r="AE22" i="9" s="1"/>
  <c r="AE24" i="9" s="1"/>
  <c r="AE60" i="9" s="1"/>
  <c r="AG55" i="11"/>
  <c r="AH19" i="9" s="1"/>
  <c r="AH22" i="9" s="1"/>
  <c r="AH24" i="9" s="1"/>
  <c r="AH60" i="9" s="1"/>
  <c r="AK55" i="11"/>
  <c r="AL19" i="9" s="1"/>
  <c r="AL22" i="9" s="1"/>
  <c r="AL24" i="9" s="1"/>
  <c r="AL60" i="9" s="1"/>
  <c r="AL55" i="11"/>
  <c r="AM19" i="9" s="1"/>
  <c r="AM22" i="9" s="1"/>
  <c r="AM24" i="9" s="1"/>
  <c r="AM60" i="9" s="1"/>
  <c r="AO55" i="11"/>
  <c r="AP19" i="9" s="1"/>
  <c r="AP22" i="9" s="1"/>
  <c r="AP24" i="9" s="1"/>
  <c r="AP60" i="9" s="1"/>
  <c r="AS55" i="11"/>
  <c r="AT19" i="9" s="1"/>
  <c r="AT22" i="9" s="1"/>
  <c r="AT24" i="9" s="1"/>
  <c r="AT60" i="9" s="1"/>
  <c r="AT55" i="11"/>
  <c r="AU19" i="9" s="1"/>
  <c r="AU22" i="9" s="1"/>
  <c r="AU24" i="9" s="1"/>
  <c r="AU60" i="9" s="1"/>
  <c r="AW55" i="11"/>
  <c r="AX19" i="9" s="1"/>
  <c r="AX22" i="9" s="1"/>
  <c r="AX24" i="9" s="1"/>
  <c r="AX60" i="9" s="1"/>
  <c r="V17" i="11"/>
  <c r="W17" i="11"/>
  <c r="X17" i="11"/>
  <c r="Y17" i="11"/>
  <c r="Z17" i="11"/>
  <c r="AA17" i="11"/>
  <c r="AB17" i="11"/>
  <c r="AC17" i="11"/>
  <c r="AD17" i="11"/>
  <c r="AE17" i="11"/>
  <c r="AF17" i="11"/>
  <c r="AG17" i="11"/>
  <c r="AH17" i="11"/>
  <c r="AI17" i="11"/>
  <c r="AJ17" i="11"/>
  <c r="AK17" i="11"/>
  <c r="AL17" i="11"/>
  <c r="AM17" i="11"/>
  <c r="AN17" i="11"/>
  <c r="AO17" i="11"/>
  <c r="AP17" i="11"/>
  <c r="AQ17" i="11"/>
  <c r="AR17" i="11"/>
  <c r="AS17" i="11"/>
  <c r="AT17" i="11"/>
  <c r="AU17" i="11"/>
  <c r="AV17" i="11"/>
  <c r="AW17"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V22" i="8"/>
  <c r="W22" i="8"/>
  <c r="X22" i="8"/>
  <c r="Y22" i="8"/>
  <c r="Z22" i="8"/>
  <c r="AA22" i="8"/>
  <c r="AB22" i="8"/>
  <c r="AB28" i="8" s="1"/>
  <c r="AC22" i="8"/>
  <c r="AC26" i="8" s="1"/>
  <c r="AD22" i="8"/>
  <c r="AE22" i="8"/>
  <c r="AF22" i="8"/>
  <c r="AG22" i="8"/>
  <c r="AH22" i="8"/>
  <c r="AI22" i="8"/>
  <c r="AI28" i="8" s="1"/>
  <c r="AJ22" i="8"/>
  <c r="AJ28" i="8" s="1"/>
  <c r="AK22" i="8"/>
  <c r="AK26" i="8" s="1"/>
  <c r="AL22" i="8"/>
  <c r="AM22" i="8"/>
  <c r="AN22" i="8"/>
  <c r="AO22" i="8"/>
  <c r="AP22" i="8"/>
  <c r="AQ22" i="8"/>
  <c r="AQ28" i="8" s="1"/>
  <c r="AR22" i="8"/>
  <c r="AR28" i="8" s="1"/>
  <c r="AS22" i="8"/>
  <c r="AT22" i="8"/>
  <c r="AU22" i="8"/>
  <c r="AV22" i="8"/>
  <c r="AW22"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V24" i="8"/>
  <c r="V26" i="8" s="1"/>
  <c r="W24" i="8"/>
  <c r="X24" i="8"/>
  <c r="Y24" i="8"/>
  <c r="Z24" i="8"/>
  <c r="Z27" i="8" s="1"/>
  <c r="AA24" i="8"/>
  <c r="AA27" i="8" s="1"/>
  <c r="AB24" i="8"/>
  <c r="AB27" i="8" s="1"/>
  <c r="AC24" i="8"/>
  <c r="AC27" i="8" s="1"/>
  <c r="AC30" i="8" s="1"/>
  <c r="AD24" i="8"/>
  <c r="AD26" i="8" s="1"/>
  <c r="AE24" i="8"/>
  <c r="AF24" i="8"/>
  <c r="AG24" i="8"/>
  <c r="AH24" i="8"/>
  <c r="AH27" i="8" s="1"/>
  <c r="AI24" i="8"/>
  <c r="AI27" i="8" s="1"/>
  <c r="AJ24" i="8"/>
  <c r="AJ27" i="8" s="1"/>
  <c r="AK24" i="8"/>
  <c r="AK27" i="8" s="1"/>
  <c r="AK30" i="8" s="1"/>
  <c r="AL24" i="8"/>
  <c r="AL26" i="8" s="1"/>
  <c r="AM24" i="8"/>
  <c r="AN24" i="8"/>
  <c r="AO24" i="8"/>
  <c r="AP24" i="8"/>
  <c r="AP27" i="8" s="1"/>
  <c r="AQ24" i="8"/>
  <c r="AR24" i="8"/>
  <c r="AR27" i="8" s="1"/>
  <c r="AS24" i="8"/>
  <c r="AS27" i="8" s="1"/>
  <c r="AS30" i="8" s="1"/>
  <c r="AT24" i="8"/>
  <c r="AT26" i="8" s="1"/>
  <c r="AU24" i="8"/>
  <c r="AV24" i="8"/>
  <c r="AW24" i="8"/>
  <c r="V25" i="8"/>
  <c r="V28" i="8" s="1"/>
  <c r="W25" i="8"/>
  <c r="W28" i="8" s="1"/>
  <c r="X25" i="8"/>
  <c r="X28" i="8" s="1"/>
  <c r="Y25" i="8"/>
  <c r="Y28" i="8" s="1"/>
  <c r="Z25" i="8"/>
  <c r="Z29" i="8" s="1"/>
  <c r="AA25" i="8"/>
  <c r="AB25" i="8"/>
  <c r="AC25" i="8"/>
  <c r="AD25" i="8"/>
  <c r="AE25" i="8"/>
  <c r="AF25" i="8"/>
  <c r="AG25" i="8"/>
  <c r="AG28" i="8" s="1"/>
  <c r="AH25" i="8"/>
  <c r="AI25" i="8"/>
  <c r="AJ25" i="8"/>
  <c r="AK25" i="8"/>
  <c r="AL25" i="8"/>
  <c r="AM25" i="8"/>
  <c r="AM28" i="8" s="1"/>
  <c r="AN25" i="8"/>
  <c r="AN29" i="8" s="1"/>
  <c r="AO25" i="8"/>
  <c r="AO28" i="8" s="1"/>
  <c r="AP25" i="8"/>
  <c r="AQ25" i="8"/>
  <c r="AR25" i="8"/>
  <c r="AS25" i="8"/>
  <c r="AT25" i="8"/>
  <c r="AT28" i="8" s="1"/>
  <c r="AU25" i="8"/>
  <c r="AU28" i="8" s="1"/>
  <c r="AV25" i="8"/>
  <c r="AW25" i="8"/>
  <c r="AW28" i="8" s="1"/>
  <c r="Z26" i="8"/>
  <c r="AP26" i="8"/>
  <c r="AS26" i="8"/>
  <c r="V27" i="8"/>
  <c r="AD27" i="8"/>
  <c r="AL27" i="8"/>
  <c r="AQ27" i="8"/>
  <c r="AD28" i="8"/>
  <c r="AE28" i="8"/>
  <c r="AF28" i="8"/>
  <c r="AL28" i="8"/>
  <c r="AA29" i="8"/>
  <c r="AH29" i="8"/>
  <c r="AI29" i="8"/>
  <c r="AP29" i="8"/>
  <c r="AQ29" i="8"/>
  <c r="W39" i="9"/>
  <c r="X39" i="9"/>
  <c r="Y39" i="9"/>
  <c r="Z39" i="9"/>
  <c r="AA39" i="9"/>
  <c r="AB39" i="9"/>
  <c r="AC39" i="9"/>
  <c r="AD39" i="9"/>
  <c r="AE39" i="9"/>
  <c r="AF39" i="9"/>
  <c r="AG39" i="9"/>
  <c r="AH39" i="9"/>
  <c r="AI39" i="9"/>
  <c r="AJ39" i="9"/>
  <c r="AK39" i="9"/>
  <c r="AL39" i="9"/>
  <c r="AM39" i="9"/>
  <c r="AN39" i="9"/>
  <c r="AO39" i="9"/>
  <c r="AP39" i="9"/>
  <c r="AQ39" i="9"/>
  <c r="AR39" i="9"/>
  <c r="AS39" i="9"/>
  <c r="AT39" i="9"/>
  <c r="AU39" i="9"/>
  <c r="AV39" i="9"/>
  <c r="AW39" i="9"/>
  <c r="AX39" i="9"/>
  <c r="W40" i="9"/>
  <c r="X40" i="9"/>
  <c r="Y40" i="9"/>
  <c r="Z40" i="9"/>
  <c r="AA40" i="9"/>
  <c r="AB40" i="9"/>
  <c r="AC40" i="9"/>
  <c r="AD40" i="9"/>
  <c r="AE40" i="9"/>
  <c r="AF40" i="9"/>
  <c r="AG40" i="9"/>
  <c r="AH40" i="9"/>
  <c r="AI40" i="9"/>
  <c r="AJ40" i="9"/>
  <c r="AK40" i="9"/>
  <c r="AL40" i="9"/>
  <c r="AM40" i="9"/>
  <c r="AN40" i="9"/>
  <c r="AO40" i="9"/>
  <c r="AP40" i="9"/>
  <c r="AQ40" i="9"/>
  <c r="AR40" i="9"/>
  <c r="AS40" i="9"/>
  <c r="AT40" i="9"/>
  <c r="AU40" i="9"/>
  <c r="AV40" i="9"/>
  <c r="AW40" i="9"/>
  <c r="AX40" i="9"/>
  <c r="T45" i="11"/>
  <c r="AP57" i="11" l="1"/>
  <c r="AC13" i="9"/>
  <c r="AC16" i="9" s="1"/>
  <c r="AC18" i="9" s="1"/>
  <c r="AC59" i="9" s="1"/>
  <c r="AB57" i="11"/>
  <c r="Y13" i="9"/>
  <c r="Y16" i="9" s="1"/>
  <c r="Y18" i="9" s="1"/>
  <c r="Y59" i="9" s="1"/>
  <c r="X57" i="11"/>
  <c r="X13" i="9"/>
  <c r="X16" i="9" s="1"/>
  <c r="X18" i="9" s="1"/>
  <c r="X59" i="9" s="1"/>
  <c r="W57" i="11"/>
  <c r="AV57" i="11"/>
  <c r="AN57" i="11"/>
  <c r="AF57" i="11"/>
  <c r="AQ13" i="9"/>
  <c r="AQ16" i="9" s="1"/>
  <c r="AQ18" i="9" s="1"/>
  <c r="AQ59" i="9" s="1"/>
  <c r="AI13" i="9"/>
  <c r="AI16" i="9" s="1"/>
  <c r="AI18" i="9" s="1"/>
  <c r="AI59" i="9" s="1"/>
  <c r="AA13" i="9"/>
  <c r="AA16" i="9" s="1"/>
  <c r="AA18" i="9" s="1"/>
  <c r="AA59" i="9" s="1"/>
  <c r="AU57" i="11"/>
  <c r="AM57" i="11"/>
  <c r="AE57" i="11"/>
  <c r="AX13" i="9"/>
  <c r="AX16" i="9" s="1"/>
  <c r="AX18" i="9" s="1"/>
  <c r="AX59" i="9" s="1"/>
  <c r="AP13" i="9"/>
  <c r="AP16" i="9" s="1"/>
  <c r="AP18" i="9" s="1"/>
  <c r="AP59" i="9" s="1"/>
  <c r="AH13" i="9"/>
  <c r="AH16" i="9" s="1"/>
  <c r="AH18" i="9" s="1"/>
  <c r="AH59" i="9" s="1"/>
  <c r="Z13" i="9"/>
  <c r="Z16" i="9" s="1"/>
  <c r="Z18" i="9" s="1"/>
  <c r="Z59" i="9" s="1"/>
  <c r="AT57" i="11"/>
  <c r="AL57" i="11"/>
  <c r="AD57" i="11"/>
  <c r="V57" i="11"/>
  <c r="AS57" i="11"/>
  <c r="AK57" i="11"/>
  <c r="AC57" i="11"/>
  <c r="AR57" i="11"/>
  <c r="AJ57" i="11"/>
  <c r="AQ57" i="11"/>
  <c r="AI57" i="11"/>
  <c r="AA57" i="11"/>
  <c r="AG29" i="8"/>
  <c r="AA28" i="8"/>
  <c r="X29" i="8"/>
  <c r="AJ26" i="8"/>
  <c r="Y29" i="8"/>
  <c r="AI26" i="8"/>
  <c r="AI30" i="8" s="1"/>
  <c r="AI33" i="8" s="1"/>
  <c r="AW27" i="8"/>
  <c r="AO27" i="8"/>
  <c r="AG27" i="8"/>
  <c r="Y27" i="8"/>
  <c r="AW29" i="8"/>
  <c r="AW31" i="8" s="1"/>
  <c r="AW34" i="8" s="1"/>
  <c r="AF29" i="8"/>
  <c r="AT27" i="8"/>
  <c r="AH26" i="8"/>
  <c r="AV28" i="8"/>
  <c r="AV31" i="8" s="1"/>
  <c r="AV34" i="8" s="1"/>
  <c r="AN28" i="8"/>
  <c r="AN31" i="8" s="1"/>
  <c r="AN34" i="8" s="1"/>
  <c r="AO29" i="8"/>
  <c r="AV29" i="8"/>
  <c r="AJ30" i="8"/>
  <c r="AJ33" i="8" s="1"/>
  <c r="AO31" i="8"/>
  <c r="AO34" i="8" s="1"/>
  <c r="AR47" i="9" s="1"/>
  <c r="AR58" i="9" s="1"/>
  <c r="Y31" i="8"/>
  <c r="Y34" i="8" s="1"/>
  <c r="AK28" i="8"/>
  <c r="AU29" i="8"/>
  <c r="AM29" i="8"/>
  <c r="AM31" i="8" s="1"/>
  <c r="AM34" i="8" s="1"/>
  <c r="AE29" i="8"/>
  <c r="AE31" i="8" s="1"/>
  <c r="AE34" i="8" s="1"/>
  <c r="AH47" i="9" s="1"/>
  <c r="AH58" i="9" s="1"/>
  <c r="W29" i="8"/>
  <c r="AQ31" i="8"/>
  <c r="AQ34" i="8" s="1"/>
  <c r="AI31" i="8"/>
  <c r="AI34" i="8" s="1"/>
  <c r="AA31" i="8"/>
  <c r="AA34" i="8" s="1"/>
  <c r="AD49" i="9" s="1"/>
  <c r="AG31" i="8"/>
  <c r="AG34" i="8" s="1"/>
  <c r="AJ49" i="9" s="1"/>
  <c r="AS28" i="8"/>
  <c r="AC28" i="8"/>
  <c r="AF31" i="8"/>
  <c r="AF34" i="8" s="1"/>
  <c r="AP30" i="8"/>
  <c r="AP33" i="8" s="1"/>
  <c r="AH30" i="8"/>
  <c r="AH32" i="8" s="1"/>
  <c r="Z30" i="8"/>
  <c r="Z33" i="8" s="1"/>
  <c r="AT29" i="8"/>
  <c r="AT31" i="8" s="1"/>
  <c r="AT34" i="8" s="1"/>
  <c r="AL29" i="8"/>
  <c r="AL31" i="8" s="1"/>
  <c r="AL34" i="8" s="1"/>
  <c r="AD29" i="8"/>
  <c r="AD31" i="8" s="1"/>
  <c r="AD34" i="8" s="1"/>
  <c r="V29" i="8"/>
  <c r="V31" i="8" s="1"/>
  <c r="V34" i="8" s="1"/>
  <c r="AP28" i="8"/>
  <c r="AP31" i="8" s="1"/>
  <c r="AP34" i="8" s="1"/>
  <c r="AS47" i="9" s="1"/>
  <c r="AS58" i="9" s="1"/>
  <c r="AH28" i="8"/>
  <c r="AH31" i="8" s="1"/>
  <c r="AH34" i="8" s="1"/>
  <c r="AK47" i="9" s="1"/>
  <c r="AK58" i="9" s="1"/>
  <c r="Z28" i="8"/>
  <c r="Z31" i="8" s="1"/>
  <c r="Z34" i="8" s="1"/>
  <c r="AC47" i="9" s="1"/>
  <c r="AC58" i="9" s="1"/>
  <c r="W31" i="8"/>
  <c r="W34" i="8" s="1"/>
  <c r="AR26" i="8"/>
  <c r="AR30" i="8" s="1"/>
  <c r="AR33" i="8" s="1"/>
  <c r="AV27" i="8"/>
  <c r="X27" i="8"/>
  <c r="AJ29" i="8"/>
  <c r="AB29" i="8"/>
  <c r="AQ26" i="8"/>
  <c r="AQ30" i="8" s="1"/>
  <c r="AQ33" i="8" s="1"/>
  <c r="AA26" i="8"/>
  <c r="AA30" i="8" s="1"/>
  <c r="AA33" i="8" s="1"/>
  <c r="AU27" i="8"/>
  <c r="AM27" i="8"/>
  <c r="AE27" i="8"/>
  <c r="W27" i="8"/>
  <c r="AU31" i="8"/>
  <c r="AU34" i="8" s="1"/>
  <c r="X31" i="8"/>
  <c r="X34" i="8" s="1"/>
  <c r="AS29" i="8"/>
  <c r="AK29" i="8"/>
  <c r="AC29" i="8"/>
  <c r="AC31" i="8" s="1"/>
  <c r="AC34" i="8" s="1"/>
  <c r="AF47" i="9" s="1"/>
  <c r="AF58" i="9" s="1"/>
  <c r="AB26" i="8"/>
  <c r="AB30" i="8" s="1"/>
  <c r="AB33" i="8" s="1"/>
  <c r="AN27" i="8"/>
  <c r="AF27" i="8"/>
  <c r="AR29" i="8"/>
  <c r="AR31" i="8" s="1"/>
  <c r="AR34" i="8" s="1"/>
  <c r="AT30" i="8"/>
  <c r="AT32" i="8" s="1"/>
  <c r="AL30" i="8"/>
  <c r="AL33" i="8" s="1"/>
  <c r="AD30" i="8"/>
  <c r="AD33" i="8" s="1"/>
  <c r="V30" i="8"/>
  <c r="V32" i="8" s="1"/>
  <c r="AS33" i="8"/>
  <c r="AC33" i="8"/>
  <c r="AK33" i="8"/>
  <c r="AP32" i="8"/>
  <c r="AT33" i="8"/>
  <c r="AJ31" i="8"/>
  <c r="AJ34" i="8" s="1"/>
  <c r="AB31" i="8"/>
  <c r="AB34" i="8" s="1"/>
  <c r="AE47" i="9" s="1"/>
  <c r="AE58" i="9" s="1"/>
  <c r="V33" i="8"/>
  <c r="AO26" i="8"/>
  <c r="AG26" i="8"/>
  <c r="AG30" i="8" s="1"/>
  <c r="AV26" i="8"/>
  <c r="AV30" i="8" s="1"/>
  <c r="AN26" i="8"/>
  <c r="AN30" i="8" s="1"/>
  <c r="AF26" i="8"/>
  <c r="X26" i="8"/>
  <c r="X30" i="8" s="1"/>
  <c r="AW26" i="8"/>
  <c r="AW30" i="8" s="1"/>
  <c r="Y26" i="8"/>
  <c r="Y30" i="8" s="1"/>
  <c r="AU26" i="8"/>
  <c r="AM26" i="8"/>
  <c r="AE26" i="8"/>
  <c r="AE30" i="8" s="1"/>
  <c r="W26" i="8"/>
  <c r="AA47" i="9"/>
  <c r="AA58" i="9" s="1"/>
  <c r="AX47" i="9"/>
  <c r="AX58" i="9" s="1"/>
  <c r="AW47" i="9"/>
  <c r="AW58" i="9" s="1"/>
  <c r="Y47" i="9"/>
  <c r="Y58" i="9" s="1"/>
  <c r="AF46" i="9"/>
  <c r="AF57" i="9" s="1"/>
  <c r="AL46" i="9"/>
  <c r="AL57" i="9" s="1"/>
  <c r="AR46" i="9"/>
  <c r="AR57" i="9" s="1"/>
  <c r="AJ46" i="9"/>
  <c r="AJ57" i="9" s="1"/>
  <c r="AB46" i="9"/>
  <c r="AB57" i="9" s="1"/>
  <c r="AV46" i="9"/>
  <c r="AV57" i="9" s="1"/>
  <c r="X46" i="9"/>
  <c r="X57" i="9" s="1"/>
  <c r="AU46" i="9"/>
  <c r="AU57" i="9" s="1"/>
  <c r="AM46" i="9"/>
  <c r="AM57" i="9" s="1"/>
  <c r="AE46" i="9"/>
  <c r="AE57" i="9" s="1"/>
  <c r="W46" i="9"/>
  <c r="W57" i="9" s="1"/>
  <c r="X47" i="9"/>
  <c r="X58" i="9" s="1"/>
  <c r="AT46" i="9"/>
  <c r="AT57" i="9" s="1"/>
  <c r="AD46" i="9"/>
  <c r="AD57" i="9" s="1"/>
  <c r="AS46" i="9"/>
  <c r="AS57" i="9" s="1"/>
  <c r="AK46" i="9"/>
  <c r="AK57" i="9" s="1"/>
  <c r="AC46" i="9"/>
  <c r="AC57" i="9" s="1"/>
  <c r="W47" i="9"/>
  <c r="W58" i="9" s="1"/>
  <c r="AQ46" i="9"/>
  <c r="AQ57" i="9" s="1"/>
  <c r="AI46" i="9"/>
  <c r="AI57" i="9" s="1"/>
  <c r="AN46" i="9"/>
  <c r="AN57" i="9" s="1"/>
  <c r="AP46" i="9"/>
  <c r="AP57" i="9" s="1"/>
  <c r="AH46" i="9"/>
  <c r="AH57" i="9" s="1"/>
  <c r="Z46" i="9"/>
  <c r="Z57" i="9" s="1"/>
  <c r="AW46" i="9"/>
  <c r="AW57" i="9" s="1"/>
  <c r="AO46" i="9"/>
  <c r="AO57" i="9" s="1"/>
  <c r="AG46" i="9"/>
  <c r="AG57" i="9" s="1"/>
  <c r="Y46" i="9"/>
  <c r="Y57" i="9" s="1"/>
  <c r="AR48" i="9"/>
  <c r="AJ48" i="9"/>
  <c r="AB48" i="9"/>
  <c r="AT48" i="9"/>
  <c r="W49" i="9"/>
  <c r="AQ48" i="9"/>
  <c r="AI48" i="9"/>
  <c r="AD48" i="9"/>
  <c r="AK48" i="9"/>
  <c r="AP48" i="9"/>
  <c r="AH48" i="9"/>
  <c r="Z48" i="9"/>
  <c r="AS48" i="9"/>
  <c r="AW48" i="9"/>
  <c r="AO48" i="9"/>
  <c r="AG48" i="9"/>
  <c r="Y48" i="9"/>
  <c r="AL48" i="9"/>
  <c r="AC48" i="9"/>
  <c r="AV48" i="9"/>
  <c r="AN48" i="9"/>
  <c r="AF48" i="9"/>
  <c r="X48" i="9"/>
  <c r="AU48" i="9"/>
  <c r="AM48" i="9"/>
  <c r="AE48" i="9"/>
  <c r="W48" i="9"/>
  <c r="R17" i="11"/>
  <c r="AX48" i="9" l="1"/>
  <c r="AX46" i="9"/>
  <c r="AX57" i="9" s="1"/>
  <c r="AA48" i="9"/>
  <c r="AA46" i="9"/>
  <c r="AA57" i="9" s="1"/>
  <c r="AI49" i="9"/>
  <c r="AR49" i="9"/>
  <c r="AA49" i="9"/>
  <c r="AO49" i="9"/>
  <c r="AW49" i="9"/>
  <c r="AO47" i="9"/>
  <c r="AO58" i="9" s="1"/>
  <c r="AT49" i="9"/>
  <c r="AI47" i="9"/>
  <c r="AI58" i="9" s="1"/>
  <c r="AX49" i="9"/>
  <c r="AS49" i="9"/>
  <c r="AJ47" i="9"/>
  <c r="AJ58" i="9" s="1"/>
  <c r="Y49" i="9"/>
  <c r="AE49" i="9"/>
  <c r="AC49" i="9"/>
  <c r="AU49" i="9"/>
  <c r="AU47" i="9"/>
  <c r="AU58" i="9" s="1"/>
  <c r="AK31" i="8"/>
  <c r="AD32" i="8"/>
  <c r="AD47" i="9"/>
  <c r="AD58" i="9" s="1"/>
  <c r="AS31" i="8"/>
  <c r="AS34" i="8" s="1"/>
  <c r="AV49" i="9" s="1"/>
  <c r="AU30" i="8"/>
  <c r="AU33" i="8" s="1"/>
  <c r="AO30" i="8"/>
  <c r="AL32" i="8"/>
  <c r="AQ47" i="9"/>
  <c r="AQ58" i="9" s="1"/>
  <c r="AQ49" i="9"/>
  <c r="AK34" i="8"/>
  <c r="AK32" i="8"/>
  <c r="AG49" i="9"/>
  <c r="AG47" i="9"/>
  <c r="AG58" i="9" s="1"/>
  <c r="AP49" i="9"/>
  <c r="AP47" i="9"/>
  <c r="AP58" i="9" s="1"/>
  <c r="AB47" i="9"/>
  <c r="AB58" i="9" s="1"/>
  <c r="AM30" i="8"/>
  <c r="AM33" i="8" s="1"/>
  <c r="AF30" i="8"/>
  <c r="AF33" i="8" s="1"/>
  <c r="AL47" i="9"/>
  <c r="AL58" i="9" s="1"/>
  <c r="AA32" i="8"/>
  <c r="AB49" i="9"/>
  <c r="AK49" i="9"/>
  <c r="AL49" i="9"/>
  <c r="AT47" i="9"/>
  <c r="AT58" i="9" s="1"/>
  <c r="AI32" i="8"/>
  <c r="AB32" i="8"/>
  <c r="AQ32" i="8"/>
  <c r="AR32" i="8"/>
  <c r="Z32" i="8"/>
  <c r="AH33" i="8"/>
  <c r="X49" i="9"/>
  <c r="W30" i="8"/>
  <c r="W33" i="8" s="1"/>
  <c r="W32" i="8"/>
  <c r="AE33" i="8"/>
  <c r="AE32" i="8"/>
  <c r="AW32" i="8"/>
  <c r="AW33" i="8"/>
  <c r="AG32" i="8"/>
  <c r="AG33" i="8"/>
  <c r="Y32" i="8"/>
  <c r="Y33" i="8"/>
  <c r="AM47" i="9"/>
  <c r="AM58" i="9" s="1"/>
  <c r="X33" i="8"/>
  <c r="X32" i="8"/>
  <c r="AO32" i="8"/>
  <c r="AO33" i="8"/>
  <c r="AC32" i="8"/>
  <c r="AF32" i="8"/>
  <c r="AM49" i="9"/>
  <c r="Z47" i="9"/>
  <c r="Z58" i="9" s="1"/>
  <c r="AN32" i="8"/>
  <c r="AN33" i="8"/>
  <c r="AV32" i="8"/>
  <c r="AV33" i="8"/>
  <c r="AF49" i="9"/>
  <c r="AJ32" i="8"/>
  <c r="AH49" i="9"/>
  <c r="Z49" i="9"/>
  <c r="U16" i="21"/>
  <c r="AM32" i="8" l="1"/>
  <c r="AU32" i="8"/>
  <c r="AV47" i="9"/>
  <c r="AV58" i="9" s="1"/>
  <c r="AS32" i="8"/>
  <c r="AN47" i="9"/>
  <c r="AN58" i="9" s="1"/>
  <c r="AN49" i="9"/>
  <c r="M29" i="9"/>
  <c r="N29" i="9"/>
  <c r="O29" i="9"/>
  <c r="P29" i="9"/>
  <c r="Q29" i="9"/>
  <c r="R29" i="9"/>
  <c r="S29" i="9"/>
  <c r="T29" i="9"/>
  <c r="U29" i="9"/>
  <c r="V29" i="9"/>
  <c r="M30" i="9"/>
  <c r="N30" i="9"/>
  <c r="O30" i="9"/>
  <c r="P30" i="9"/>
  <c r="Q30" i="9"/>
  <c r="R30" i="9"/>
  <c r="S30" i="9"/>
  <c r="T30" i="9"/>
  <c r="U30" i="9"/>
  <c r="V30" i="9"/>
  <c r="L30" i="9"/>
  <c r="L29" i="9"/>
  <c r="J30" i="9"/>
  <c r="J29" i="9"/>
  <c r="F23" i="8" l="1"/>
  <c r="F24" i="8"/>
  <c r="T16" i="21"/>
  <c r="K24" i="8"/>
  <c r="L20" i="8"/>
  <c r="F27" i="8" l="1"/>
  <c r="R47" i="11"/>
  <c r="R23" i="8" l="1"/>
  <c r="R13" i="8"/>
  <c r="R22" i="8" s="1"/>
  <c r="Q22" i="8" l="1"/>
  <c r="R16" i="21"/>
  <c r="S31" i="9"/>
  <c r="T31" i="9"/>
  <c r="U31" i="9"/>
  <c r="V31" i="9"/>
  <c r="E54" i="9" l="1"/>
  <c r="O31" i="9"/>
  <c r="O39" i="9" s="1"/>
  <c r="O32" i="9"/>
  <c r="O40" i="9" s="1"/>
  <c r="J32" i="9" l="1"/>
  <c r="J40" i="9" s="1"/>
  <c r="J31" i="9"/>
  <c r="J39" i="9" s="1"/>
  <c r="M32" i="9"/>
  <c r="M40" i="9" s="1"/>
  <c r="N32" i="9"/>
  <c r="N40" i="9" s="1"/>
  <c r="P32" i="9"/>
  <c r="Q32" i="9"/>
  <c r="R32" i="9"/>
  <c r="S32" i="9"/>
  <c r="T32" i="9"/>
  <c r="U32" i="9"/>
  <c r="V32" i="9"/>
  <c r="L32" i="9"/>
  <c r="L40" i="9" s="1"/>
  <c r="M31" i="9"/>
  <c r="M39" i="9" s="1"/>
  <c r="N31" i="9"/>
  <c r="N39" i="9" s="1"/>
  <c r="P31" i="9"/>
  <c r="Q31" i="9"/>
  <c r="R31" i="9"/>
  <c r="L31" i="9"/>
  <c r="L39" i="9" s="1"/>
  <c r="O16" i="21" l="1"/>
  <c r="N17" i="13"/>
  <c r="N19" i="13" s="1"/>
  <c r="O21" i="9" s="1"/>
  <c r="N16" i="13"/>
  <c r="N18" i="13" s="1"/>
  <c r="N49" i="11"/>
  <c r="N48" i="11"/>
  <c r="N47" i="11"/>
  <c r="N46" i="11"/>
  <c r="N45" i="11"/>
  <c r="N44" i="11"/>
  <c r="N43" i="11"/>
  <c r="N42" i="11"/>
  <c r="N41" i="11"/>
  <c r="N51" i="11" s="1"/>
  <c r="N40" i="11"/>
  <c r="N50" i="11" s="1"/>
  <c r="N25" i="8"/>
  <c r="N24" i="8"/>
  <c r="N23" i="8"/>
  <c r="N22" i="8"/>
  <c r="N21" i="8"/>
  <c r="N20" i="8"/>
  <c r="N29" i="8" l="1"/>
  <c r="N26" i="8"/>
  <c r="N27" i="8"/>
  <c r="N28" i="8"/>
  <c r="N31" i="8" s="1"/>
  <c r="N34" i="8" s="1"/>
  <c r="O20" i="9" s="1"/>
  <c r="N52" i="11"/>
  <c r="N54" i="11" s="1"/>
  <c r="N53" i="11"/>
  <c r="N55" i="11" s="1"/>
  <c r="O19" i="9" s="1"/>
  <c r="N21" i="13"/>
  <c r="O15" i="9"/>
  <c r="N30" i="8" l="1"/>
  <c r="N33" i="8" s="1"/>
  <c r="O22" i="9"/>
  <c r="O13" i="9"/>
  <c r="N57" i="11"/>
  <c r="G46" i="11"/>
  <c r="N32" i="8" l="1"/>
  <c r="N36" i="8"/>
  <c r="O14" i="9"/>
  <c r="O16" i="9" s="1"/>
  <c r="L21" i="8"/>
  <c r="M21" i="8"/>
  <c r="O21" i="8"/>
  <c r="P21" i="8"/>
  <c r="Q21" i="8"/>
  <c r="R21" i="8"/>
  <c r="S21" i="8"/>
  <c r="T21" i="8"/>
  <c r="U21" i="8"/>
  <c r="K21" i="8"/>
  <c r="H21" i="8"/>
  <c r="I21" i="8"/>
  <c r="G21" i="8"/>
  <c r="F21" i="8"/>
  <c r="M20" i="8"/>
  <c r="O20" i="8"/>
  <c r="P20" i="8"/>
  <c r="Q20" i="8"/>
  <c r="R20" i="8"/>
  <c r="S20" i="8"/>
  <c r="T20" i="8"/>
  <c r="U20" i="8"/>
  <c r="K20" i="8"/>
  <c r="H20" i="8"/>
  <c r="I20" i="8"/>
  <c r="G20" i="8"/>
  <c r="F20" i="8"/>
  <c r="F22" i="8"/>
  <c r="F26" i="8" s="1"/>
  <c r="F30" i="8" s="1"/>
  <c r="M47" i="11" l="1"/>
  <c r="L47" i="11"/>
  <c r="L49" i="11"/>
  <c r="L45" i="11"/>
  <c r="L46" i="11"/>
  <c r="K46" i="11"/>
  <c r="K44" i="11"/>
  <c r="M46" i="11"/>
  <c r="M48" i="11"/>
  <c r="L48" i="11"/>
  <c r="P48" i="11"/>
  <c r="M49" i="11"/>
  <c r="P49" i="11"/>
  <c r="J49" i="11"/>
  <c r="J48" i="11"/>
  <c r="E53" i="9" l="1"/>
  <c r="L19" i="11" l="1"/>
  <c r="N19" i="11"/>
  <c r="P19" i="11"/>
  <c r="R19" i="11"/>
  <c r="S19" i="11"/>
  <c r="T19" i="11"/>
  <c r="U19" i="11"/>
  <c r="M17" i="11"/>
  <c r="O17" i="11"/>
  <c r="Q17" i="11"/>
  <c r="S17" i="11"/>
  <c r="T17" i="11"/>
  <c r="U17" i="11"/>
  <c r="K19" i="11"/>
  <c r="R49" i="11" l="1"/>
  <c r="R48" i="11"/>
  <c r="Q48" i="11"/>
  <c r="Q49" i="11"/>
  <c r="U49" i="11"/>
  <c r="U48" i="11"/>
  <c r="T48" i="11"/>
  <c r="T49" i="11"/>
  <c r="S49" i="11"/>
  <c r="S48" i="11"/>
  <c r="O48" i="11"/>
  <c r="O49" i="11"/>
  <c r="K49" i="11"/>
  <c r="K48" i="11"/>
  <c r="D37" i="19" l="1"/>
  <c r="C37" i="19"/>
  <c r="D23" i="19"/>
  <c r="C23" i="19"/>
  <c r="D11" i="19"/>
  <c r="C11" i="19"/>
  <c r="S16" i="21"/>
  <c r="Q16" i="21"/>
  <c r="P16" i="21"/>
  <c r="N16" i="21"/>
  <c r="M16" i="21"/>
  <c r="L16" i="21"/>
  <c r="J16" i="21"/>
  <c r="I16" i="21"/>
  <c r="H16" i="21"/>
  <c r="G16" i="21"/>
  <c r="F16" i="21"/>
  <c r="E16" i="21"/>
  <c r="D16" i="21"/>
  <c r="C16" i="21"/>
  <c r="U17" i="13"/>
  <c r="U19" i="13" s="1"/>
  <c r="T17" i="13"/>
  <c r="T19" i="13" s="1"/>
  <c r="U21" i="9" s="1"/>
  <c r="S17" i="13"/>
  <c r="S19" i="13" s="1"/>
  <c r="T21" i="9" s="1"/>
  <c r="R17" i="13"/>
  <c r="R19" i="13" s="1"/>
  <c r="S21" i="9" s="1"/>
  <c r="Q17" i="13"/>
  <c r="Q19" i="13" s="1"/>
  <c r="R21" i="9" s="1"/>
  <c r="P17" i="13"/>
  <c r="P19" i="13" s="1"/>
  <c r="Q21" i="9" s="1"/>
  <c r="O17" i="13"/>
  <c r="O19" i="13" s="1"/>
  <c r="P21" i="9" s="1"/>
  <c r="M17" i="13"/>
  <c r="M19" i="13" s="1"/>
  <c r="N21" i="9" s="1"/>
  <c r="L17" i="13"/>
  <c r="L19" i="13" s="1"/>
  <c r="M21" i="9" s="1"/>
  <c r="K17" i="13"/>
  <c r="K19" i="13" s="1"/>
  <c r="I17" i="13"/>
  <c r="I19" i="13" s="1"/>
  <c r="H17" i="13"/>
  <c r="H19" i="13" s="1"/>
  <c r="I21" i="9" s="1"/>
  <c r="G17" i="13"/>
  <c r="G19" i="13" s="1"/>
  <c r="H21" i="9" s="1"/>
  <c r="F17" i="13"/>
  <c r="F19" i="13" s="1"/>
  <c r="G21" i="9" s="1"/>
  <c r="T18" i="13"/>
  <c r="S16" i="13"/>
  <c r="S18" i="13" s="1"/>
  <c r="R16" i="13"/>
  <c r="R18" i="13" s="1"/>
  <c r="Q16" i="13"/>
  <c r="Q18" i="13" s="1"/>
  <c r="P16" i="13"/>
  <c r="P18" i="13" s="1"/>
  <c r="Q15" i="9" s="1"/>
  <c r="O16" i="13"/>
  <c r="O18" i="13" s="1"/>
  <c r="M16" i="13"/>
  <c r="M18" i="13" s="1"/>
  <c r="L16" i="13"/>
  <c r="L18" i="13" s="1"/>
  <c r="M15" i="9" s="1"/>
  <c r="K16" i="13"/>
  <c r="K18" i="13" s="1"/>
  <c r="L15" i="9" s="1"/>
  <c r="I16" i="13"/>
  <c r="I18" i="13" s="1"/>
  <c r="J15" i="9" s="1"/>
  <c r="H16" i="13"/>
  <c r="H18" i="13" s="1"/>
  <c r="G16" i="13"/>
  <c r="G18" i="13" s="1"/>
  <c r="F16" i="13"/>
  <c r="F18" i="13" s="1"/>
  <c r="U47" i="11"/>
  <c r="T47" i="11"/>
  <c r="S47" i="11"/>
  <c r="Q47" i="11"/>
  <c r="P47" i="11"/>
  <c r="O47" i="11"/>
  <c r="H47" i="11"/>
  <c r="G47" i="11"/>
  <c r="F47" i="11"/>
  <c r="U46" i="11"/>
  <c r="T46" i="11"/>
  <c r="S46" i="11"/>
  <c r="R46" i="11"/>
  <c r="Q46" i="11"/>
  <c r="P46" i="11"/>
  <c r="O46" i="11"/>
  <c r="H46" i="11"/>
  <c r="F46" i="11"/>
  <c r="U45" i="11"/>
  <c r="S45" i="11"/>
  <c r="R45" i="11"/>
  <c r="Q45" i="11"/>
  <c r="P45" i="11"/>
  <c r="O45" i="11"/>
  <c r="M45" i="11"/>
  <c r="K45" i="11"/>
  <c r="I45" i="11"/>
  <c r="H45" i="11"/>
  <c r="G45" i="11"/>
  <c r="F45" i="11"/>
  <c r="U44" i="11"/>
  <c r="T44" i="11"/>
  <c r="S44" i="11"/>
  <c r="R44" i="11"/>
  <c r="Q44" i="11"/>
  <c r="P44" i="11"/>
  <c r="O44" i="11"/>
  <c r="M44" i="11"/>
  <c r="L44" i="11"/>
  <c r="I44" i="11"/>
  <c r="H44" i="11"/>
  <c r="G44" i="11"/>
  <c r="F44" i="11"/>
  <c r="U43" i="11"/>
  <c r="T43" i="11"/>
  <c r="S43" i="11"/>
  <c r="R43" i="11"/>
  <c r="Q43" i="11"/>
  <c r="P43" i="11"/>
  <c r="O43" i="11"/>
  <c r="M43" i="11"/>
  <c r="M53" i="11" s="1"/>
  <c r="L43" i="11"/>
  <c r="K43" i="11"/>
  <c r="I43" i="11"/>
  <c r="H43" i="11"/>
  <c r="G43" i="11"/>
  <c r="F43" i="11"/>
  <c r="U42" i="11"/>
  <c r="T42" i="11"/>
  <c r="S42" i="11"/>
  <c r="R42" i="11"/>
  <c r="Q42" i="11"/>
  <c r="P42" i="11"/>
  <c r="O42" i="11"/>
  <c r="M42" i="11"/>
  <c r="L42" i="11"/>
  <c r="K42" i="11"/>
  <c r="I42" i="11"/>
  <c r="H42" i="11"/>
  <c r="G42" i="11"/>
  <c r="F42" i="11"/>
  <c r="U41" i="11"/>
  <c r="U51" i="11" s="1"/>
  <c r="T41" i="11"/>
  <c r="T51" i="11" s="1"/>
  <c r="S41" i="11"/>
  <c r="S51" i="11" s="1"/>
  <c r="R41" i="11"/>
  <c r="R51" i="11" s="1"/>
  <c r="Q41" i="11"/>
  <c r="Q51" i="11" s="1"/>
  <c r="P41" i="11"/>
  <c r="P51" i="11" s="1"/>
  <c r="O41" i="11"/>
  <c r="O51" i="11" s="1"/>
  <c r="M41" i="11"/>
  <c r="M51" i="11" s="1"/>
  <c r="L41" i="11"/>
  <c r="L51" i="11" s="1"/>
  <c r="K41" i="11"/>
  <c r="K51" i="11" s="1"/>
  <c r="I41" i="11"/>
  <c r="I51" i="11" s="1"/>
  <c r="H41" i="11"/>
  <c r="H51" i="11" s="1"/>
  <c r="G41" i="11"/>
  <c r="G51" i="11" s="1"/>
  <c r="F41" i="11"/>
  <c r="F51" i="11" s="1"/>
  <c r="U40" i="11"/>
  <c r="U50" i="11" s="1"/>
  <c r="T40" i="11"/>
  <c r="T50" i="11" s="1"/>
  <c r="S50" i="11"/>
  <c r="R40" i="11"/>
  <c r="R50" i="11" s="1"/>
  <c r="Q40" i="11"/>
  <c r="Q50" i="11" s="1"/>
  <c r="P40" i="11"/>
  <c r="P50" i="11" s="1"/>
  <c r="O40" i="11"/>
  <c r="O50" i="11" s="1"/>
  <c r="M40" i="11"/>
  <c r="M50" i="11" s="1"/>
  <c r="L40" i="11"/>
  <c r="L50" i="11" s="1"/>
  <c r="K40" i="11"/>
  <c r="K50" i="11" s="1"/>
  <c r="I40" i="11"/>
  <c r="I50" i="11" s="1"/>
  <c r="H40" i="11"/>
  <c r="H50" i="11" s="1"/>
  <c r="G40" i="11"/>
  <c r="G50" i="11" s="1"/>
  <c r="F40" i="11"/>
  <c r="F50" i="11" s="1"/>
  <c r="G36" i="11"/>
  <c r="G49" i="11" s="1"/>
  <c r="G35" i="11"/>
  <c r="H27" i="11"/>
  <c r="F27" i="11"/>
  <c r="H26" i="11"/>
  <c r="F26" i="11"/>
  <c r="G19" i="11"/>
  <c r="K47" i="11"/>
  <c r="I18" i="11"/>
  <c r="I46" i="11" s="1"/>
  <c r="H17" i="11"/>
  <c r="F17" i="11"/>
  <c r="U25" i="8"/>
  <c r="T25" i="8"/>
  <c r="S25" i="8"/>
  <c r="R25" i="8"/>
  <c r="Q25" i="8"/>
  <c r="P25" i="8"/>
  <c r="O25" i="8"/>
  <c r="M25" i="8"/>
  <c r="L25" i="8"/>
  <c r="K25" i="8"/>
  <c r="I25" i="8"/>
  <c r="H25" i="8"/>
  <c r="G25" i="8"/>
  <c r="F25" i="8"/>
  <c r="U24" i="8"/>
  <c r="T24" i="8"/>
  <c r="S24" i="8"/>
  <c r="R24" i="8"/>
  <c r="Q24" i="8"/>
  <c r="P24" i="8"/>
  <c r="O24" i="8"/>
  <c r="M24" i="8"/>
  <c r="L24" i="8"/>
  <c r="I24" i="8"/>
  <c r="H24" i="8"/>
  <c r="G24" i="8"/>
  <c r="U23" i="8"/>
  <c r="T23" i="8"/>
  <c r="S23" i="8"/>
  <c r="Q23" i="8"/>
  <c r="P23" i="8"/>
  <c r="O23" i="8"/>
  <c r="M23" i="8"/>
  <c r="L23" i="8"/>
  <c r="K23" i="8"/>
  <c r="K29" i="8" s="1"/>
  <c r="I23" i="8"/>
  <c r="H23" i="8"/>
  <c r="G23" i="8"/>
  <c r="U22" i="8"/>
  <c r="T22" i="8"/>
  <c r="S22" i="8"/>
  <c r="S26" i="8" s="1"/>
  <c r="P22" i="8"/>
  <c r="O22" i="8"/>
  <c r="M22" i="8"/>
  <c r="L22" i="8"/>
  <c r="K22" i="8"/>
  <c r="K26" i="8" s="1"/>
  <c r="I22" i="8"/>
  <c r="H22" i="8"/>
  <c r="G22" i="8"/>
  <c r="T52" i="11" l="1"/>
  <c r="U53" i="11"/>
  <c r="U52" i="11"/>
  <c r="F28" i="8"/>
  <c r="F29" i="8"/>
  <c r="S27" i="8"/>
  <c r="S29" i="8"/>
  <c r="M29" i="8"/>
  <c r="C9" i="21"/>
  <c r="T21" i="13"/>
  <c r="U15" i="9"/>
  <c r="Q21" i="13"/>
  <c r="R15" i="9"/>
  <c r="H52" i="11"/>
  <c r="H54" i="11" s="1"/>
  <c r="I13" i="9" s="1"/>
  <c r="M52" i="11"/>
  <c r="M54" i="11" s="1"/>
  <c r="N13" i="9" s="1"/>
  <c r="S21" i="13"/>
  <c r="T15" i="9"/>
  <c r="S52" i="11"/>
  <c r="S54" i="11" s="1"/>
  <c r="T13" i="9" s="1"/>
  <c r="R21" i="13"/>
  <c r="S15" i="9"/>
  <c r="Q53" i="11"/>
  <c r="Q55" i="11" s="1"/>
  <c r="R19" i="9" s="1"/>
  <c r="R53" i="11"/>
  <c r="R55" i="11" s="1"/>
  <c r="S19" i="9" s="1"/>
  <c r="U54" i="11"/>
  <c r="U21" i="13"/>
  <c r="G48" i="11"/>
  <c r="F48" i="11"/>
  <c r="F49" i="11"/>
  <c r="Q52" i="11"/>
  <c r="Q54" i="11" s="1"/>
  <c r="R13" i="9" s="1"/>
  <c r="S53" i="11"/>
  <c r="S55" i="11" s="1"/>
  <c r="T19" i="9" s="1"/>
  <c r="H49" i="11"/>
  <c r="H48" i="11"/>
  <c r="R52" i="11"/>
  <c r="R54" i="11" s="1"/>
  <c r="T53" i="11"/>
  <c r="T55" i="11" s="1"/>
  <c r="U19" i="9" s="1"/>
  <c r="P53" i="11"/>
  <c r="P55" i="11" s="1"/>
  <c r="Q19" i="9" s="1"/>
  <c r="P52" i="11"/>
  <c r="P54" i="11" s="1"/>
  <c r="Q13" i="9" s="1"/>
  <c r="O21" i="13"/>
  <c r="P15" i="9"/>
  <c r="O52" i="11"/>
  <c r="O54" i="11" s="1"/>
  <c r="P13" i="9" s="1"/>
  <c r="O53" i="11"/>
  <c r="O55" i="11" s="1"/>
  <c r="P19" i="9" s="1"/>
  <c r="M21" i="13"/>
  <c r="N15" i="9"/>
  <c r="I52" i="11"/>
  <c r="I54" i="11" s="1"/>
  <c r="J13" i="9" s="1"/>
  <c r="F53" i="11"/>
  <c r="F55" i="11" s="1"/>
  <c r="G19" i="9" s="1"/>
  <c r="I21" i="13"/>
  <c r="J21" i="9"/>
  <c r="H21" i="13"/>
  <c r="I15" i="9"/>
  <c r="G21" i="13"/>
  <c r="H15" i="9"/>
  <c r="F21" i="13"/>
  <c r="G15" i="9"/>
  <c r="G28" i="8"/>
  <c r="O29" i="8"/>
  <c r="O28" i="8"/>
  <c r="S28" i="8"/>
  <c r="S31" i="8" s="1"/>
  <c r="H29" i="8"/>
  <c r="M27" i="8"/>
  <c r="L28" i="8"/>
  <c r="P28" i="8"/>
  <c r="T28" i="8"/>
  <c r="G29" i="8"/>
  <c r="G26" i="8"/>
  <c r="H27" i="8"/>
  <c r="K28" i="8"/>
  <c r="K31" i="8" s="1"/>
  <c r="C39" i="19"/>
  <c r="D39" i="19" s="1"/>
  <c r="L21" i="9"/>
  <c r="K53" i="11"/>
  <c r="K55" i="11" s="1"/>
  <c r="Q27" i="8"/>
  <c r="U27" i="8"/>
  <c r="L26" i="8"/>
  <c r="P26" i="8"/>
  <c r="P30" i="8" s="1"/>
  <c r="T26" i="8"/>
  <c r="F52" i="11"/>
  <c r="F54" i="11" s="1"/>
  <c r="G13" i="9" s="1"/>
  <c r="K52" i="11"/>
  <c r="K54" i="11" s="1"/>
  <c r="L13" i="9" s="1"/>
  <c r="G53" i="11"/>
  <c r="G55" i="11" s="1"/>
  <c r="H19" i="9" s="1"/>
  <c r="L53" i="11"/>
  <c r="L55" i="11" s="1"/>
  <c r="M19" i="9" s="1"/>
  <c r="L21" i="13"/>
  <c r="O26" i="8"/>
  <c r="G27" i="8"/>
  <c r="H28" i="8"/>
  <c r="H31" i="8" s="1"/>
  <c r="M28" i="8"/>
  <c r="M31" i="8" s="1"/>
  <c r="Q28" i="8"/>
  <c r="U28" i="8"/>
  <c r="I29" i="8"/>
  <c r="R27" i="8"/>
  <c r="R29" i="8"/>
  <c r="H26" i="8"/>
  <c r="M26" i="8"/>
  <c r="Q26" i="8"/>
  <c r="U26" i="8"/>
  <c r="I27" i="8"/>
  <c r="O27" i="8"/>
  <c r="Q29" i="8"/>
  <c r="G52" i="11"/>
  <c r="G54" i="11" s="1"/>
  <c r="H13" i="9" s="1"/>
  <c r="L52" i="11"/>
  <c r="L54" i="11" s="1"/>
  <c r="M13" i="9" s="1"/>
  <c r="T54" i="11"/>
  <c r="U13" i="9" s="1"/>
  <c r="H53" i="11"/>
  <c r="H55" i="11" s="1"/>
  <c r="I19" i="9" s="1"/>
  <c r="M55" i="11"/>
  <c r="N19" i="9" s="1"/>
  <c r="U55" i="11"/>
  <c r="C38" i="19"/>
  <c r="K21" i="13"/>
  <c r="P21" i="13"/>
  <c r="L29" i="8"/>
  <c r="L27" i="8"/>
  <c r="P29" i="8"/>
  <c r="P27" i="8"/>
  <c r="T29" i="8"/>
  <c r="T27" i="8"/>
  <c r="I28" i="8"/>
  <c r="I31" i="8" s="1"/>
  <c r="R28" i="8"/>
  <c r="R31" i="8" s="1"/>
  <c r="I26" i="8"/>
  <c r="R26" i="8"/>
  <c r="K27" i="8"/>
  <c r="K30" i="8" s="1"/>
  <c r="K33" i="8" s="1"/>
  <c r="U29" i="8"/>
  <c r="I19" i="11"/>
  <c r="I47" i="11"/>
  <c r="I53" i="11" s="1"/>
  <c r="I55" i="11" s="1"/>
  <c r="J19" i="9" s="1"/>
  <c r="AP17" i="9" l="1"/>
  <c r="AP23" i="9" s="1"/>
  <c r="AR17" i="9"/>
  <c r="AR23" i="9" s="1"/>
  <c r="AM17" i="9"/>
  <c r="AM23" i="9" s="1"/>
  <c r="AD17" i="9"/>
  <c r="AD23" i="9" s="1"/>
  <c r="AQ17" i="9"/>
  <c r="AQ23" i="9" s="1"/>
  <c r="AF17" i="9"/>
  <c r="AF23" i="9" s="1"/>
  <c r="AB17" i="9"/>
  <c r="AB23" i="9" s="1"/>
  <c r="AU17" i="9"/>
  <c r="AU23" i="9" s="1"/>
  <c r="AH17" i="9"/>
  <c r="AH23" i="9" s="1"/>
  <c r="AV17" i="9"/>
  <c r="AV23" i="9" s="1"/>
  <c r="AE17" i="9"/>
  <c r="AE23" i="9" s="1"/>
  <c r="W17" i="9"/>
  <c r="W23" i="9" s="1"/>
  <c r="AK17" i="9"/>
  <c r="AK23" i="9" s="1"/>
  <c r="Z17" i="9"/>
  <c r="Z23" i="9" s="1"/>
  <c r="AN17" i="9"/>
  <c r="AN23" i="9" s="1"/>
  <c r="V17" i="9"/>
  <c r="V23" i="9" s="1"/>
  <c r="AS17" i="9"/>
  <c r="AS23" i="9" s="1"/>
  <c r="V15" i="27"/>
  <c r="AI17" i="9"/>
  <c r="AI23" i="9" s="1"/>
  <c r="AW17" i="9"/>
  <c r="AW23" i="9" s="1"/>
  <c r="X17" i="9"/>
  <c r="X23" i="9" s="1"/>
  <c r="AC17" i="9"/>
  <c r="AC23" i="9" s="1"/>
  <c r="AJ17" i="9"/>
  <c r="AJ23" i="9" s="1"/>
  <c r="Y17" i="9"/>
  <c r="Y23" i="9" s="1"/>
  <c r="AL17" i="9"/>
  <c r="AL23" i="9" s="1"/>
  <c r="AA17" i="9"/>
  <c r="AA23" i="9" s="1"/>
  <c r="AO17" i="9"/>
  <c r="AO23" i="9" s="1"/>
  <c r="AG17" i="9"/>
  <c r="AG23" i="9" s="1"/>
  <c r="AT17" i="9"/>
  <c r="AT23" i="9" s="1"/>
  <c r="AX17" i="9"/>
  <c r="AX23" i="9" s="1"/>
  <c r="T15" i="27"/>
  <c r="J17" i="9"/>
  <c r="J23" i="9" s="1"/>
  <c r="AR16" i="27"/>
  <c r="AS38" i="9" s="1"/>
  <c r="AP16" i="27"/>
  <c r="AQ38" i="9" s="1"/>
  <c r="AV15" i="27"/>
  <c r="AW37" i="9" s="1"/>
  <c r="AT15" i="27"/>
  <c r="AU37" i="9" s="1"/>
  <c r="AS15" i="27"/>
  <c r="AT37" i="9" s="1"/>
  <c r="AJ15" i="27"/>
  <c r="AK37" i="9" s="1"/>
  <c r="AA15" i="27"/>
  <c r="AB37" i="9" s="1"/>
  <c r="AS16" i="27"/>
  <c r="AT38" i="9" s="1"/>
  <c r="AH16" i="27"/>
  <c r="AI38" i="9" s="1"/>
  <c r="AN15" i="27"/>
  <c r="AO37" i="9" s="1"/>
  <c r="AL15" i="27"/>
  <c r="AM37" i="9" s="1"/>
  <c r="AK15" i="27"/>
  <c r="AL37" i="9" s="1"/>
  <c r="AB15" i="27"/>
  <c r="AC37" i="9" s="1"/>
  <c r="AT16" i="27"/>
  <c r="AU38" i="9" s="1"/>
  <c r="AK16" i="27"/>
  <c r="AL38" i="9" s="1"/>
  <c r="Z16" i="27"/>
  <c r="AA38" i="9" s="1"/>
  <c r="AF15" i="27"/>
  <c r="AG37" i="9" s="1"/>
  <c r="AD15" i="27"/>
  <c r="AE37" i="9" s="1"/>
  <c r="AC15" i="27"/>
  <c r="AD37" i="9" s="1"/>
  <c r="AU16" i="27"/>
  <c r="AV38" i="9" s="1"/>
  <c r="AL16" i="27"/>
  <c r="AM38" i="9" s="1"/>
  <c r="AC16" i="27"/>
  <c r="AD38" i="9" s="1"/>
  <c r="AW15" i="27"/>
  <c r="AX37" i="9" s="1"/>
  <c r="X15" i="27"/>
  <c r="Y37" i="9" s="1"/>
  <c r="W37" i="9"/>
  <c r="AV16" i="27"/>
  <c r="AW38" i="9" s="1"/>
  <c r="AM16" i="27"/>
  <c r="AN38" i="9" s="1"/>
  <c r="AD16" i="27"/>
  <c r="AE38" i="9" s="1"/>
  <c r="AB16" i="27"/>
  <c r="AC38" i="9" s="1"/>
  <c r="AO15" i="27"/>
  <c r="AP37" i="9" s="1"/>
  <c r="AU15" i="27"/>
  <c r="AV37" i="9" s="1"/>
  <c r="AW16" i="27"/>
  <c r="AX38" i="9" s="1"/>
  <c r="AN16" i="27"/>
  <c r="AO38" i="9" s="1"/>
  <c r="AE16" i="27"/>
  <c r="AF38" i="9" s="1"/>
  <c r="V16" i="27"/>
  <c r="W38" i="9" s="1"/>
  <c r="AQ16" i="27"/>
  <c r="AR38" i="9" s="1"/>
  <c r="AG15" i="27"/>
  <c r="AH37" i="9" s="1"/>
  <c r="AM15" i="27"/>
  <c r="AN37" i="9" s="1"/>
  <c r="AO16" i="27"/>
  <c r="AP38" i="9" s="1"/>
  <c r="AF16" i="27"/>
  <c r="AG38" i="9" s="1"/>
  <c r="W16" i="27"/>
  <c r="X38" i="9" s="1"/>
  <c r="AP15" i="27"/>
  <c r="AQ37" i="9" s="1"/>
  <c r="AI16" i="27"/>
  <c r="AJ38" i="9" s="1"/>
  <c r="Y15" i="27"/>
  <c r="Z37" i="9" s="1"/>
  <c r="AE15" i="27"/>
  <c r="AF37" i="9" s="1"/>
  <c r="AG16" i="27"/>
  <c r="AH38" i="9" s="1"/>
  <c r="X16" i="27"/>
  <c r="Y38" i="9" s="1"/>
  <c r="AQ15" i="27"/>
  <c r="AR37" i="9" s="1"/>
  <c r="AH15" i="27"/>
  <c r="AI37" i="9" s="1"/>
  <c r="AA16" i="27"/>
  <c r="AB38" i="9" s="1"/>
  <c r="AJ16" i="27"/>
  <c r="AK38" i="9" s="1"/>
  <c r="W15" i="27"/>
  <c r="X37" i="9" s="1"/>
  <c r="Y16" i="27"/>
  <c r="Z38" i="9" s="1"/>
  <c r="AR15" i="27"/>
  <c r="AS37" i="9" s="1"/>
  <c r="AI15" i="27"/>
  <c r="AJ37" i="9" s="1"/>
  <c r="Z15" i="27"/>
  <c r="AA37" i="9" s="1"/>
  <c r="O31" i="8"/>
  <c r="T31" i="8"/>
  <c r="T34" i="8" s="1"/>
  <c r="U20" i="9" s="1"/>
  <c r="G31" i="8"/>
  <c r="P31" i="8"/>
  <c r="P34" i="8" s="1"/>
  <c r="Q20" i="9" s="1"/>
  <c r="Q22" i="9" s="1"/>
  <c r="U31" i="8"/>
  <c r="U34" i="8" s="1"/>
  <c r="Q31" i="8"/>
  <c r="L31" i="8"/>
  <c r="L34" i="8" s="1"/>
  <c r="F31" i="8"/>
  <c r="F34" i="8" s="1"/>
  <c r="G20" i="9" s="1"/>
  <c r="G22" i="9" s="1"/>
  <c r="M16" i="27"/>
  <c r="N38" i="9" s="1"/>
  <c r="S15" i="27"/>
  <c r="T37" i="9" s="1"/>
  <c r="T39" i="9" s="1"/>
  <c r="P17" i="9"/>
  <c r="P23" i="9" s="1"/>
  <c r="I16" i="27"/>
  <c r="J38" i="9" s="1"/>
  <c r="Q16" i="27"/>
  <c r="R38" i="9" s="1"/>
  <c r="R40" i="9" s="1"/>
  <c r="L16" i="27"/>
  <c r="M38" i="9" s="1"/>
  <c r="R30" i="8"/>
  <c r="R33" i="8" s="1"/>
  <c r="S14" i="9" s="1"/>
  <c r="Q15" i="27"/>
  <c r="R37" i="9" s="1"/>
  <c r="R39" i="9" s="1"/>
  <c r="T16" i="27"/>
  <c r="U38" i="9" s="1"/>
  <c r="U40" i="9" s="1"/>
  <c r="H17" i="9"/>
  <c r="H23" i="9" s="1"/>
  <c r="P16" i="27"/>
  <c r="Q38" i="9" s="1"/>
  <c r="Q40" i="9" s="1"/>
  <c r="S17" i="9"/>
  <c r="S23" i="9" s="1"/>
  <c r="M17" i="9"/>
  <c r="M23" i="9" s="1"/>
  <c r="S16" i="27"/>
  <c r="F15" i="27"/>
  <c r="T17" i="9"/>
  <c r="T23" i="9" s="1"/>
  <c r="U16" i="27"/>
  <c r="V38" i="9" s="1"/>
  <c r="V40" i="9" s="1"/>
  <c r="V60" i="9" s="1"/>
  <c r="I15" i="27"/>
  <c r="J37" i="9" s="1"/>
  <c r="O15" i="27"/>
  <c r="P37" i="9" s="1"/>
  <c r="P39" i="9" s="1"/>
  <c r="H16" i="27"/>
  <c r="H15" i="27"/>
  <c r="M15" i="27"/>
  <c r="N37" i="9" s="1"/>
  <c r="Q17" i="9"/>
  <c r="Q23" i="9" s="1"/>
  <c r="F16" i="27"/>
  <c r="O17" i="9"/>
  <c r="O23" i="9" s="1"/>
  <c r="N16" i="27"/>
  <c r="O38" i="9" s="1"/>
  <c r="N15" i="27"/>
  <c r="O37" i="9" s="1"/>
  <c r="L15" i="27"/>
  <c r="M37" i="9" s="1"/>
  <c r="I17" i="9"/>
  <c r="I23" i="9" s="1"/>
  <c r="U17" i="9"/>
  <c r="U23" i="9" s="1"/>
  <c r="G16" i="27"/>
  <c r="O16" i="27"/>
  <c r="P38" i="9" s="1"/>
  <c r="P40" i="9" s="1"/>
  <c r="K16" i="27"/>
  <c r="L38" i="9" s="1"/>
  <c r="N17" i="9"/>
  <c r="N23" i="9" s="1"/>
  <c r="G17" i="9"/>
  <c r="G23" i="9" s="1"/>
  <c r="R16" i="27"/>
  <c r="S38" i="9" s="1"/>
  <c r="S40" i="9" s="1"/>
  <c r="G15" i="27"/>
  <c r="K15" i="27"/>
  <c r="L37" i="9" s="1"/>
  <c r="R17" i="9"/>
  <c r="R23" i="9" s="1"/>
  <c r="L17" i="9"/>
  <c r="L23" i="9" s="1"/>
  <c r="R15" i="27"/>
  <c r="S37" i="9" s="1"/>
  <c r="S39" i="9" s="1"/>
  <c r="P15" i="27"/>
  <c r="Q37" i="9" s="1"/>
  <c r="Q39" i="9" s="1"/>
  <c r="U15" i="27"/>
  <c r="V37" i="9" s="1"/>
  <c r="V39" i="9" s="1"/>
  <c r="V59" i="9" s="1"/>
  <c r="U37" i="9"/>
  <c r="U39" i="9" s="1"/>
  <c r="S13" i="9"/>
  <c r="R57" i="11"/>
  <c r="I48" i="11"/>
  <c r="I49" i="11"/>
  <c r="O34" i="8"/>
  <c r="P20" i="9" s="1"/>
  <c r="P22" i="9" s="1"/>
  <c r="K34" i="8"/>
  <c r="L20" i="9" s="1"/>
  <c r="G34" i="8"/>
  <c r="H20" i="9" s="1"/>
  <c r="H34" i="8"/>
  <c r="I20" i="9" s="1"/>
  <c r="H30" i="8"/>
  <c r="H33" i="8" s="1"/>
  <c r="I14" i="9" s="1"/>
  <c r="U30" i="8"/>
  <c r="U33" i="8" s="1"/>
  <c r="S34" i="8"/>
  <c r="T20" i="9" s="1"/>
  <c r="Q30" i="8"/>
  <c r="Q33" i="8" s="1"/>
  <c r="R14" i="9" s="1"/>
  <c r="I30" i="8"/>
  <c r="I33" i="8" s="1"/>
  <c r="J14" i="9" s="1"/>
  <c r="S30" i="8"/>
  <c r="S33" i="8" s="1"/>
  <c r="T14" i="9" s="1"/>
  <c r="M30" i="8"/>
  <c r="M33" i="8" s="1"/>
  <c r="N14" i="9" s="1"/>
  <c r="M34" i="8"/>
  <c r="N20" i="9" s="1"/>
  <c r="L30" i="8"/>
  <c r="L33" i="8" s="1"/>
  <c r="M14" i="9" s="1"/>
  <c r="G30" i="8"/>
  <c r="G33" i="8" s="1"/>
  <c r="H14" i="9" s="1"/>
  <c r="C13" i="19"/>
  <c r="D13" i="19" s="1"/>
  <c r="L19" i="9"/>
  <c r="P57" i="11"/>
  <c r="R34" i="8"/>
  <c r="S20" i="9" s="1"/>
  <c r="O57" i="11"/>
  <c r="Q57" i="11"/>
  <c r="U57" i="11"/>
  <c r="D38" i="19"/>
  <c r="D40" i="19" s="1"/>
  <c r="C40" i="19"/>
  <c r="L57" i="11"/>
  <c r="C12" i="19"/>
  <c r="K57" i="11"/>
  <c r="T30" i="8"/>
  <c r="Q34" i="8"/>
  <c r="R20" i="9" s="1"/>
  <c r="I57" i="11"/>
  <c r="M57" i="11"/>
  <c r="T57" i="11"/>
  <c r="S57" i="11"/>
  <c r="G57" i="11"/>
  <c r="I34" i="8"/>
  <c r="J20" i="9" s="1"/>
  <c r="O30" i="8"/>
  <c r="F57" i="11"/>
  <c r="H57" i="11"/>
  <c r="C25" i="19" l="1"/>
  <c r="D25" i="19" s="1"/>
  <c r="M20" i="9"/>
  <c r="M22" i="9" s="1"/>
  <c r="M24" i="9" s="1"/>
  <c r="L36" i="8"/>
  <c r="K36" i="8"/>
  <c r="T38" i="9"/>
  <c r="T40" i="9" s="1"/>
  <c r="G24" i="9"/>
  <c r="Q24" i="9"/>
  <c r="P24" i="9"/>
  <c r="L32" i="8"/>
  <c r="T22" i="9"/>
  <c r="T24" i="9" s="1"/>
  <c r="H22" i="9"/>
  <c r="H24" i="9" s="1"/>
  <c r="N22" i="9"/>
  <c r="N24" i="9" s="1"/>
  <c r="J22" i="9"/>
  <c r="J24" i="9" s="1"/>
  <c r="S22" i="9"/>
  <c r="S24" i="9" s="1"/>
  <c r="S60" i="9" s="1"/>
  <c r="R22" i="9"/>
  <c r="R24" i="9" s="1"/>
  <c r="U22" i="9"/>
  <c r="U24" i="9" s="1"/>
  <c r="I22" i="9"/>
  <c r="I24" i="9" s="1"/>
  <c r="O24" i="9"/>
  <c r="L22" i="9"/>
  <c r="L24" i="9" s="1"/>
  <c r="G32" i="8"/>
  <c r="H32" i="8"/>
  <c r="U32" i="8"/>
  <c r="S32" i="8"/>
  <c r="M32" i="8"/>
  <c r="R32" i="8"/>
  <c r="S36" i="8"/>
  <c r="T16" i="9"/>
  <c r="Q36" i="8"/>
  <c r="R16" i="9"/>
  <c r="P33" i="8"/>
  <c r="Q14" i="9" s="1"/>
  <c r="P32" i="8"/>
  <c r="O32" i="8"/>
  <c r="O33" i="8"/>
  <c r="P14" i="9" s="1"/>
  <c r="T33" i="8"/>
  <c r="U14" i="9" s="1"/>
  <c r="T32" i="8"/>
  <c r="R36" i="8"/>
  <c r="S16" i="9"/>
  <c r="Q32" i="8"/>
  <c r="F32" i="8"/>
  <c r="F33" i="8"/>
  <c r="D12" i="19"/>
  <c r="D14" i="19" s="1"/>
  <c r="C14" i="19"/>
  <c r="H16" i="9"/>
  <c r="H36" i="8"/>
  <c r="I16" i="9"/>
  <c r="M36" i="8"/>
  <c r="N16" i="9"/>
  <c r="K32" i="8"/>
  <c r="L14" i="9"/>
  <c r="I36" i="8"/>
  <c r="J16" i="9"/>
  <c r="M16" i="9"/>
  <c r="G36" i="8"/>
  <c r="U36" i="8"/>
  <c r="I32" i="8"/>
  <c r="G14" i="9" l="1"/>
  <c r="G16" i="9" s="1"/>
  <c r="S18" i="9" s="1"/>
  <c r="F36" i="8"/>
  <c r="T47" i="9"/>
  <c r="T58" i="9" s="1"/>
  <c r="T60" i="9"/>
  <c r="O49" i="9"/>
  <c r="O47" i="9"/>
  <c r="O58" i="9" s="1"/>
  <c r="O60" i="9"/>
  <c r="N49" i="9"/>
  <c r="N47" i="9"/>
  <c r="N58" i="9" s="1"/>
  <c r="N60" i="9"/>
  <c r="G60" i="9"/>
  <c r="G47" i="9"/>
  <c r="G58" i="9" s="1"/>
  <c r="G49" i="9"/>
  <c r="I49" i="9"/>
  <c r="I47" i="9"/>
  <c r="I58" i="9" s="1"/>
  <c r="I60" i="9"/>
  <c r="H49" i="9"/>
  <c r="H47" i="9"/>
  <c r="H58" i="9" s="1"/>
  <c r="H60" i="9"/>
  <c r="J49" i="9"/>
  <c r="J60" i="9"/>
  <c r="J47" i="9"/>
  <c r="J58" i="9" s="1"/>
  <c r="V48" i="9"/>
  <c r="U49" i="9"/>
  <c r="U60" i="9"/>
  <c r="T49" i="9"/>
  <c r="V49" i="9"/>
  <c r="R49" i="9"/>
  <c r="R47" i="9"/>
  <c r="R58" i="9" s="1"/>
  <c r="R60" i="9"/>
  <c r="M49" i="9"/>
  <c r="M47" i="9"/>
  <c r="M58" i="9" s="1"/>
  <c r="M60" i="9"/>
  <c r="P47" i="9"/>
  <c r="P58" i="9" s="1"/>
  <c r="P60" i="9"/>
  <c r="L49" i="9"/>
  <c r="L47" i="9"/>
  <c r="L58" i="9" s="1"/>
  <c r="L60" i="9"/>
  <c r="S49" i="9"/>
  <c r="S47" i="9"/>
  <c r="S58" i="9" s="1"/>
  <c r="Q47" i="9"/>
  <c r="Q58" i="9" s="1"/>
  <c r="Q60" i="9"/>
  <c r="P49" i="9"/>
  <c r="Q49" i="9"/>
  <c r="U47" i="9"/>
  <c r="U58" i="9" s="1"/>
  <c r="V47" i="9"/>
  <c r="V58" i="9" s="1"/>
  <c r="V46" i="9"/>
  <c r="V57" i="9" s="1"/>
  <c r="C24" i="19"/>
  <c r="L16" i="9"/>
  <c r="T36" i="8"/>
  <c r="U16" i="9"/>
  <c r="P36" i="8"/>
  <c r="Q16" i="9"/>
  <c r="O36" i="8"/>
  <c r="P16" i="9"/>
  <c r="U18" i="9" l="1"/>
  <c r="U46" i="9" s="1"/>
  <c r="U57" i="9" s="1"/>
  <c r="S48" i="9"/>
  <c r="S59" i="9"/>
  <c r="S46" i="9"/>
  <c r="S57" i="9" s="1"/>
  <c r="T18" i="9"/>
  <c r="R18" i="9"/>
  <c r="Q18" i="9"/>
  <c r="Q59" i="9" s="1"/>
  <c r="P18" i="9"/>
  <c r="P59" i="9" s="1"/>
  <c r="G18" i="9"/>
  <c r="O18" i="9"/>
  <c r="N18" i="9"/>
  <c r="M18" i="9"/>
  <c r="L18" i="9"/>
  <c r="I18" i="9"/>
  <c r="J18" i="9"/>
  <c r="H18" i="9"/>
  <c r="D24" i="19"/>
  <c r="D26" i="19" s="1"/>
  <c r="C26" i="19"/>
  <c r="U59" i="9" l="1"/>
  <c r="U48" i="9"/>
  <c r="R59" i="9"/>
  <c r="R48" i="9"/>
  <c r="R46" i="9"/>
  <c r="R57" i="9" s="1"/>
  <c r="T59" i="9"/>
  <c r="T46" i="9"/>
  <c r="T57" i="9" s="1"/>
  <c r="T48" i="9"/>
  <c r="N48" i="9"/>
  <c r="N59" i="9"/>
  <c r="O48" i="9"/>
  <c r="O59" i="9"/>
  <c r="G59" i="9"/>
  <c r="G46" i="9"/>
  <c r="G57" i="9" s="1"/>
  <c r="G48" i="9"/>
  <c r="J48" i="9"/>
  <c r="J59" i="9"/>
  <c r="H48" i="9"/>
  <c r="H59" i="9"/>
  <c r="I48" i="9"/>
  <c r="I59" i="9"/>
  <c r="L46" i="9"/>
  <c r="L57" i="9" s="1"/>
  <c r="L59" i="9"/>
  <c r="L48" i="9"/>
  <c r="M48" i="9"/>
  <c r="M59" i="9"/>
  <c r="P48" i="9"/>
  <c r="Q48" i="9"/>
  <c r="P46" i="9"/>
  <c r="P57" i="9" s="1"/>
  <c r="Q46" i="9"/>
  <c r="Q57" i="9" s="1"/>
  <c r="I46" i="9"/>
  <c r="I57" i="9" s="1"/>
  <c r="H46" i="9"/>
  <c r="H57" i="9" s="1"/>
  <c r="M46" i="9"/>
  <c r="M57" i="9" s="1"/>
  <c r="O46" i="9"/>
  <c r="O57" i="9" s="1"/>
  <c r="J46" i="9"/>
  <c r="J57" i="9" s="1"/>
  <c r="N46" i="9"/>
  <c r="N5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600-000001000000}">
      <text>
        <r>
          <rPr>
            <sz val="9"/>
            <color indexed="81"/>
            <rFont val="Tahoma"/>
            <family val="2"/>
          </rPr>
          <t xml:space="preserve">
2019:
E.g. pages 30 &amp; 31 of:
https://www.smartenergygb.org/en/-/media/SmartEnergy/essential-documents/essential-documents/english/Engagement-Plan-and-Budget-2019.ashx
</t>
        </r>
      </text>
    </comment>
    <comment ref="C15" authorId="0" shapeId="0" xr:uid="{00000000-0006-0000-0600-000002000000}">
      <text>
        <r>
          <rPr>
            <sz val="9"/>
            <color indexed="81"/>
            <rFont val="Tahoma"/>
            <family val="2"/>
          </rPr>
          <t xml:space="preserve">BEIS meter numbers are rounded to the nearest thousand.
Electricity:
https://www.gov.uk/government/statistical-data-sets/regional-and-local-authority-electricity-consumption-statistics
Gas:
https://www.gov.uk/government/statistical-data-sets/gas-sales-and-numbers-of-customers-by-region-and-local-authority
</t>
        </r>
      </text>
    </comment>
    <comment ref="K16" authorId="1" shapeId="0" xr:uid="{00000000-0006-0000-0600-000003000000}">
      <text>
        <r>
          <rPr>
            <sz val="9"/>
            <color indexed="81"/>
            <rFont val="Tahoma"/>
            <family val="2"/>
          </rPr>
          <t>Error in the Total Residential Live on supply Gas Meters pre-cap period 2 has been corrected from 23,723,000 to 23,714,000.</t>
        </r>
      </text>
    </comment>
    <comment ref="C17" authorId="0" shapeId="0" xr:uid="{00000000-0006-0000-0600-000004000000}">
      <text>
        <r>
          <rPr>
            <sz val="9"/>
            <color indexed="81"/>
            <rFont val="Tahoma"/>
            <family val="2"/>
          </rPr>
          <t>https://www.ofgem.gov.uk/data-portal/electricity-supply-market-shares-company-domestic-gb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 ref="C18" authorId="0" shapeId="0" xr:uid="{00000000-0006-0000-0600-000005000000}">
      <text>
        <r>
          <rPr>
            <sz val="9"/>
            <color indexed="81"/>
            <rFont val="Tahoma"/>
            <family val="2"/>
          </rPr>
          <t>https://www.ofgem.gov.uk/data-portal/gas-supply-market-shares-company-domestic-gb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700-000001000000}">
      <text>
        <r>
          <rPr>
            <sz val="9"/>
            <color indexed="81"/>
            <rFont val="Tahoma"/>
            <family val="2"/>
          </rPr>
          <t>BEIS meter numbers are rounded to the nearest thousand.
Electricity:  
https://www.gov.uk/government/statistical-data-sets/regional-and-local-authority-electricity-consumption-statistics
Gas:
https://www.gov.uk/government/statistical-data-sets/gas-sales-and-numbers-of-customers-by-region-and-local-authority</t>
        </r>
      </text>
    </comment>
    <comment ref="K13" authorId="1" shapeId="0" xr:uid="{00000000-0006-0000-0700-000002000000}">
      <text>
        <r>
          <rPr>
            <sz val="9"/>
            <color indexed="81"/>
            <rFont val="Tahoma"/>
            <family val="2"/>
          </rPr>
          <t>Error in the Total Residential Live on supply Gas Meters pre-cap period 2 has been corrected from 23,723,000 to 23,714,000.</t>
        </r>
      </text>
    </comment>
    <comment ref="C14" authorId="0" shapeId="0" xr:uid="{00000000-0006-0000-0700-000003000000}">
      <text>
        <r>
          <rPr>
            <sz val="9"/>
            <color indexed="81"/>
            <rFont val="Tahoma"/>
            <family val="2"/>
          </rPr>
          <t xml:space="preserve">We assume a linear rollout from the first to the last day of a cap period, and therefore charge for the number of enrolled SMETS2 meters at the mid-point. E.g. for Jan-March 2019, we would calculate the number of SMETS2 meters communicating at the end of 2019, and then infer the number of meters communicating 1.5 months into the year. </t>
        </r>
      </text>
    </comment>
    <comment ref="O14" authorId="1" shapeId="0" xr:uid="{00000000-0006-0000-0700-000004000000}">
      <text>
        <r>
          <rPr>
            <b/>
            <sz val="9"/>
            <color indexed="81"/>
            <rFont val="Tahoma"/>
            <family val="2"/>
          </rPr>
          <t xml:space="preserve">Author:
</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O15" authorId="1" shapeId="0" xr:uid="{00000000-0006-0000-0700-000005000000}">
      <text>
        <r>
          <rPr>
            <b/>
            <sz val="9"/>
            <color indexed="81"/>
            <rFont val="Tahoma"/>
            <family val="2"/>
          </rPr>
          <t>Author:</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C16" authorId="0" shapeId="0" xr:uid="{00000000-0006-0000-0700-000006000000}">
      <text>
        <r>
          <rPr>
            <sz val="9"/>
            <color indexed="81"/>
            <rFont val="Tahoma"/>
            <family val="2"/>
          </rPr>
          <t xml:space="preserve">As found at: 
https://www.smartdcc.co.uk/charges/charging-statements/
References to "Draft Charging Statements" refer to the Draft Charging Statements  which are published in December.
For April 2019 to September 2019 we use the following document,also included is the data we use to estimate the DBCH to SBCH %age (L16 and L17) on page 18:
https://www.smartdcc.co.uk/media/2977/charging-statement-ry1920-issue-01-draft.pdf
</t>
        </r>
      </text>
    </comment>
    <comment ref="M52" authorId="1" shapeId="0" xr:uid="{00000000-0006-0000-0700-000007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 ref="M53" authorId="1" shapeId="0" xr:uid="{00000000-0006-0000-0700-000008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s>
  <commentList>
    <comment ref="C12" authorId="0" shapeId="0" xr:uid="{00000000-0006-0000-0800-000001000000}">
      <text>
        <r>
          <rPr>
            <sz val="9"/>
            <color indexed="81"/>
            <rFont val="Tahoma"/>
            <family val="2"/>
          </rPr>
          <t>We use a modelling assumption from SMICoP which assumes total annual charges of £250,000. The historic annual charges for SMICOP Limited are available at Companies House:
https://beta.companieshouse.gov.uk/company/09136180/filing-history</t>
        </r>
      </text>
    </comment>
    <comment ref="C13" authorId="0" shapeId="0" xr:uid="{00000000-0006-0000-0800-000002000000}">
      <text>
        <r>
          <rPr>
            <sz val="9"/>
            <color indexed="81"/>
            <rFont val="Tahoma"/>
            <family val="2"/>
          </rPr>
          <t>BEIS meter numbers are rounded to the nearest thousand.
https://www.gov.uk/government/statistical-data-sets/regional-and-local-authority-electricity-consumption-statistics</t>
        </r>
      </text>
    </comment>
    <comment ref="C14" authorId="0" shapeId="0" xr:uid="{00000000-0006-0000-0800-000003000000}">
      <text>
        <r>
          <rPr>
            <sz val="9"/>
            <color indexed="81"/>
            <rFont val="Tahoma"/>
            <family val="2"/>
          </rPr>
          <t>BEIS meter numbers are rounded to the nearest thousand.
https://www.gov.uk/government/statistical-data-sets/gas-sales-and-numbers-of-customers-by-region-and-local-authority</t>
        </r>
      </text>
    </comment>
    <comment ref="K14" authorId="1" shapeId="0" xr:uid="{00000000-0006-0000-0800-000004000000}">
      <text>
        <r>
          <rPr>
            <sz val="9"/>
            <color indexed="81"/>
            <rFont val="Tahoma"/>
            <family val="2"/>
          </rPr>
          <t>Error in the Total Residential Live on supply Gas Meters pre-cap period 2 has been corrected from 23,723,000 to 23,714,000.</t>
        </r>
      </text>
    </comment>
  </commentList>
</comments>
</file>

<file path=xl/sharedStrings.xml><?xml version="1.0" encoding="utf-8"?>
<sst xmlns="http://schemas.openxmlformats.org/spreadsheetml/2006/main" count="1871" uniqueCount="656">
  <si>
    <t xml:space="preserve"> </t>
  </si>
  <si>
    <t>Annex 5 - Smart metering net cost change allowance methodology</t>
  </si>
  <si>
    <t>Version Control</t>
  </si>
  <si>
    <t>Date Published</t>
  </si>
  <si>
    <t>Changes</t>
  </si>
  <si>
    <t>v1.1</t>
  </si>
  <si>
    <t>Published for statutory consultation</t>
  </si>
  <si>
    <t>v1.2</t>
  </si>
  <si>
    <t>-Input values for pass-through costs added for first cap period
-Non-pass through component of SMNCC for 2018 and 2019 replaced with revised value
-Scaling factor updated to reflect revised nil consumption benchmark
-SEGB Market share for nominated supplier broken out into market share input values (row 17 and 18) and BEIS derived total residential live on supply input values (row 15 and 16) and calculated value of Nominated supplier live on supply (row 20 to 21)
- DCC inputs updated to reflect the most recent published DCC charging statement.
- SEGB, DCC and SMICOP tabs updated with direct links to BEIS metering point statistics:
  Electricity: https://www.gov.uk/government/statistical-data-sets/regional-and-local-authority-electricity-consumption-statistics
  Gas: https://www.gov.uk/government/statistical-data-sets/gas-sales-and-numbers-of-customers-by-region-and-local-authority</t>
  </si>
  <si>
    <t xml:space="preserve">v1.3 </t>
  </si>
  <si>
    <t xml:space="preserve">
- Inputs updated for second cap period
- Error in the Total Residential Live on supply Gas Meters for historical periods has been amended
</t>
  </si>
  <si>
    <t>v1.4</t>
  </si>
  <si>
    <t>-Inputs updated for price cap period 01 Oct 2019 to 31 Mar 2020
-We have inserted values in cells J7 and J8 of sheet ‘2a Non pass-through costs’. As set out in our June consultation and in our third cap period decision document, we have decided to use our current non-pass-through model to set the non-pass-through cost.
-Tab '2c DCC' row 52 and 53 have been updated to amend an error. The total DCC costs did not include the total dual band communications hub costs. This applied to both gas and electricity. We have addressed this by editing the formulas for ‘Total Explicit Costs’. When correcting this error, we have only edited the values for the upcoming cap periods (ie the third cap period and onwards), which are in columns M to U. We have not edited the formulas for past cap periods, so that the model continues to reflect the actual levels in previous cap periods. For electricity, we have added to the sum the relevant cell in row 48 (‘Total DB Comms Hub Costs – Electricity’). For gas, we have done the same in relation to row 49 (‘Total DB Comms Hub Costs – Gas’).</t>
  </si>
  <si>
    <t>v1.5</t>
  </si>
  <si>
    <t>-Inputs updated for price cap period 01 Apr 2020 to 30 Sep 2020
-We have inserted values in cells L7 and L8 of sheet ‘2a Non pass-through costs’. As set out in our October consultation and in our update letter (reviewing smart metering costs in the default tariff cap), we have decided to use our current non-pass-through model to set the non-pass-through cost.</t>
  </si>
  <si>
    <t>v1.6</t>
  </si>
  <si>
    <t>- Added column for payment method and rows for prepayment to '1a SMNCC Values' and '2 Inputs and calculations'
- The Formula added in for Prepayment method rows in'1a SMNCC' were amended to allow for zero values to be pulled through from input tabs.
- Source text changed in tab '2c DCC' Cell C14 and C15 to "The assumptions in the model in place during the cap period".
- Published with decision on "Protecting energy consumers with prepayment meters" and "Minor changes to 'Annex 5 - Methodology for determining the Smart Metering Net Cost Change'"</t>
  </si>
  <si>
    <t>v1.7</t>
  </si>
  <si>
    <t xml:space="preserve">- Added column for payment method and rows for prepayment to '1a SMNCC Values' and '2 Inputs and calculations'
'- The Formula added in for Prepayment method rows in'1a SMNCC' were amended to allow for zero values to be pulled through from input tabs.
- The Formula added in for Prepayment method rows in'1a SMNCC' were amended to allow for zero values to be pulled through from input tabs.
- Source text changed in tab '2c DCC' Cell C14 and C15 to "The assumptions in the model in place during the cap period".
'-Inputs updated for price cap period 01 Oct 2020 to 01 Mar 2021
'-We have inserted values in cells M7:S7, M8:S8,M9:N9&amp; M10:N10 of sheet ‘2a Non pass-through costs’. The decision for these values are set out in our decision document for 'Reveiwing smat metering costs in the default tariff cap' and 'Decision for protecting energy consumers with prepayment meters' which were published 5 August 2020.  
'- We have inserted values in cells O14 and O15 of sheet '2c DCC'. The decision for these values are set out in 'Changes to Annex 5-Methodology for determining the Smart Metering Net Cost Change'. We have decided to align our source with the decision made in the 'Reveiwing smart metering costs' consultation, this decision paper was also published on 5 August 2020. </t>
  </si>
  <si>
    <t>v1.8</t>
  </si>
  <si>
    <t>-Inputs updated for price cap period 01 Apr 2021 to 30 Sep 2021</t>
  </si>
  <si>
    <t>v1.9 (draft)</t>
  </si>
  <si>
    <t>- This version of the model was published alongside our consultation on updating the PPM SMNCC allowance on 29  April 2021</t>
  </si>
  <si>
    <t>v1.91</t>
  </si>
  <si>
    <t>- This version of the model was published alongside our decision on updating the credit and PPM SMNCC allowance on 5 August 2021</t>
  </si>
  <si>
    <t>v1.10</t>
  </si>
  <si>
    <t>- Nil consumption scalar removed for PPM non-pass through costs.
- Tab '2g PPM cost offset' added.
- We have inserted values in cells O7:S10 of sheet ‘2a Non pass-through costs’. The decision for these values are set out in our decision document for updating the credit and PPM SMNCC allowance which were both published 5 August 2021.    
- Inputs updated for price cap period 01 Oct 2021 to 01 Mar 2022</t>
  </si>
  <si>
    <t>v1.11</t>
  </si>
  <si>
    <t>- Inserted values in cells P7:S10 of sheet ‘2a Non pass-through costs’. The decision for these values are set out in our decision document for updating the credit and PPM SMNCC allowance which were both published 4 February 2022.    
- Inputs updated for price cap period 01 Apr 2022 to 30 Sep 2022</t>
  </si>
  <si>
    <t>Description</t>
  </si>
  <si>
    <t>This annex sets out the methodology and sources used to calculate the Smart Metering Net Cost Change for gas and electricity in each 28AD Charge Restriction Period.</t>
  </si>
  <si>
    <t xml:space="preserve">The increment is calculated in £ per customer per year by combining information on the pass-through charges of SEGB, DCC &amp; SMICoP, with the net cost change as calculated by "the model". </t>
  </si>
  <si>
    <t>&lt;= Denotes an input</t>
  </si>
  <si>
    <t>&lt;= Denotes a calculation or output</t>
  </si>
  <si>
    <t>This sheet gives an overview of the content of each of the tabs.</t>
  </si>
  <si>
    <t>List of Tabs</t>
  </si>
  <si>
    <t>Tab name</t>
  </si>
  <si>
    <t>Tab type</t>
  </si>
  <si>
    <t>Front sheet</t>
  </si>
  <si>
    <t>n/a</t>
  </si>
  <si>
    <t>Title</t>
  </si>
  <si>
    <t>Notes</t>
  </si>
  <si>
    <t>Description of model</t>
  </si>
  <si>
    <t>1 Outputs=&gt;</t>
  </si>
  <si>
    <t>1a SMNCC Values</t>
  </si>
  <si>
    <t>Outputs</t>
  </si>
  <si>
    <t>Implied Smart Metering Net Cost Change for gas and electricity</t>
  </si>
  <si>
    <t>2 Inputs and calculations=&gt;</t>
  </si>
  <si>
    <t>2a Non-pass-through costs</t>
  </si>
  <si>
    <t xml:space="preserve">Inputs and calculations </t>
  </si>
  <si>
    <t>Changes in smart costs that are not related to charges from DCC, SEGB or SMICoP. It is estimated using the model (see below)</t>
  </si>
  <si>
    <t>2b SEGB</t>
  </si>
  <si>
    <t>Inputs and calculation of SEGB costs in each year</t>
  </si>
  <si>
    <t>2c DCC</t>
  </si>
  <si>
    <t>Inputs and calculation of DCC costs in each charging year</t>
  </si>
  <si>
    <t>2d SMICoP</t>
  </si>
  <si>
    <t>Inputs and calculation of SMICoP costs in each year</t>
  </si>
  <si>
    <t>2e CPIH</t>
  </si>
  <si>
    <t>CPIH figures used to calculate adjustment to pass-through component included in baseline</t>
  </si>
  <si>
    <t>2f Scaling factor</t>
  </si>
  <si>
    <t>To scale SMNCC at nil consumption</t>
  </si>
  <si>
    <t>2g PPM cost offset</t>
  </si>
  <si>
    <t>Input and calculation of the indexed PPM additional costs to offset</t>
  </si>
  <si>
    <t>3 Other=&gt;</t>
  </si>
  <si>
    <t>3a Forecasted Values</t>
  </si>
  <si>
    <t>Forecasts future pass-through costs</t>
  </si>
  <si>
    <t>Notes on non-pass-through modelling</t>
  </si>
  <si>
    <r>
      <t>The current BEIS SMIP Cost Benefit Analysis (CBA) model is used as the starting point. We have then made a number of modifications including removing cost and benefit categories not relevant to suppliers as well as using more recent information from suppliers to accurately reflect the incremental net cost of smart metering on suppliers. As a result, we have created new outputs from the model that specifically calculate the net cost to energy suppliers for the purpose of setting the default tariff cap (hereafter referred to as "</t>
    </r>
    <r>
      <rPr>
        <b/>
        <sz val="10"/>
        <color theme="1"/>
        <rFont val="Verdana"/>
        <family val="2"/>
      </rPr>
      <t>the model</t>
    </r>
    <r>
      <rPr>
        <sz val="10"/>
        <color theme="1"/>
        <rFont val="Verdana"/>
        <family val="2"/>
      </rPr>
      <t>")</t>
    </r>
  </si>
  <si>
    <t>Model context</t>
  </si>
  <si>
    <t>SMNCC Values</t>
  </si>
  <si>
    <t>This tab calculates the total Smart Metering Net Cost Change (SMNCC). Pass-through costs are compared to those included in the Baseline Value of the Operating Cost Allowance in April 2017. Because the Baseline Value of the Operating Cost Allowance is uplifted by CPIH, we also uplift the baseline value of pass-through costs in calculating the difference.
The non-pass-through component is calculated using "the model" (see Notes).</t>
  </si>
  <si>
    <t>Smart Metering Pass-Through Net Cost Change</t>
  </si>
  <si>
    <t>Fuel</t>
  </si>
  <si>
    <t>Payment method</t>
  </si>
  <si>
    <t>Unit</t>
  </si>
  <si>
    <t>Historical examples</t>
  </si>
  <si>
    <t>Values to be used to update level of default tariff cap</t>
  </si>
  <si>
    <t>These are for historical periods. The values for April-September 2017 are those included in the operating costs allowance, and are the baseline against which the SMNCC is calculated. Other periods are shown for illustration only.</t>
  </si>
  <si>
    <t>These are the values that will be populated to calculate the updated level of the default tariff cap</t>
  </si>
  <si>
    <t>28AD Charge Restriction Period:</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</si>
  <si>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</si>
  <si>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</si>
  <si>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</si>
  <si>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</si>
  <si>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</si>
  <si>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</si>
  <si>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</si>
  <si>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</si>
  <si>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</si>
  <si>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</si>
  <si>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</si>
  <si>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</si>
  <si>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March 2023</t>
  </si>
  <si>
    <t>April 2023 - September 2023</t>
  </si>
  <si>
    <t>October 2023 - December 2023</t>
  </si>
  <si>
    <t>Update calculated as of:</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</si>
  <si>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</si>
  <si>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</si>
  <si>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</si>
  <si>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</si>
  <si>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</si>
  <si>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</si>
  <si>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</si>
  <si>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</si>
  <si>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</si>
  <si>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</si>
  <si>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</si>
  <si>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</si>
  <si>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</si>
  <si>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February 2023</t>
  </si>
  <si>
    <t>August 2023</t>
  </si>
  <si>
    <t>Year</t>
  </si>
  <si>
    <t>2017/18</t>
  </si>
  <si>
    <t>2018/19</t>
  </si>
  <si>
    <t>2018/2019</t>
  </si>
  <si>
    <t>2019/2020</t>
  </si>
  <si>
    <t>2020/2021</t>
  </si>
  <si>
    <t>2021/2022</t>
  </si>
  <si>
    <t>2022/2023</t>
  </si>
  <si>
    <t>2023/2024</t>
  </si>
  <si>
    <t>Electricity</t>
  </si>
  <si>
    <t>Standard Credit, Other Payment Method and PPM</t>
  </si>
  <si>
    <t>DCC charges</t>
  </si>
  <si>
    <t>£ per meter</t>
  </si>
  <si>
    <t>SEGB charges</t>
  </si>
  <si>
    <t>SMICoP charges</t>
  </si>
  <si>
    <t>Total pass-through charges</t>
  </si>
  <si>
    <t>CPIH compared to baseline</t>
  </si>
  <si>
    <t>Multiplier</t>
  </si>
  <si>
    <t>Net Change in DCC, SEGB &amp; SMICoP charges</t>
  </si>
  <si>
    <t>Gas</t>
  </si>
  <si>
    <t>Costs calculated through the model (see "Notes") - Smart Metering Non-Pass-Through Net Cost Change</t>
  </si>
  <si>
    <t>Standard Credit and Other Payment Method</t>
  </si>
  <si>
    <t>The model increment</t>
  </si>
  <si>
    <t>PPM</t>
  </si>
  <si>
    <t>Appyling the PPM additional cost offset - Net PPM Smart Metering Non-Pass-Through Net Cost Change</t>
  </si>
  <si>
    <t>Indexed PPM additional costs to offset. Please see '2g PPM cost offset' for more information.</t>
  </si>
  <si>
    <t>Net non-pass-through PPM SMNCC</t>
  </si>
  <si>
    <t>SMNCC at Benchmark Annual Consumption Level m kWh (typical consumption)</t>
  </si>
  <si>
    <t>SMNCC at Benchmark Annual Consumption Level m kWh</t>
  </si>
  <si>
    <t>SMNCC at Benchmark Annual Consumption Level nil kWh</t>
  </si>
  <si>
    <t>Scaling factor</t>
  </si>
  <si>
    <t>Credit</t>
  </si>
  <si>
    <t>In line with historical pricing at nil consumption - see appendix 1 of statutory consultation</t>
  </si>
  <si>
    <t>In line with the April 2021 statutory consultation position, applying nil consumption scalar to pass through costs only.</t>
  </si>
  <si>
    <t>£ per customer</t>
  </si>
  <si>
    <t>Non-pass-through costs</t>
  </si>
  <si>
    <t>This tab shows our estimate of changes in smart costs that are not related to charges from DCC, SEGB or SMICoP. It is estimated using the model.</t>
  </si>
  <si>
    <t xml:space="preserve">This estimate is derived using the model, according to the methodology described in Smart Metering Costs Appendix of our August consultation.
We propose to include a separate smart metering increment, the SMNCC, which enables us, when initially setting and subsequently updating the cap, to vary smart metering costs in a different manner to the other elements of the cap. The increment focusses only on supplier costs, therefore it does not account for network benefits or direct customer benefits (through energy savings).
Given the uncertainty on smart metering costs and roll out profile, we propose to set the non-pass-through element of the SMNCC for the first two periods of the default tariff cap up to the end of September 2019.
In 2019 and 2020, we propose to carry out a review of smart metering costs and roll out profile in order to set the SMNCC for future cap periods.
Further details on the calculation of the non-pass-through SMNCC can be found in the smart metering costs appendix. In addition further details on our review of smart metering costs cab be found in our published consultation documents. 
</t>
  </si>
  <si>
    <t>SEGB Costs</t>
  </si>
  <si>
    <t>This tab calculates the SEGB component of the Smart Metering Pass-Through Net Cost Change</t>
  </si>
  <si>
    <t>Source</t>
  </si>
  <si>
    <t>These are for historical periods, for illustration only. The values for April-September 2017 are used to calculate the baseline level of the cap</t>
  </si>
  <si>
    <t>28AD Charge Restriction Period</t>
  </si>
  <si>
    <t>Inputs</t>
  </si>
  <si>
    <t>Marketing</t>
  </si>
  <si>
    <t>SEGB Budget</t>
  </si>
  <si>
    <t>£</t>
  </si>
  <si>
    <t>Policy &amp; communication</t>
  </si>
  <si>
    <t>Finance &amp; operations total</t>
  </si>
  <si>
    <t>Total Residential Live on supply Electricity</t>
  </si>
  <si>
    <t>BEIS Website</t>
  </si>
  <si>
    <t># meters</t>
  </si>
  <si>
    <t>Total Residential Live on supply Gas</t>
  </si>
  <si>
    <t>Market share of nominated suppliers (Electricity)</t>
  </si>
  <si>
    <t>Ofgem</t>
  </si>
  <si>
    <t>%</t>
  </si>
  <si>
    <t>Market share of nominated suppliers (Gas)</t>
  </si>
  <si>
    <t>Calculations</t>
  </si>
  <si>
    <t>'Nominated Supplier' Residential Live on supply Electricity</t>
  </si>
  <si>
    <t>'Nominated Supplier' Residential Live on supply Gas</t>
  </si>
  <si>
    <t>Capital Costs</t>
  </si>
  <si>
    <t>Fixed Costs</t>
  </si>
  <si>
    <t>Electricity %</t>
  </si>
  <si>
    <t>Gas %</t>
  </si>
  <si>
    <t>Electricity Capital Costs per meter (nominated only)</t>
  </si>
  <si>
    <t>Electricity Fixed Costs per meter (all suppliers)</t>
  </si>
  <si>
    <t>Gas Capital Costs per meter (nominated only)</t>
  </si>
  <si>
    <t>Gas Fixed Costs Per meter (all suppliers)</t>
  </si>
  <si>
    <t>Total Electricity</t>
  </si>
  <si>
    <t>Total Gas</t>
  </si>
  <si>
    <t>Total</t>
  </si>
  <si>
    <t>Electricity per meter</t>
  </si>
  <si>
    <t>Gas per meter</t>
  </si>
  <si>
    <t>Output</t>
  </si>
  <si>
    <t>SEGB increment for given 28AD Charge Restriction Period</t>
  </si>
  <si>
    <t>Notes:</t>
  </si>
  <si>
    <t>1. Whilst the cap is refreshed every six months, projecting the next four quarters of cost aligned to the financial year, SEGB work to the calendar year. The approach to align the two is for there to be a lag - i.e. use the annual SEGB budgeted costs as published in December for the April refresh for the Default Tariff Cap, and essentially provide an increment for 1 past quarter and 3 future quarters</t>
  </si>
  <si>
    <t>2. 'Capital Costs' are the sum of 'Marketing' and 'Policy and Communication' costs. These are socialised between all 'Nominated Suppliers'</t>
  </si>
  <si>
    <t>3. 'Fixed Costs' constitute 'Finance and Operations', which are socialised between all suppliers</t>
  </si>
  <si>
    <t>4. To account for a single Default Tariff Cap for all suppliers, a different increment for nominated and all other suppliers for SEGB costs is not possible. The cap will be based on the costs for a fully obligated supplier</t>
  </si>
  <si>
    <t>DCC Costs</t>
  </si>
  <si>
    <t>This tab calculates the DCC component of the Smart Metering Pass-Through Net Cost Change</t>
  </si>
  <si>
    <t>Total SMETS2 Electricity enrolled</t>
  </si>
  <si>
    <t>The assumptions in the model in place during the cap period</t>
  </si>
  <si>
    <t>Total SMETS2 gas enrolled</t>
  </si>
  <si>
    <t>Draft SBCH %age</t>
  </si>
  <si>
    <t>DCC Draft Charging Statement</t>
  </si>
  <si>
    <t>Draft DBCH %age</t>
  </si>
  <si>
    <t>Final SBCH %age</t>
  </si>
  <si>
    <t>DCC Final Charging Statement</t>
  </si>
  <si>
    <t>Final DBCH %age</t>
  </si>
  <si>
    <t>Draft Fixed Electricity (G1)</t>
  </si>
  <si>
    <t>Draft Fixed Gas (G3)</t>
  </si>
  <si>
    <t>Draft Alt HAN Electricity (G1)</t>
  </si>
  <si>
    <t>Draft Alt HAN Gas (G3)</t>
  </si>
  <si>
    <t>Draft Fixed SBCH Charges Electricity (G1)</t>
  </si>
  <si>
    <t>Draft Fixed SBCH Charges Gas (G3)</t>
  </si>
  <si>
    <t>Draft Fixed DBCH Charges Electricity (G1)</t>
  </si>
  <si>
    <t>Draft Fixed DBCH Charges Gas (G3)</t>
  </si>
  <si>
    <t>Draft Explicit Charges Revenue</t>
  </si>
  <si>
    <t>Final Fixed Electricity (G1)</t>
  </si>
  <si>
    <t>Final Fixed Gas (G3)</t>
  </si>
  <si>
    <t>Final Alt HAN Electricity (G1)</t>
  </si>
  <si>
    <t>Final Alt HAN Gas (G3)</t>
  </si>
  <si>
    <t>Final Fixed SBCH Charges Electricity (G1)</t>
  </si>
  <si>
    <t>Final Fixed SBCH Charges Gas (G3)</t>
  </si>
  <si>
    <t>Final Fixed DBCH Charges Electricity (G1)</t>
  </si>
  <si>
    <t>Final Fixed DBCH Charges Gas (G3)</t>
  </si>
  <si>
    <t>Final Explicit Charges Revenue</t>
  </si>
  <si>
    <t>Constant - number of months in year</t>
  </si>
  <si>
    <t>#</t>
  </si>
  <si>
    <t>Total Fixed Costs - Electricity</t>
  </si>
  <si>
    <t>Total Fixed Costs - Gas</t>
  </si>
  <si>
    <t>Total Alt HAN Costs - Electricity</t>
  </si>
  <si>
    <t>Total Alt HAN Costs - Gas</t>
  </si>
  <si>
    <t>Total SB Comms Hub Costs - Electricity</t>
  </si>
  <si>
    <t>Total SB Comms Hub Costs - Gas</t>
  </si>
  <si>
    <t>Total DB Comms Hub Costs - Electricity</t>
  </si>
  <si>
    <t>Total DB Comms Hub Costs - Gas</t>
  </si>
  <si>
    <t>Total Explicit Costs - Electricity</t>
  </si>
  <si>
    <t>Total Explicit Costs - Gas</t>
  </si>
  <si>
    <t>Total Costs - Electricity</t>
  </si>
  <si>
    <t>Total Costs - Gas</t>
  </si>
  <si>
    <t>Cost per meter - Electricity</t>
  </si>
  <si>
    <t>Cost per meter - gas</t>
  </si>
  <si>
    <t>DCC increment for given 28AD Charge Restriction Period</t>
  </si>
  <si>
    <t>1. The charging statement that will be available to use in the 28AD Charge Restriction Periods starting in April is a draft (published in December) - and therefore may be different to the final charging statement published in the following March</t>
  </si>
  <si>
    <t>2. Fixed costs and Alt HAN costs are calculated as a multiple of total live on supply residential customers</t>
  </si>
  <si>
    <t>3. Comms Hub Costs are based upon number of SMETS2 meters enrolled into the DCC</t>
  </si>
  <si>
    <t>4. Explicit charges are socialised across all suppliers based upon market share</t>
  </si>
  <si>
    <t>SMICoP Costs</t>
  </si>
  <si>
    <t>This tab calculates the SMICoP component of the Smart Metering Pass-Through Net Cost Change.</t>
  </si>
  <si>
    <t>SMICoP Total</t>
  </si>
  <si>
    <t>SMICoP derived modelling assumption</t>
  </si>
  <si>
    <t>SMICoP increment for given 28AD Charge Restriction Period</t>
  </si>
  <si>
    <t>CPIH</t>
  </si>
  <si>
    <t>This tab shows the consumer price index (including owner occupiers' housing costs), used to index the operating cost baseline.</t>
  </si>
  <si>
    <t>CPIH in base period (December 2016):</t>
  </si>
  <si>
    <t>Value of index as of:</t>
  </si>
  <si>
    <t>2014 DEC</t>
  </si>
  <si>
    <t>2015 JUN</t>
  </si>
  <si>
    <t>2015 DEC</t>
  </si>
  <si>
    <t>2016 JUN</t>
  </si>
  <si>
    <t>2016 DEC</t>
  </si>
  <si>
    <t>2017 JUN</t>
  </si>
  <si>
    <t>2017 DEC</t>
  </si>
  <si>
    <t>2018 JUN</t>
  </si>
  <si>
    <t>2018 DEC</t>
  </si>
  <si>
    <t>2019 JUN</t>
  </si>
  <si>
    <t>2019 DEC</t>
  </si>
  <si>
    <t>2020 JUN</t>
  </si>
  <si>
    <t>2020 DEC</t>
  </si>
  <si>
    <t>2021 JUN</t>
  </si>
  <si>
    <t>2021 DEC</t>
  </si>
  <si>
    <t>2022 JUN</t>
  </si>
  <si>
    <t>2022 DEC</t>
  </si>
  <si>
    <t>2023 JUN</t>
  </si>
  <si>
    <t>April 2015 – September 2015</t>
  </si>
  <si>
    <t>October 2015- March 2016</t>
  </si>
  <si>
    <t>April 2016-September 2016</t>
  </si>
  <si>
    <t>October 2016-March 2017</t>
  </si>
  <si>
    <t>Updated calculated as of:</t>
  </si>
  <si>
    <t>February 2015</t>
  </si>
  <si>
    <t>August 2015</t>
  </si>
  <si>
    <t>February 2016</t>
  </si>
  <si>
    <t>August 2016</t>
  </si>
  <si>
    <t>July 2021</t>
  </si>
  <si>
    <t>Input data, from ONS</t>
  </si>
  <si>
    <t>Updated values to be pasted below every six months. Value of CPIH for December used for February updates (ie cap level applying from April) value of CPIH for June used for August updates (ie cap level applying from October)</t>
  </si>
  <si>
    <t>Source:</t>
  </si>
  <si>
    <t>https://www.ons.gov.uk/economy/inflationandpriceindices/timeseries/l522/mm23</t>
  </si>
  <si>
    <t>CPIH INDEX 00: ALL ITEMS 2015=100</t>
  </si>
  <si>
    <t>CDID</t>
  </si>
  <si>
    <t>L522</t>
  </si>
  <si>
    <t>Source dataset ID</t>
  </si>
  <si>
    <t>MM23</t>
  </si>
  <si>
    <t>PreUnit</t>
  </si>
  <si>
    <t/>
  </si>
  <si>
    <t>Index, base year = 100</t>
  </si>
  <si>
    <t>Release date</t>
  </si>
  <si>
    <t>22-06-2022</t>
  </si>
  <si>
    <t>Next release</t>
  </si>
  <si>
    <t>Important notes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</si>
  <si>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</si>
  <si>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</si>
  <si>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</si>
  <si>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</si>
  <si>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</si>
  <si>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</si>
  <si>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</si>
  <si>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</si>
  <si>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</si>
  <si>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</si>
  <si>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</si>
  <si>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</si>
  <si>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</si>
  <si>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</si>
  <si>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</si>
  <si>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</si>
  <si>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</si>
  <si>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</si>
  <si>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</si>
  <si>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</si>
  <si>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</si>
  <si>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</si>
  <si>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</si>
  <si>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</si>
  <si>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</si>
  <si>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</si>
  <si>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</si>
  <si>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</si>
  <si>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</si>
  <si>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</si>
  <si>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</si>
  <si>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</si>
  <si>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</si>
  <si>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</si>
  <si>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</si>
  <si>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</si>
  <si>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</si>
  <si>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</si>
  <si>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</si>
  <si>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</si>
  <si>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</si>
  <si>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</si>
  <si>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</si>
  <si>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</si>
  <si>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</si>
  <si>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</si>
  <si>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</si>
  <si>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</si>
  <si>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</si>
  <si>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</si>
  <si>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</si>
  <si>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</si>
  <si>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</si>
  <si>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</si>
  <si>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</si>
  <si>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</si>
  <si>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</si>
  <si>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</si>
  <si>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</si>
  <si>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</si>
  <si>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</si>
  <si>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</si>
  <si>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</si>
  <si>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</si>
  <si>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</si>
  <si>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</si>
  <si>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</si>
  <si>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</si>
  <si>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</si>
  <si>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</si>
  <si>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</si>
  <si>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</si>
  <si>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</si>
  <si>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</si>
  <si>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</si>
  <si>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</si>
  <si>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</si>
  <si>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</si>
  <si>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</si>
  <si>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</si>
  <si>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</si>
  <si>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</si>
  <si>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</si>
  <si>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</si>
  <si>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</si>
  <si>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</si>
  <si>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</si>
  <si>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</si>
  <si>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</si>
  <si>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</si>
  <si>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</si>
  <si>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</si>
  <si>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</si>
  <si>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</si>
  <si>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</si>
  <si>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</si>
  <si>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</si>
  <si>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</si>
  <si>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</si>
  <si>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</si>
  <si>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</si>
  <si>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</si>
  <si>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</si>
  <si>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</si>
  <si>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</si>
  <si>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</si>
  <si>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</si>
  <si>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</si>
  <si>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</si>
  <si>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</si>
  <si>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</si>
  <si>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</si>
  <si>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</si>
  <si>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</si>
  <si>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</si>
  <si>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</si>
  <si>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</si>
  <si>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</si>
  <si>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</si>
  <si>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</si>
  <si>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</si>
  <si>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</si>
  <si>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</si>
  <si>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</si>
  <si>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</si>
  <si>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</si>
  <si>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</si>
  <si>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</si>
  <si>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</si>
  <si>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</si>
  <si>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</si>
  <si>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</si>
  <si>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</si>
  <si>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</si>
  <si>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</si>
  <si>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</si>
  <si>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</si>
  <si>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</si>
  <si>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</si>
  <si>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</si>
  <si>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</si>
  <si>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</si>
  <si>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</si>
  <si>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</si>
  <si>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</si>
  <si>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</si>
  <si>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</si>
  <si>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</si>
  <si>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</si>
  <si>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</si>
  <si>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</si>
  <si>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</si>
  <si>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</si>
  <si>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</si>
  <si>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</si>
  <si>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</si>
  <si>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</si>
  <si>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</si>
  <si>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</si>
  <si>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</si>
  <si>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</si>
  <si>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</si>
  <si>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</si>
  <si>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</si>
  <si>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</si>
  <si>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</si>
  <si>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</si>
  <si>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</si>
  <si>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</si>
  <si>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</si>
  <si>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</si>
  <si>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</si>
  <si>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</si>
  <si>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</si>
  <si>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</si>
  <si>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</si>
  <si>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</si>
  <si>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</si>
  <si>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</si>
  <si>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</si>
  <si>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</si>
  <si>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</si>
  <si>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</si>
  <si>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</si>
  <si>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</si>
  <si>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</si>
  <si>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</si>
  <si>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</si>
  <si>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2015 JAN</t>
  </si>
  <si>
    <t>2015 FEB</t>
  </si>
  <si>
    <t>2015 MAR</t>
  </si>
  <si>
    <t>2015 APR</t>
  </si>
  <si>
    <t>2015 MAY</t>
  </si>
  <si>
    <t>2015 JUL</t>
  </si>
  <si>
    <t>2015 AUG</t>
  </si>
  <si>
    <t>2015 SEP</t>
  </si>
  <si>
    <t>2015 OCT</t>
  </si>
  <si>
    <t>2015 NOV</t>
  </si>
  <si>
    <t>2016 JAN</t>
  </si>
  <si>
    <t>2016 FEB</t>
  </si>
  <si>
    <t>2016 MAR</t>
  </si>
  <si>
    <t>2016 APR</t>
  </si>
  <si>
    <t>2016 MAY</t>
  </si>
  <si>
    <t>2016 JUL</t>
  </si>
  <si>
    <t>2016 AUG</t>
  </si>
  <si>
    <t>2016 SEP</t>
  </si>
  <si>
    <t>2016 OCT</t>
  </si>
  <si>
    <t>2016 NOV</t>
  </si>
  <si>
    <t>2017 JAN</t>
  </si>
  <si>
    <t>2017 FEB</t>
  </si>
  <si>
    <t>2017 MAR</t>
  </si>
  <si>
    <t>2017 APR</t>
  </si>
  <si>
    <t>2017 MAY</t>
  </si>
  <si>
    <t>2017 JUL</t>
  </si>
  <si>
    <t>2017 AUG</t>
  </si>
  <si>
    <t>2017 SEP</t>
  </si>
  <si>
    <t>2017 OCT</t>
  </si>
  <si>
    <t>2017 NOV</t>
  </si>
  <si>
    <t>2018 JAN</t>
  </si>
  <si>
    <t>2018 FEB</t>
  </si>
  <si>
    <t>2018 MAR</t>
  </si>
  <si>
    <t>2018 APR</t>
  </si>
  <si>
    <t>2018 MAY</t>
  </si>
  <si>
    <t>2018 JUL</t>
  </si>
  <si>
    <t>2018 AUG</t>
  </si>
  <si>
    <t>2018 SEP</t>
  </si>
  <si>
    <t>2018 OCT</t>
  </si>
  <si>
    <t>2018 NOV</t>
  </si>
  <si>
    <t>2019 JAN</t>
  </si>
  <si>
    <t>2019 FEB</t>
  </si>
  <si>
    <t>2019 MAR</t>
  </si>
  <si>
    <t>2019 APR</t>
  </si>
  <si>
    <t>2019 MAY</t>
  </si>
  <si>
    <t>2019 JUL</t>
  </si>
  <si>
    <t>2019 AUG</t>
  </si>
  <si>
    <t>2019 SEP</t>
  </si>
  <si>
    <t>2019 OCT</t>
  </si>
  <si>
    <t>2019 NOV</t>
  </si>
  <si>
    <t>2020 JAN</t>
  </si>
  <si>
    <t>2020 FEB</t>
  </si>
  <si>
    <t>2020 MAR</t>
  </si>
  <si>
    <t>2020 APR</t>
  </si>
  <si>
    <t>2020 MAY</t>
  </si>
  <si>
    <t>2020 JUL</t>
  </si>
  <si>
    <t>2020 AUG</t>
  </si>
  <si>
    <t>2020 SEP</t>
  </si>
  <si>
    <t>2020 OCT</t>
  </si>
  <si>
    <t>2020 NOV</t>
  </si>
  <si>
    <t>2021 JAN</t>
  </si>
  <si>
    <t>2021 FEB</t>
  </si>
  <si>
    <t>2021 MAR</t>
  </si>
  <si>
    <t>2021 APR</t>
  </si>
  <si>
    <t>2021 MAY</t>
  </si>
  <si>
    <t>2021 JUL</t>
  </si>
  <si>
    <t>2021 AUG</t>
  </si>
  <si>
    <t>2021 SEP</t>
  </si>
  <si>
    <t>2021 OCT</t>
  </si>
  <si>
    <t>2021 NOV</t>
  </si>
  <si>
    <t>2022 JAN</t>
  </si>
  <si>
    <t>2022 FEB</t>
  </si>
  <si>
    <t>2022 MAR</t>
  </si>
  <si>
    <t>2022 APR</t>
  </si>
  <si>
    <t>2022 MAY</t>
  </si>
  <si>
    <t>To scale at nil consumption.</t>
  </si>
  <si>
    <t>Value</t>
  </si>
  <si>
    <t>Analysis of historical pricing at nil consumption</t>
  </si>
  <si>
    <t>PPM additional cost offset</t>
  </si>
  <si>
    <t>This tab calculates the indexed value of the PPM additional costs to offset</t>
  </si>
  <si>
    <t>2017 value</t>
  </si>
  <si>
    <t>PPM additional costs to offset</t>
  </si>
  <si>
    <t>Ofgem (2020), Protecting energy consumers with prepayment meters: 
May 2020 consultation, paragraph 4.2, 4.25.
https://www.ofgem.gov.uk/system/files/docs/2020/05/protecting_energy_consumers_with_prepayment_meters_may_2020_consultation.pdf</t>
  </si>
  <si>
    <t>£ (2017 prices)</t>
  </si>
  <si>
    <t>Indexed PPM additional costs to offset</t>
  </si>
  <si>
    <t>Forecasted Values</t>
  </si>
  <si>
    <t>This tab shows the approach we are proposing to calculate illustrative values for the pass-through element of the SMNCC for the 28AD Charge Restriction Period between April 2019 - September 2019.</t>
  </si>
  <si>
    <t>DCC</t>
  </si>
  <si>
    <t>Actuals</t>
  </si>
  <si>
    <t>Forecasts</t>
  </si>
  <si>
    <t>Estimated Allowed Revenue</t>
  </si>
  <si>
    <t>Change in Allowed revenue (%)</t>
  </si>
  <si>
    <t>Electricity Increment</t>
  </si>
  <si>
    <t>Gas Increment</t>
  </si>
  <si>
    <t>SEGB</t>
  </si>
  <si>
    <t>CPI Absolute</t>
  </si>
  <si>
    <t>CPI % Change</t>
  </si>
  <si>
    <t>SMICoP</t>
  </si>
  <si>
    <t>v1.12</t>
  </si>
  <si>
    <t>- Inserted values in cells Q7:S10 of sheet ‘2a Non pass-through costs’. The decision for these values are set out in our decision document for updating the credit and PPM SMNCC allowance which were published 4 August 2022.    
- Inputs updated for price cap period 01 Oct 2022 to 31 Mar 2023.</t>
  </si>
  <si>
    <t>v1.13</t>
  </si>
  <si>
    <t>- Inputs updated for price cap period 01 Apr 2022 to 30 Sep 2022</t>
  </si>
  <si>
    <t>2022 JUL</t>
  </si>
  <si>
    <t>2022 AUG</t>
  </si>
  <si>
    <t>2022 SEP</t>
  </si>
  <si>
    <t>2022 OCT</t>
  </si>
  <si>
    <t>2022 NOV</t>
  </si>
  <si>
    <t>2023 JAN</t>
  </si>
  <si>
    <t>August 2024</t>
  </si>
  <si>
    <t>August 2025</t>
  </si>
  <si>
    <t>August 2026</t>
  </si>
  <si>
    <t>August 2027</t>
  </si>
  <si>
    <t>August 2028</t>
  </si>
  <si>
    <t>August 2029</t>
  </si>
  <si>
    <t>August 2030</t>
  </si>
  <si>
    <t>January 2024 - March 2024</t>
  </si>
  <si>
    <t>April 2024 - June 2024</t>
  </si>
  <si>
    <t>July 2024 - September 2024</t>
  </si>
  <si>
    <t>October 2024 - December 2024</t>
  </si>
  <si>
    <t xml:space="preserve">January 2025 - March 2025 </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</si>
  <si>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</si>
  <si>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</si>
  <si>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</si>
  <si>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</si>
  <si>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</si>
  <si>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</si>
  <si>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</si>
  <si>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</si>
  <si>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2028 - June 2028</t>
  </si>
  <si>
    <t>April 2027 - June 2027</t>
  </si>
  <si>
    <t>July 2027 - September 2027</t>
  </si>
  <si>
    <t>October 2027 - December 2027</t>
  </si>
  <si>
    <t>January 2028 - March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</si>
  <si>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</si>
  <si>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</si>
  <si>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</si>
  <si>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</si>
  <si>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</si>
  <si>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</si>
  <si>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</si>
  <si>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</si>
  <si>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</si>
  <si>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</si>
  <si>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February 2024</t>
  </si>
  <si>
    <t>February 2025</t>
  </si>
  <si>
    <t>February 2026</t>
  </si>
  <si>
    <t>February 2027</t>
  </si>
  <si>
    <t>February 2028</t>
  </si>
  <si>
    <t>February 2029</t>
  </si>
  <si>
    <t>February 2030</t>
  </si>
  <si>
    <t>January 2025 - March 2025</t>
  </si>
  <si>
    <t>2023 DEC</t>
  </si>
  <si>
    <t>2024 JUN</t>
  </si>
  <si>
    <t>2024 DEC</t>
  </si>
  <si>
    <t>2025 JUN</t>
  </si>
  <si>
    <t>2025 DEC</t>
  </si>
  <si>
    <t>2026 JUN</t>
  </si>
  <si>
    <t>2026 DEC</t>
  </si>
  <si>
    <t>2027 JUN</t>
  </si>
  <si>
    <t>2027 DEC</t>
  </si>
  <si>
    <t>2028 JUN</t>
  </si>
  <si>
    <t>2028 DEC</t>
  </si>
  <si>
    <t>2029 JUN</t>
  </si>
  <si>
    <t>2029 DEC</t>
  </si>
  <si>
    <t>2030 JUN</t>
  </si>
  <si>
    <t>2024/2025</t>
  </si>
  <si>
    <t>2025/2026</t>
  </si>
  <si>
    <t>2026/2027</t>
  </si>
  <si>
    <t>2027/2028</t>
  </si>
  <si>
    <t>2028/2029</t>
  </si>
  <si>
    <t>2029/2030</t>
  </si>
  <si>
    <t>2030/2031</t>
  </si>
  <si>
    <t>v1.14</t>
  </si>
  <si>
    <t>Changes made to extend model functionality to 2030:
- Inputs and calculations: Updated tabs ‘2a Non-pass through costs’, ‘2b SEGB’, ‘2c DCC cost’, ‘2d SMICoP cost’, ‘2g PPM additional cost’.
- Output: Updated tab ‘1a SMNCC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</si>
</sst>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 #,##0_-;_-* &quot;-&quot;??_-;_-@_-"/>
    <numFmt numFmtId="166" formatCode="_-* #,##0.000_-;\-* #,##0.000_-;_-* &quot;-&quot;??_-;_-@_-"/>
    <numFmt numFmtId="167" formatCode="_-* #,##0.0000_-;\-* #,##0.0000_-;_-* &quot;-&quot;??_-;_-@_-"/>
    <numFmt numFmtId="168" formatCode="0.0%"/>
    <numFmt numFmtId="169" formatCode="0.000"/>
    <numFmt numFmtId="170" formatCode="0.0"/>
    <numFmt numFmtId="171" formatCode="_-[$€-2]* #,##0.00_-;\-[$€-2]* #,##0.00_-;_-[$€-2]* &quot;-&quot;??_-"/>
    <numFmt numFmtId="172" formatCode="_(* #,##0_);_(* \(#,##0\);_(* &quot;-&quot;??_);_(@_)"/>
  </numFmts>
  <fonts count="3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b/>
      <sz val="11"/>
      <color theme="1"/>
      <name val="Calibri"/>
      <family val="2"/>
      <scheme val="minor"/>
    </font>
    <font>
      <sz val="9"/>
      <color indexed="81"/>
      <name val="Tahoma"/>
      <family val="2"/>
    </font>
    <font>
      <sz val="11"/>
      <color theme="1"/>
      <name val="Calibri"/>
      <family val="2"/>
    </font>
    <font>
      <b/>
      <sz val="10"/>
      <color theme="0"/>
      <name val="Verdana"/>
      <family val="2"/>
    </font>
    <font>
      <b/>
      <sz val="14"/>
      <color theme="1"/>
      <name val="Verdana"/>
      <family val="2"/>
    </font>
    <font>
      <sz val="10"/>
      <name val="Arial"/>
      <family val="2"/>
    </font>
    <font>
      <b/>
      <sz val="10"/>
      <color theme="0"/>
      <name val="Arial"/>
      <family val="2"/>
    </font>
    <font>
      <sz val="9"/>
      <name val="Verdana"/>
      <family val="2"/>
    </font>
    <font>
      <sz val="10"/>
      <name val="Verdana"/>
      <family val="2"/>
    </font>
    <font>
      <b/>
      <sz val="9"/>
      <name val="Verdana"/>
      <family val="2"/>
    </font>
    <font>
      <b/>
      <sz val="10"/>
      <name val="Verdana"/>
      <family val="2"/>
    </font>
    <font>
      <u/>
      <sz val="10"/>
      <color theme="10"/>
      <name val="Verdana"/>
      <family val="2"/>
    </font>
    <font>
      <b/>
      <sz val="10"/>
      <color theme="1"/>
      <name val="Verdana"/>
      <family val="2"/>
    </font>
    <font>
      <sz val="11"/>
      <color theme="1"/>
      <name val="Verdana"/>
      <family val="2"/>
    </font>
    <font>
      <sz val="10"/>
      <color theme="0"/>
      <name val="Verdana"/>
      <family val="2"/>
    </font>
    <font>
      <i/>
      <sz val="10"/>
      <name val="Verdana"/>
      <family val="2"/>
    </font>
    <font>
      <i/>
      <sz val="10"/>
      <color theme="1"/>
      <name val="Verdana"/>
      <family val="2"/>
    </font>
    <font>
      <b/>
      <sz val="12"/>
      <color theme="1"/>
      <name val="Verdana"/>
      <family val="2"/>
    </font>
    <font>
      <sz val="11"/>
      <name val="Calibri"/>
      <family val="2"/>
      <scheme val="minor"/>
    </font>
    <font>
      <sz val="11"/>
      <color rgb="FF3F3F76"/>
      <name val="Calibri"/>
      <family val="2"/>
      <scheme val="minor"/>
    </font>
    <font>
      <i/>
      <sz val="11"/>
      <color rgb="FF7F7F7F"/>
      <name val="Calibri"/>
      <family val="2"/>
      <scheme val="minor"/>
    </font>
    <font>
      <b/>
      <sz val="11"/>
      <color rgb="FFFA7D00"/>
      <name val="Calibri"/>
      <family val="2"/>
      <scheme val="minor"/>
    </font>
    <font>
      <b/>
      <sz val="10"/>
      <name val="Arial"/>
      <family val="2"/>
    </font>
    <font>
      <b/>
      <sz val="9"/>
      <color indexed="81"/>
      <name val="Tahoma"/>
      <family val="2"/>
    </font>
    <font>
      <sz val="10"/>
      <name val="Arial"/>
      <family val="2"/>
    </font>
    <font>
      <sz val="8"/>
      <name val="Calibri"/>
      <family val="2"/>
      <scheme val="minor"/>
    </font>
    <font>
      <sz val="10"/>
      <name val="Arial"/>
      <family val="2"/>
    </font>
    <font>
      <sz val="10"/>
      <color rgb="FFFF0000"/>
      <name val="Verdana"/>
      <family val="2"/>
    </font>
  </fonts>
  <fills count="1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theme="0" tint="-0.14999847407452621"/>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C99"/>
      </patternFill>
    </fill>
    <fill>
      <patternFill patternType="solid">
        <fgColor rgb="FFF2F2F2"/>
      </patternFill>
    </fill>
    <fill>
      <patternFill patternType="solid">
        <fgColor rgb="FFFFF2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s>
  <cellStyleXfs count="47">
    <xf numFmtId="0" fontId="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0" fontId="8" fillId="0" borderId="0"/>
    <xf numFmtId="0" fontId="16" fillId="0" borderId="0"/>
    <xf numFmtId="0" fontId="22" fillId="0" borderId="0" applyNumberFormat="0" applyFill="0" applyBorder="0" applyAlignment="0" applyProtection="0"/>
    <xf numFmtId="0" fontId="16" fillId="0" borderId="0"/>
    <xf numFmtId="0" fontId="5" fillId="0" borderId="0"/>
    <xf numFmtId="0" fontId="3" fillId="0" borderId="0"/>
    <xf numFmtId="164" fontId="3" fillId="0" borderId="0" applyFont="0" applyFill="0" applyBorder="0" applyAlignment="0" applyProtection="0"/>
    <xf numFmtId="0" fontId="10" fillId="0" borderId="0"/>
    <xf numFmtId="0" fontId="30" fillId="14" borderId="15" applyNumberFormat="0" applyAlignment="0" applyProtection="0"/>
    <xf numFmtId="0" fontId="31" fillId="0" borderId="0" applyNumberFormat="0" applyFill="0" applyBorder="0" applyAlignment="0" applyProtection="0"/>
    <xf numFmtId="164" fontId="10" fillId="0" borderId="0" applyFont="0" applyFill="0" applyBorder="0" applyAlignment="0" applyProtection="0"/>
    <xf numFmtId="0" fontId="32" fillId="15" borderId="15" applyNumberFormat="0" applyAlignment="0" applyProtection="0"/>
    <xf numFmtId="0" fontId="3" fillId="0" borderId="0"/>
    <xf numFmtId="0" fontId="22" fillId="0" borderId="0" applyNumberForma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0" fillId="0" borderId="0"/>
    <xf numFmtId="171" fontId="16" fillId="0" borderId="0"/>
    <xf numFmtId="0" fontId="3" fillId="0" borderId="0"/>
    <xf numFmtId="0" fontId="10" fillId="0" borderId="0"/>
    <xf numFmtId="0" fontId="33" fillId="0" borderId="0"/>
    <xf numFmtId="164" fontId="10" fillId="0" borderId="0" applyFont="0" applyFill="0" applyBorder="0" applyAlignment="0" applyProtection="0"/>
    <xf numFmtId="0" fontId="3" fillId="0" borderId="0"/>
    <xf numFmtId="9" fontId="3" fillId="0" borderId="0" applyFont="0" applyFill="0" applyBorder="0" applyAlignment="0" applyProtection="0"/>
    <xf numFmtId="0" fontId="16" fillId="0" borderId="0"/>
    <xf numFmtId="0" fontId="16" fillId="0" borderId="0"/>
    <xf numFmtId="0" fontId="35"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10" fillId="0" borderId="0" applyFont="0" applyFill="0" applyBorder="0" applyAlignment="0" applyProtection="0"/>
    <xf numFmtId="0" fontId="2" fillId="0" borderId="0"/>
    <xf numFmtId="164" fontId="2" fillId="0" borderId="0" applyFont="0" applyFill="0" applyBorder="0" applyAlignment="0" applyProtection="0"/>
    <xf numFmtId="164" fontId="10" fillId="0" borderId="0" applyFont="0" applyFill="0" applyBorder="0" applyAlignment="0" applyProtection="0"/>
    <xf numFmtId="0" fontId="2" fillId="0" borderId="0"/>
    <xf numFmtId="164" fontId="10" fillId="0" borderId="0" applyFont="0" applyFill="0" applyBorder="0" applyAlignment="0" applyProtection="0"/>
    <xf numFmtId="0" fontId="2" fillId="0" borderId="0"/>
    <xf numFmtId="9" fontId="2" fillId="0" borderId="0" applyFont="0" applyFill="0" applyBorder="0" applyAlignment="0" applyProtection="0"/>
    <xf numFmtId="0" fontId="16" fillId="0" borderId="0"/>
    <xf numFmtId="0" fontId="37" fillId="0" borderId="0"/>
  </cellStyleXfs>
  <cellXfs count="278">
    <xf numFmtId="0" fontId="0" fillId="0" borderId="0" xfId="0"/>
    <xf numFmtId="0" fontId="0" fillId="4" borderId="0" xfId="0" applyFill="1"/>
    <xf numFmtId="0" fontId="13" fillId="5" borderId="0" xfId="3" applyFont="1" applyFill="1" applyAlignment="1">
      <alignment wrapText="1"/>
    </xf>
    <xf numFmtId="0" fontId="13" fillId="5" borderId="0" xfId="3" applyFont="1" applyFill="1" applyAlignment="1">
      <alignment vertical="center"/>
    </xf>
    <xf numFmtId="0" fontId="0" fillId="7" borderId="0" xfId="0" applyFill="1"/>
    <xf numFmtId="0" fontId="15" fillId="4" borderId="0" xfId="0" applyFont="1" applyFill="1"/>
    <xf numFmtId="0" fontId="0" fillId="4" borderId="0" xfId="0" applyFill="1" applyAlignment="1">
      <alignment wrapText="1"/>
    </xf>
    <xf numFmtId="0" fontId="0" fillId="5" borderId="0" xfId="0" applyFill="1"/>
    <xf numFmtId="0" fontId="14" fillId="7" borderId="0" xfId="0" applyFont="1" applyFill="1"/>
    <xf numFmtId="0" fontId="8" fillId="4" borderId="0" xfId="4" applyFill="1"/>
    <xf numFmtId="0" fontId="15" fillId="4" borderId="0" xfId="4" applyFont="1" applyFill="1"/>
    <xf numFmtId="0" fontId="8" fillId="4" borderId="0" xfId="4" applyFill="1" applyAlignment="1">
      <alignment wrapText="1"/>
    </xf>
    <xf numFmtId="0" fontId="8" fillId="5" borderId="0" xfId="4" applyFill="1"/>
    <xf numFmtId="0" fontId="16" fillId="5" borderId="0" xfId="5" applyFill="1"/>
    <xf numFmtId="0" fontId="17" fillId="13" borderId="0" xfId="5" applyFont="1" applyFill="1"/>
    <xf numFmtId="0" fontId="14" fillId="13" borderId="0" xfId="5" applyFont="1" applyFill="1"/>
    <xf numFmtId="0" fontId="16" fillId="0" borderId="0" xfId="5"/>
    <xf numFmtId="0" fontId="19" fillId="5" borderId="0" xfId="5" applyFont="1" applyFill="1"/>
    <xf numFmtId="0" fontId="18" fillId="5" borderId="0" xfId="5" applyFont="1" applyFill="1"/>
    <xf numFmtId="0" fontId="18" fillId="0" borderId="0" xfId="5" applyFont="1"/>
    <xf numFmtId="0" fontId="20" fillId="5" borderId="0" xfId="5" applyFont="1" applyFill="1"/>
    <xf numFmtId="0" fontId="21" fillId="5" borderId="0" xfId="5" applyFont="1" applyFill="1"/>
    <xf numFmtId="0" fontId="24" fillId="4" borderId="0" xfId="0" applyFont="1" applyFill="1"/>
    <xf numFmtId="0" fontId="24" fillId="4" borderId="0" xfId="0" applyFont="1" applyFill="1" applyAlignment="1">
      <alignment wrapText="1"/>
    </xf>
    <xf numFmtId="0" fontId="24" fillId="0" borderId="0" xfId="0" applyFont="1"/>
    <xf numFmtId="0" fontId="7" fillId="4" borderId="0" xfId="0" applyFont="1" applyFill="1"/>
    <xf numFmtId="0" fontId="7" fillId="0" borderId="0" xfId="0" applyFont="1"/>
    <xf numFmtId="0" fontId="23" fillId="10" borderId="0" xfId="0" applyFont="1" applyFill="1" applyAlignment="1">
      <alignment horizontal="right" vertical="center" wrapText="1"/>
    </xf>
    <xf numFmtId="0" fontId="23" fillId="0" borderId="0" xfId="0" applyFont="1"/>
    <xf numFmtId="0" fontId="7" fillId="0" borderId="0" xfId="0" applyFont="1" applyAlignment="1">
      <alignment wrapText="1"/>
    </xf>
    <xf numFmtId="0" fontId="23" fillId="4" borderId="0" xfId="0" applyFont="1" applyFill="1"/>
    <xf numFmtId="0" fontId="7" fillId="5" borderId="0" xfId="0" applyFont="1" applyFill="1"/>
    <xf numFmtId="0" fontId="24" fillId="4" borderId="0" xfId="0" applyFont="1" applyFill="1" applyAlignment="1">
      <alignment horizontal="left" wrapText="1"/>
    </xf>
    <xf numFmtId="0" fontId="23" fillId="10" borderId="0" xfId="4" applyFont="1" applyFill="1" applyAlignment="1">
      <alignment horizontal="right" vertical="center" wrapText="1"/>
    </xf>
    <xf numFmtId="0" fontId="19" fillId="9" borderId="1" xfId="5" applyFont="1" applyFill="1" applyBorder="1" applyAlignment="1">
      <alignment horizontal="right"/>
    </xf>
    <xf numFmtId="0" fontId="21" fillId="0" borderId="1" xfId="5" applyFont="1" applyBorder="1" applyAlignment="1">
      <alignment horizontal="right"/>
    </xf>
    <xf numFmtId="170" fontId="19" fillId="0" borderId="1" xfId="5" applyNumberFormat="1" applyFont="1" applyBorder="1" applyAlignment="1">
      <alignment horizontal="center"/>
    </xf>
    <xf numFmtId="0" fontId="19" fillId="5" borderId="1" xfId="5" applyFont="1" applyFill="1" applyBorder="1" applyAlignment="1">
      <alignment vertical="center"/>
    </xf>
    <xf numFmtId="0" fontId="19" fillId="11" borderId="0" xfId="7" applyFont="1" applyFill="1"/>
    <xf numFmtId="170" fontId="19" fillId="11" borderId="0" xfId="7" applyNumberFormat="1" applyFont="1" applyFill="1"/>
    <xf numFmtId="0" fontId="23" fillId="0" borderId="1" xfId="4" applyFont="1" applyBorder="1" applyAlignment="1">
      <alignment horizontal="left" vertical="center" wrapText="1"/>
    </xf>
    <xf numFmtId="0" fontId="19" fillId="3" borderId="1" xfId="5" applyFont="1" applyFill="1" applyBorder="1" applyAlignment="1">
      <alignment horizontal="center" vertical="center"/>
    </xf>
    <xf numFmtId="0" fontId="27" fillId="0" borderId="0" xfId="0" applyFont="1"/>
    <xf numFmtId="0" fontId="23" fillId="5" borderId="0" xfId="0" applyFont="1" applyFill="1"/>
    <xf numFmtId="0" fontId="6" fillId="5" borderId="0" xfId="0" applyFont="1" applyFill="1"/>
    <xf numFmtId="0" fontId="29" fillId="0" borderId="0" xfId="0" applyFont="1"/>
    <xf numFmtId="0" fontId="19" fillId="11" borderId="0" xfId="5" applyFont="1" applyFill="1"/>
    <xf numFmtId="0" fontId="4" fillId="0" borderId="0" xfId="0" applyFont="1"/>
    <xf numFmtId="170" fontId="19" fillId="11" borderId="0" xfId="5" applyNumberFormat="1" applyFont="1" applyFill="1"/>
    <xf numFmtId="0" fontId="19" fillId="11" borderId="0" xfId="7" applyFont="1" applyFill="1" applyAlignment="1">
      <alignment horizontal="left"/>
    </xf>
    <xf numFmtId="0" fontId="3" fillId="9" borderId="2" xfId="26" applyFill="1" applyBorder="1" applyAlignment="1">
      <alignment horizontal="center" vertical="center"/>
    </xf>
    <xf numFmtId="0" fontId="19" fillId="11" borderId="0" xfId="28" applyFont="1" applyFill="1"/>
    <xf numFmtId="170" fontId="19" fillId="11" borderId="0" xfId="28" applyNumberFormat="1" applyFont="1" applyFill="1"/>
    <xf numFmtId="2" fontId="23" fillId="10" borderId="0" xfId="0" applyNumberFormat="1" applyFont="1" applyFill="1" applyAlignment="1">
      <alignment horizontal="right" vertical="center" wrapText="1"/>
    </xf>
    <xf numFmtId="0" fontId="13" fillId="5" borderId="1" xfId="3" quotePrefix="1" applyFont="1" applyFill="1" applyBorder="1" applyAlignment="1">
      <alignment horizontal="left" vertical="center" wrapText="1"/>
    </xf>
    <xf numFmtId="0" fontId="3" fillId="5" borderId="0" xfId="26" applyFill="1" applyAlignment="1">
      <alignment horizontal="left" vertical="center"/>
    </xf>
    <xf numFmtId="0" fontId="1" fillId="0" borderId="1" xfId="0" applyFont="1" applyBorder="1"/>
    <xf numFmtId="0" fontId="13" fillId="5" borderId="0" xfId="3" applyFont="1" applyFill="1" applyAlignment="1">
      <alignment vertical="center" wrapText="1"/>
    </xf>
    <xf numFmtId="0" fontId="28" fillId="5" borderId="0" xfId="3" applyFont="1" applyFill="1" applyAlignment="1">
      <alignment vertical="center"/>
    </xf>
    <xf numFmtId="0" fontId="13" fillId="5" borderId="1" xfId="3" applyFont="1" applyFill="1" applyBorder="1" applyAlignment="1">
      <alignment vertical="center"/>
    </xf>
    <xf numFmtId="15" fontId="19" fillId="11" borderId="0" xfId="7" applyNumberFormat="1" applyFont="1" applyFill="1"/>
    <xf numFmtId="0" fontId="1" fillId="0" borderId="0" xfId="0" applyFont="1"/>
    <xf numFmtId="0" fontId="1" fillId="5" borderId="0" xfId="0" applyFont="1" applyFill="1"/>
    <xf numFmtId="0" fontId="1" fillId="11" borderId="0" xfId="0" applyFont="1" applyFill="1" applyAlignment="1">
      <alignment horizontal="left" wrapText="1"/>
    </xf>
    <xf numFmtId="0" fontId="1" fillId="5" borderId="0" xfId="0" applyFont="1" applyFill="1" applyAlignment="1">
      <alignment horizontal="left"/>
    </xf>
    <xf numFmtId="0" fontId="1" fillId="5" borderId="0" xfId="0" applyFont="1" applyFill="1" applyAlignment="1">
      <alignment horizontal="left" wrapText="1"/>
    </xf>
    <xf numFmtId="0" fontId="1" fillId="3" borderId="0" xfId="0" applyFont="1" applyFill="1" applyAlignment="1">
      <alignment horizontal="left" wrapText="1"/>
    </xf>
    <xf numFmtId="0" fontId="1" fillId="5" borderId="0" xfId="0" applyFont="1" applyFill="1" applyAlignment="1">
      <alignment wrapText="1"/>
    </xf>
    <xf numFmtId="0" fontId="1" fillId="9" borderId="1" xfId="0" applyFont="1" applyFill="1" applyBorder="1"/>
    <xf numFmtId="0" fontId="1" fillId="6" borderId="1" xfId="0" applyFont="1" applyFill="1" applyBorder="1" applyAlignment="1">
      <alignment wrapText="1"/>
    </xf>
    <xf numFmtId="0" fontId="1" fillId="0" borderId="1" xfId="0" applyFont="1" applyBorder="1" applyAlignment="1">
      <alignment wrapText="1"/>
    </xf>
    <xf numFmtId="0" fontId="1" fillId="6" borderId="6" xfId="0" applyFont="1" applyFill="1" applyBorder="1" applyAlignment="1">
      <alignment wrapText="1"/>
    </xf>
    <xf numFmtId="0" fontId="1" fillId="0" borderId="5" xfId="0" applyFont="1" applyBorder="1" applyAlignment="1">
      <alignment wrapText="1"/>
    </xf>
    <xf numFmtId="0" fontId="1" fillId="4" borderId="0" xfId="0" applyFont="1" applyFill="1"/>
    <xf numFmtId="0" fontId="1" fillId="4" borderId="0" xfId="0" applyFont="1" applyFill="1" applyAlignment="1">
      <alignment wrapText="1"/>
    </xf>
    <xf numFmtId="0" fontId="1" fillId="9" borderId="10" xfId="0" applyFont="1" applyFill="1" applyBorder="1" applyAlignment="1">
      <alignment horizontal="right"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right" vertical="center"/>
    </xf>
    <xf numFmtId="17" fontId="1" fillId="9" borderId="1" xfId="0" applyNumberFormat="1" applyFont="1" applyFill="1" applyBorder="1" applyAlignment="1">
      <alignment horizontal="center" vertical="center"/>
    </xf>
    <xf numFmtId="17" fontId="1" fillId="9" borderId="1" xfId="0" quotePrefix="1" applyNumberFormat="1" applyFont="1" applyFill="1" applyBorder="1" applyAlignment="1">
      <alignment horizontal="center" vertical="center"/>
    </xf>
    <xf numFmtId="49" fontId="1" fillId="9" borderId="1" xfId="0" applyNumberFormat="1" applyFont="1" applyFill="1" applyBorder="1" applyAlignment="1">
      <alignment horizontal="center" vertical="center"/>
    </xf>
    <xf numFmtId="0" fontId="1" fillId="9" borderId="1" xfId="0" applyFont="1" applyFill="1" applyBorder="1" applyAlignment="1">
      <alignment horizontal="center" vertical="center" wrapText="1"/>
    </xf>
    <xf numFmtId="2" fontId="1" fillId="3" borderId="1" xfId="0" applyNumberFormat="1" applyFont="1" applyFill="1" applyBorder="1" applyAlignment="1">
      <alignment horizontal="center"/>
    </xf>
    <xf numFmtId="0" fontId="1" fillId="9" borderId="2" xfId="0" applyFont="1" applyFill="1" applyBorder="1" applyAlignment="1">
      <alignment horizontal="center" vertical="center"/>
    </xf>
    <xf numFmtId="4" fontId="1" fillId="3" borderId="1" xfId="0" applyNumberFormat="1" applyFont="1" applyFill="1" applyBorder="1" applyAlignment="1">
      <alignment horizontal="center"/>
    </xf>
    <xf numFmtId="2" fontId="1" fillId="3"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164" fontId="1" fillId="3" borderId="1" xfId="0" applyNumberFormat="1" applyFont="1" applyFill="1" applyBorder="1" applyAlignment="1">
      <alignment horizontal="center"/>
    </xf>
    <xf numFmtId="2" fontId="1" fillId="3" borderId="1" xfId="1" applyNumberFormat="1" applyFont="1" applyFill="1" applyBorder="1" applyAlignment="1">
      <alignment horizontal="center" vertical="center"/>
    </xf>
    <xf numFmtId="2" fontId="1" fillId="5" borderId="0" xfId="0" applyNumberFormat="1" applyFont="1" applyFill="1"/>
    <xf numFmtId="9" fontId="1" fillId="5" borderId="1" xfId="0" applyNumberFormat="1" applyFont="1" applyFill="1" applyBorder="1" applyAlignment="1">
      <alignment horizontal="left" vertical="center" wrapText="1"/>
    </xf>
    <xf numFmtId="9" fontId="1" fillId="5" borderId="1" xfId="0" applyNumberFormat="1" applyFont="1" applyFill="1" applyBorder="1" applyAlignment="1">
      <alignment horizontal="center" vertical="center"/>
    </xf>
    <xf numFmtId="0" fontId="1" fillId="9" borderId="2" xfId="0" applyFont="1" applyFill="1" applyBorder="1" applyAlignment="1">
      <alignment horizontal="center" vertical="center" wrapText="1"/>
    </xf>
    <xf numFmtId="0" fontId="1" fillId="0" borderId="1" xfId="0" applyFont="1" applyBorder="1" applyAlignment="1">
      <alignment vertical="center"/>
    </xf>
    <xf numFmtId="4" fontId="1"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xf>
    <xf numFmtId="0" fontId="1" fillId="9" borderId="10" xfId="0" applyFont="1" applyFill="1" applyBorder="1" applyAlignment="1">
      <alignment vertical="center"/>
    </xf>
    <xf numFmtId="0" fontId="1" fillId="9" borderId="5" xfId="0" applyFont="1" applyFill="1" applyBorder="1" applyAlignment="1">
      <alignment vertical="center"/>
    </xf>
    <xf numFmtId="0" fontId="1" fillId="9" borderId="1" xfId="0" applyFont="1" applyFill="1" applyBorder="1" applyAlignment="1">
      <alignment vertical="center"/>
    </xf>
    <xf numFmtId="0" fontId="1" fillId="0" borderId="3" xfId="0" applyFont="1" applyBorder="1" applyAlignment="1">
      <alignment horizontal="center"/>
    </xf>
    <xf numFmtId="165" fontId="1" fillId="11" borderId="1" xfId="1" applyNumberFormat="1" applyFont="1" applyFill="1" applyBorder="1" applyAlignment="1">
      <alignment horizontal="center"/>
    </xf>
    <xf numFmtId="0" fontId="1" fillId="0" borderId="2" xfId="0" applyFont="1" applyBorder="1"/>
    <xf numFmtId="9" fontId="1" fillId="11" borderId="1" xfId="2" applyFont="1" applyFill="1" applyBorder="1"/>
    <xf numFmtId="0" fontId="1" fillId="0" borderId="1" xfId="0" quotePrefix="1" applyFont="1" applyBorder="1"/>
    <xf numFmtId="165" fontId="1" fillId="3" borderId="1" xfId="1" applyNumberFormat="1" applyFont="1" applyFill="1" applyBorder="1" applyAlignment="1">
      <alignment horizontal="center"/>
    </xf>
    <xf numFmtId="165" fontId="1" fillId="3" borderId="1" xfId="0" applyNumberFormat="1" applyFont="1" applyFill="1" applyBorder="1"/>
    <xf numFmtId="9" fontId="1" fillId="3" borderId="1" xfId="2" applyFont="1" applyFill="1" applyBorder="1"/>
    <xf numFmtId="166" fontId="1" fillId="3" borderId="1" xfId="0" applyNumberFormat="1" applyFont="1" applyFill="1" applyBorder="1" applyAlignment="1">
      <alignment horizontal="center"/>
    </xf>
    <xf numFmtId="164" fontId="1" fillId="3" borderId="5" xfId="0" applyNumberFormat="1" applyFont="1" applyFill="1" applyBorder="1"/>
    <xf numFmtId="164" fontId="1" fillId="3" borderId="1" xfId="0" applyNumberFormat="1" applyFont="1" applyFill="1" applyBorder="1"/>
    <xf numFmtId="168" fontId="1" fillId="11" borderId="1" xfId="2" applyNumberFormat="1" applyFont="1" applyFill="1" applyBorder="1" applyAlignment="1">
      <alignment horizontal="right"/>
    </xf>
    <xf numFmtId="167" fontId="1" fillId="2" borderId="1" xfId="1" applyNumberFormat="1" applyFont="1" applyFill="1" applyBorder="1" applyAlignment="1">
      <alignment horizontal="center"/>
    </xf>
    <xf numFmtId="168" fontId="1" fillId="3" borderId="1" xfId="2" applyNumberFormat="1" applyFont="1" applyFill="1" applyBorder="1" applyAlignment="1">
      <alignment horizontal="right"/>
    </xf>
    <xf numFmtId="167" fontId="1" fillId="11" borderId="1" xfId="1" applyNumberFormat="1" applyFont="1" applyFill="1" applyBorder="1" applyAlignment="1">
      <alignment horizontal="center"/>
    </xf>
    <xf numFmtId="165" fontId="1" fillId="2" borderId="1" xfId="1" applyNumberFormat="1" applyFont="1" applyFill="1" applyBorder="1" applyAlignment="1">
      <alignment horizontal="center"/>
    </xf>
    <xf numFmtId="0" fontId="1" fillId="4" borderId="0" xfId="0" applyFont="1" applyFill="1" applyAlignment="1">
      <alignment horizontal="left" wrapText="1"/>
    </xf>
    <xf numFmtId="172" fontId="1" fillId="11" borderId="1" xfId="1" applyNumberFormat="1" applyFont="1" applyFill="1" applyBorder="1"/>
    <xf numFmtId="0" fontId="1" fillId="11" borderId="1" xfId="0" applyFont="1" applyFill="1" applyBorder="1"/>
    <xf numFmtId="0" fontId="1" fillId="9" borderId="1" xfId="5" applyFont="1" applyFill="1" applyBorder="1" applyAlignment="1">
      <alignment horizontal="center"/>
    </xf>
    <xf numFmtId="0" fontId="1" fillId="9" borderId="1" xfId="4" applyFont="1" applyFill="1" applyBorder="1" applyAlignment="1">
      <alignment horizontal="right" vertical="center" wrapText="1"/>
    </xf>
    <xf numFmtId="0" fontId="1" fillId="9" borderId="4" xfId="4" applyFont="1" applyFill="1" applyBorder="1" applyAlignment="1">
      <alignment horizontal="center" vertical="center" wrapText="1"/>
    </xf>
    <xf numFmtId="0" fontId="1" fillId="9" borderId="9" xfId="4" applyFont="1" applyFill="1" applyBorder="1" applyAlignment="1">
      <alignment horizontal="center" vertical="center" wrapText="1"/>
    </xf>
    <xf numFmtId="0" fontId="1" fillId="9" borderId="1" xfId="4" applyFont="1" applyFill="1" applyBorder="1" applyAlignment="1">
      <alignment horizontal="center" vertical="center" wrapText="1"/>
    </xf>
    <xf numFmtId="49" fontId="1" fillId="9" borderId="1" xfId="4" applyNumberFormat="1" applyFont="1" applyFill="1" applyBorder="1" applyAlignment="1">
      <alignment horizontal="center" vertical="center" wrapText="1"/>
    </xf>
    <xf numFmtId="49" fontId="1" fillId="9" borderId="7" xfId="4" applyNumberFormat="1" applyFont="1" applyFill="1" applyBorder="1" applyAlignment="1">
      <alignment horizontal="center" vertical="center" wrapText="1"/>
    </xf>
    <xf numFmtId="0" fontId="1" fillId="9" borderId="1" xfId="0" applyFont="1" applyFill="1" applyBorder="1" applyAlignment="1">
      <alignment vertical="center" wrapText="1"/>
    </xf>
    <xf numFmtId="0" fontId="1" fillId="5" borderId="1" xfId="0" applyFont="1" applyFill="1" applyBorder="1" applyAlignment="1">
      <alignment vertical="center" wrapText="1"/>
    </xf>
    <xf numFmtId="9" fontId="1" fillId="5" borderId="1" xfId="2" applyFont="1" applyFill="1" applyBorder="1" applyAlignment="1">
      <alignment horizontal="center" vertical="center" wrapText="1"/>
    </xf>
    <xf numFmtId="0" fontId="1" fillId="9" borderId="1" xfId="0" applyFont="1" applyFill="1" applyBorder="1" applyAlignment="1">
      <alignment horizontal="left" vertical="center"/>
    </xf>
    <xf numFmtId="0" fontId="1" fillId="0" borderId="1" xfId="0" applyFont="1" applyBorder="1" applyAlignment="1">
      <alignment vertical="top"/>
    </xf>
    <xf numFmtId="0" fontId="1" fillId="9" borderId="12" xfId="0" applyFont="1" applyFill="1" applyBorder="1" applyAlignment="1">
      <alignment vertical="center"/>
    </xf>
    <xf numFmtId="17" fontId="1" fillId="9" borderId="2" xfId="0" applyNumberFormat="1" applyFont="1" applyFill="1" applyBorder="1" applyAlignment="1">
      <alignment horizontal="center" vertical="center"/>
    </xf>
    <xf numFmtId="164" fontId="1" fillId="3" borderId="1" xfId="1" applyFont="1" applyFill="1" applyBorder="1"/>
    <xf numFmtId="0" fontId="1" fillId="7" borderId="0" xfId="0" applyFont="1" applyFill="1"/>
    <xf numFmtId="0" fontId="1" fillId="8" borderId="1" xfId="0" applyFont="1" applyFill="1" applyBorder="1" applyAlignment="1">
      <alignment horizontal="center"/>
    </xf>
    <xf numFmtId="0" fontId="1" fillId="4" borderId="1" xfId="0" applyFont="1" applyFill="1" applyBorder="1" applyAlignment="1">
      <alignment horizontal="center"/>
    </xf>
    <xf numFmtId="0" fontId="1" fillId="8" borderId="1" xfId="0" applyFont="1" applyFill="1" applyBorder="1" applyAlignment="1">
      <alignment vertical="center" wrapText="1"/>
    </xf>
    <xf numFmtId="0" fontId="1" fillId="4" borderId="1" xfId="0" applyFont="1" applyFill="1" applyBorder="1" applyAlignment="1">
      <alignment vertical="center" wrapText="1"/>
    </xf>
    <xf numFmtId="9" fontId="1" fillId="0" borderId="0" xfId="2" applyFont="1"/>
    <xf numFmtId="2" fontId="1" fillId="0" borderId="0" xfId="0" applyNumberFormat="1" applyFont="1"/>
    <xf numFmtId="0" fontId="1" fillId="0" borderId="8" xfId="0" applyFont="1" applyBorder="1"/>
    <xf numFmtId="2" fontId="1" fillId="0" borderId="8" xfId="0" applyNumberFormat="1" applyFont="1" applyBorder="1"/>
    <xf numFmtId="169" fontId="1" fillId="0" borderId="0" xfId="0" applyNumberFormat="1" applyFont="1"/>
    <xf numFmtId="2" fontId="0" fillId="5" borderId="0" xfId="0" applyNumberFormat="1" applyFill="1"/>
    <xf numFmtId="2" fontId="7" fillId="0" borderId="0" xfId="0" applyNumberFormat="1" applyFont="1"/>
    <xf numFmtId="10" fontId="1" fillId="5" borderId="0" xfId="0" applyNumberFormat="1" applyFont="1" applyFill="1"/>
    <xf numFmtId="2" fontId="1" fillId="16" borderId="1" xfId="0" applyNumberFormat="1" applyFont="1" applyFill="1" applyBorder="1" applyAlignment="1">
      <alignment horizontal="center" vertical="center"/>
    </xf>
    <xf numFmtId="165" fontId="1" fillId="16" borderId="1" xfId="1" applyNumberFormat="1" applyFont="1" applyFill="1" applyBorder="1" applyAlignment="1">
      <alignment horizontal="center"/>
    </xf>
    <xf numFmtId="168" fontId="1" fillId="16" borderId="1" xfId="2" applyNumberFormat="1" applyFont="1" applyFill="1" applyBorder="1" applyAlignment="1">
      <alignment horizontal="right"/>
    </xf>
    <xf numFmtId="167" fontId="1" fillId="16" borderId="1" xfId="1" applyNumberFormat="1" applyFont="1" applyFill="1" applyBorder="1" applyAlignment="1">
      <alignment horizontal="center"/>
    </xf>
    <xf numFmtId="172" fontId="1" fillId="16" borderId="1" xfId="1" applyNumberFormat="1" applyFont="1" applyFill="1" applyBorder="1"/>
    <xf numFmtId="0" fontId="19" fillId="16" borderId="0" xfId="5" applyFont="1" applyFill="1"/>
    <xf numFmtId="0" fontId="1" fillId="5" borderId="0" xfId="0" applyFont="1" applyFill="1" applyAlignment="1">
      <alignment vertical="center"/>
    </xf>
    <xf numFmtId="0" fontId="9" fillId="5" borderId="0" xfId="3" applyFill="1"/>
    <xf numFmtId="0" fontId="11" fillId="5" borderId="1" xfId="3" applyFont="1" applyFill="1" applyBorder="1" applyAlignment="1">
      <alignment horizontal="left" vertical="center"/>
    </xf>
    <xf numFmtId="14" fontId="0" fillId="5" borderId="1" xfId="3" applyNumberFormat="1" applyFont="1" applyFill="1" applyBorder="1" applyAlignment="1">
      <alignment horizontal="left"/>
    </xf>
    <xf numFmtId="0" fontId="0" fillId="5" borderId="1" xfId="3" applyFont="1" applyFill="1" applyBorder="1" applyAlignment="1">
      <alignment horizontal="left" wrapText="1"/>
    </xf>
    <xf numFmtId="0" fontId="0" fillId="5" borderId="1" xfId="3" applyFont="1" applyFill="1" applyBorder="1" applyAlignment="1">
      <alignment vertical="center"/>
    </xf>
    <xf numFmtId="14" fontId="10" fillId="5" borderId="1" xfId="3" applyNumberFormat="1" applyFont="1" applyFill="1" applyBorder="1" applyAlignment="1">
      <alignment horizontal="left" vertical="center"/>
    </xf>
    <xf numFmtId="0" fontId="0" fillId="5" borderId="1" xfId="3" quotePrefix="1" applyFont="1" applyFill="1" applyBorder="1" applyAlignment="1">
      <alignment horizontal="left" vertical="center" wrapText="1"/>
    </xf>
    <xf numFmtId="0" fontId="0" fillId="5" borderId="1" xfId="3" applyFont="1" applyFill="1" applyBorder="1" applyAlignment="1">
      <alignment horizontal="left" vertical="center"/>
    </xf>
    <xf numFmtId="49" fontId="0" fillId="5" borderId="1" xfId="3" applyNumberFormat="1" applyFont="1" applyFill="1" applyBorder="1" applyAlignment="1">
      <alignment horizontal="left" vertical="center" wrapText="1"/>
    </xf>
    <xf numFmtId="49" fontId="0" fillId="5" borderId="1" xfId="3" quotePrefix="1" applyNumberFormat="1" applyFont="1" applyFill="1" applyBorder="1" applyAlignment="1">
      <alignment horizontal="left" vertical="center" wrapText="1"/>
    </xf>
    <xf numFmtId="0" fontId="1" fillId="5" borderId="1" xfId="3" applyFont="1" applyFill="1" applyBorder="1" applyAlignment="1">
      <alignment vertical="center"/>
    </xf>
    <xf numFmtId="0" fontId="1" fillId="5" borderId="1" xfId="3" quotePrefix="1" applyFont="1" applyFill="1" applyBorder="1" applyAlignment="1">
      <alignment wrapText="1"/>
    </xf>
    <xf numFmtId="14" fontId="9" fillId="5" borderId="1" xfId="3" applyNumberFormat="1" applyFill="1" applyBorder="1" applyAlignment="1">
      <alignment horizontal="left" vertical="center"/>
    </xf>
    <xf numFmtId="14" fontId="10" fillId="5" borderId="1" xfId="3" quotePrefix="1" applyNumberFormat="1" applyFont="1" applyFill="1" applyBorder="1" applyAlignment="1">
      <alignment horizontal="left" vertical="center" wrapText="1"/>
    </xf>
    <xf numFmtId="0" fontId="9" fillId="5" borderId="0" xfId="3" applyFill="1" applyAlignment="1">
      <alignment vertical="center"/>
    </xf>
    <xf numFmtId="0" fontId="7" fillId="5" borderId="0" xfId="0" applyFont="1" applyFill="1" applyAlignment="1">
      <alignment wrapText="1"/>
    </xf>
    <xf numFmtId="0" fontId="24" fillId="5" borderId="0" xfId="0" applyFont="1" applyFill="1"/>
    <xf numFmtId="0" fontId="1" fillId="5" borderId="0" xfId="0" applyFont="1" applyFill="1" applyAlignment="1">
      <alignment horizontal="left" vertical="center"/>
    </xf>
    <xf numFmtId="0" fontId="1" fillId="5" borderId="0" xfId="0" applyFont="1" applyFill="1" applyAlignment="1">
      <alignment horizontal="center"/>
    </xf>
    <xf numFmtId="164" fontId="1" fillId="5" borderId="0" xfId="0" applyNumberFormat="1" applyFont="1" applyFill="1" applyAlignment="1">
      <alignment horizontal="center"/>
    </xf>
    <xf numFmtId="4" fontId="0" fillId="5" borderId="0" xfId="0" applyNumberFormat="1" applyFill="1"/>
    <xf numFmtId="0" fontId="1" fillId="5" borderId="3" xfId="0" applyFont="1" applyFill="1" applyBorder="1" applyAlignment="1">
      <alignment horizontal="center"/>
    </xf>
    <xf numFmtId="166" fontId="1" fillId="5" borderId="0" xfId="0" applyNumberFormat="1" applyFont="1" applyFill="1"/>
    <xf numFmtId="164" fontId="1" fillId="5" borderId="0" xfId="0" applyNumberFormat="1" applyFont="1" applyFill="1"/>
    <xf numFmtId="0" fontId="38" fillId="4" borderId="0" xfId="4" applyFont="1" applyFill="1"/>
    <xf numFmtId="14" fontId="1" fillId="0" borderId="1" xfId="3" applyNumberFormat="1" applyFont="1" applyBorder="1" applyAlignment="1">
      <alignment horizontal="left" vertical="center"/>
    </xf>
    <xf numFmtId="0" fontId="1" fillId="9" borderId="4" xfId="5" applyFont="1" applyFill="1" applyBorder="1" applyAlignment="1">
      <alignment horizontal="center"/>
    </xf>
    <xf numFmtId="0" fontId="23" fillId="10" borderId="8" xfId="0" applyFont="1" applyFill="1" applyBorder="1" applyAlignment="1">
      <alignment horizontal="right" vertical="center" wrapText="1"/>
    </xf>
    <xf numFmtId="0" fontId="23" fillId="10" borderId="0" xfId="0" applyFont="1" applyFill="1" applyBorder="1" applyAlignment="1">
      <alignment horizontal="right" vertical="center" wrapText="1"/>
    </xf>
    <xf numFmtId="0" fontId="1" fillId="0" borderId="0" xfId="0" applyFont="1" applyBorder="1"/>
    <xf numFmtId="0" fontId="23" fillId="10" borderId="9" xfId="0" applyFont="1" applyFill="1" applyBorder="1" applyAlignment="1">
      <alignment horizontal="right" vertical="center" wrapText="1"/>
    </xf>
    <xf numFmtId="164" fontId="23" fillId="10" borderId="0" xfId="0" applyNumberFormat="1" applyFont="1" applyFill="1" applyBorder="1" applyAlignment="1">
      <alignment horizontal="right" vertical="center" wrapText="1"/>
    </xf>
    <xf numFmtId="0" fontId="1" fillId="9" borderId="2" xfId="0" applyFont="1" applyFill="1" applyBorder="1" applyAlignment="1">
      <alignment horizontal="right" vertical="center"/>
    </xf>
    <xf numFmtId="14" fontId="1" fillId="0" borderId="1" xfId="3" applyNumberFormat="1" applyFont="1" applyFill="1" applyBorder="1" applyAlignment="1">
      <alignment horizontal="left" vertical="center"/>
    </xf>
    <xf numFmtId="14" fontId="0" fillId="0" borderId="1" xfId="3" quotePrefix="1" applyNumberFormat="1" applyFont="1" applyFill="1" applyBorder="1" applyAlignment="1">
      <alignment horizontal="left" vertical="center" wrapText="1"/>
    </xf>
    <xf numFmtId="0" fontId="1" fillId="0" borderId="1" xfId="3" applyFont="1" applyFill="1" applyBorder="1" applyAlignment="1">
      <alignment vertical="center"/>
    </xf>
    <xf numFmtId="0" fontId="25" fillId="12" borderId="6" xfId="0" applyFont="1" applyFill="1" applyBorder="1" applyAlignment="1">
      <alignment horizontal="left" wrapText="1"/>
    </xf>
    <xf numFmtId="0" fontId="25" fillId="12" borderId="7" xfId="0" applyFont="1" applyFill="1" applyBorder="1" applyAlignment="1">
      <alignment horizontal="left" wrapText="1"/>
    </xf>
    <xf numFmtId="0" fontId="25" fillId="12" borderId="5" xfId="0" applyFont="1" applyFill="1" applyBorder="1" applyAlignment="1">
      <alignment horizontal="left" wrapText="1"/>
    </xf>
    <xf numFmtId="0" fontId="1" fillId="0" borderId="0" xfId="0" applyFont="1" applyAlignment="1">
      <alignment horizontal="left"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164" fontId="1" fillId="0" borderId="11" xfId="0" applyNumberFormat="1" applyFont="1" applyBorder="1" applyAlignment="1">
      <alignment horizontal="center"/>
    </xf>
    <xf numFmtId="164" fontId="1" fillId="0" borderId="8" xfId="0" applyNumberFormat="1" applyFont="1" applyBorder="1" applyAlignment="1">
      <alignment horizontal="center"/>
    </xf>
    <xf numFmtId="164" fontId="1" fillId="0" borderId="12" xfId="0" applyNumberFormat="1" applyFont="1" applyBorder="1" applyAlignment="1">
      <alignment horizontal="center"/>
    </xf>
    <xf numFmtId="164" fontId="1" fillId="0" borderId="13" xfId="0" applyNumberFormat="1" applyFont="1" applyBorder="1" applyAlignment="1">
      <alignment horizontal="center"/>
    </xf>
    <xf numFmtId="164" fontId="1" fillId="0" borderId="9" xfId="0" applyNumberFormat="1" applyFont="1" applyBorder="1" applyAlignment="1">
      <alignment horizontal="center"/>
    </xf>
    <xf numFmtId="164" fontId="1" fillId="0" borderId="10" xfId="0" applyNumberFormat="1" applyFont="1" applyBorder="1" applyAlignment="1">
      <alignment horizontal="center"/>
    </xf>
    <xf numFmtId="0" fontId="1" fillId="9" borderId="1" xfId="0" applyFont="1" applyFill="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3" fillId="5" borderId="2" xfId="26" applyFill="1" applyBorder="1" applyAlignment="1">
      <alignment horizontal="left" vertical="center"/>
    </xf>
    <xf numFmtId="0" fontId="3" fillId="5" borderId="4" xfId="26" applyFill="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xf>
    <xf numFmtId="0" fontId="1" fillId="0" borderId="4" xfId="0" applyFont="1" applyBorder="1" applyAlignment="1">
      <alignment horizontal="center"/>
    </xf>
    <xf numFmtId="0" fontId="1" fillId="4" borderId="0" xfId="0" applyFont="1" applyFill="1" applyAlignment="1">
      <alignment horizontal="left" wrapText="1"/>
    </xf>
    <xf numFmtId="0" fontId="23" fillId="9" borderId="11" xfId="0" applyFont="1" applyFill="1" applyBorder="1" applyAlignment="1">
      <alignment horizontal="left"/>
    </xf>
    <xf numFmtId="0" fontId="23" fillId="9" borderId="8" xfId="0" applyFont="1" applyFill="1" applyBorder="1" applyAlignment="1">
      <alignment horizontal="left"/>
    </xf>
    <xf numFmtId="0" fontId="23" fillId="9" borderId="12" xfId="0" applyFont="1" applyFill="1" applyBorder="1" applyAlignment="1">
      <alignment horizontal="left"/>
    </xf>
    <xf numFmtId="0" fontId="27" fillId="9" borderId="13" xfId="0" applyFont="1" applyFill="1" applyBorder="1" applyAlignment="1">
      <alignment horizontal="left" wrapText="1"/>
    </xf>
    <xf numFmtId="0" fontId="27" fillId="9" borderId="9" xfId="0" applyFont="1" applyFill="1" applyBorder="1" applyAlignment="1">
      <alignment horizontal="left" wrapText="1"/>
    </xf>
    <xf numFmtId="0" fontId="27" fillId="9" borderId="10" xfId="0" applyFont="1" applyFill="1" applyBorder="1" applyAlignment="1">
      <alignment horizontal="left" wrapText="1"/>
    </xf>
    <xf numFmtId="0" fontId="1" fillId="9" borderId="2"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3" fillId="9" borderId="2" xfId="9" applyFill="1" applyBorder="1" applyAlignment="1">
      <alignment horizontal="center" vertical="center"/>
    </xf>
    <xf numFmtId="0" fontId="3" fillId="9" borderId="3" xfId="9" applyFill="1" applyBorder="1" applyAlignment="1">
      <alignment horizontal="center" vertical="center"/>
    </xf>
    <xf numFmtId="0" fontId="3" fillId="9" borderId="4" xfId="9" applyFill="1" applyBorder="1" applyAlignment="1">
      <alignment horizontal="center" vertical="center"/>
    </xf>
    <xf numFmtId="0" fontId="1" fillId="9" borderId="1" xfId="0" applyFont="1" applyFill="1" applyBorder="1" applyAlignment="1">
      <alignment horizontal="left" vertical="center"/>
    </xf>
    <xf numFmtId="0" fontId="21" fillId="9" borderId="11" xfId="0" applyFont="1" applyFill="1" applyBorder="1" applyAlignment="1">
      <alignment horizontal="left"/>
    </xf>
    <xf numFmtId="0" fontId="21" fillId="9" borderId="8" xfId="0" applyFont="1" applyFill="1" applyBorder="1" applyAlignment="1">
      <alignment horizontal="left"/>
    </xf>
    <xf numFmtId="0" fontId="21" fillId="9" borderId="12" xfId="0" applyFont="1" applyFill="1" applyBorder="1" applyAlignment="1">
      <alignment horizontal="left"/>
    </xf>
    <xf numFmtId="0" fontId="26" fillId="9" borderId="13" xfId="0" applyFont="1" applyFill="1" applyBorder="1" applyAlignment="1">
      <alignment horizontal="left" vertical="center" wrapText="1"/>
    </xf>
    <xf numFmtId="0" fontId="26" fillId="9" borderId="9" xfId="0" applyFont="1" applyFill="1" applyBorder="1" applyAlignment="1">
      <alignment horizontal="left" vertical="center" wrapText="1"/>
    </xf>
    <xf numFmtId="0" fontId="26" fillId="9" borderId="10" xfId="0" applyFont="1" applyFill="1" applyBorder="1" applyAlignment="1">
      <alignment horizontal="left" vertical="center" wrapText="1"/>
    </xf>
    <xf numFmtId="0" fontId="1" fillId="0" borderId="3" xfId="0" applyFont="1" applyBorder="1" applyAlignment="1">
      <alignment horizontal="left" vertical="center"/>
    </xf>
    <xf numFmtId="0" fontId="3" fillId="5" borderId="2" xfId="9" applyFill="1" applyBorder="1" applyAlignment="1">
      <alignment horizontal="left" vertical="center"/>
    </xf>
    <xf numFmtId="0" fontId="3" fillId="5" borderId="3" xfId="9" applyFill="1" applyBorder="1" applyAlignment="1">
      <alignment horizontal="left" vertical="center"/>
    </xf>
    <xf numFmtId="0" fontId="3" fillId="5" borderId="4" xfId="9" applyFill="1" applyBorder="1" applyAlignment="1">
      <alignment horizontal="left" vertical="center"/>
    </xf>
    <xf numFmtId="0" fontId="1" fillId="0" borderId="3" xfId="0" applyFont="1" applyBorder="1" applyAlignment="1">
      <alignment horizontal="center"/>
    </xf>
    <xf numFmtId="0" fontId="3" fillId="5" borderId="2" xfId="26" applyFill="1" applyBorder="1" applyAlignment="1">
      <alignment horizontal="left" vertical="center" wrapText="1"/>
    </xf>
    <xf numFmtId="0" fontId="3" fillId="5" borderId="4" xfId="26" applyFill="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 xfId="0" applyFont="1" applyFill="1" applyBorder="1" applyAlignment="1">
      <alignment horizontal="left" vertical="center"/>
    </xf>
    <xf numFmtId="0" fontId="1" fillId="9" borderId="4" xfId="0" applyFont="1" applyFill="1" applyBorder="1" applyAlignment="1">
      <alignment horizontal="left" vertical="center"/>
    </xf>
    <xf numFmtId="0" fontId="1" fillId="5" borderId="0" xfId="0" applyFont="1" applyFill="1" applyAlignment="1">
      <alignment horizontal="left" vertical="top" wrapText="1"/>
    </xf>
    <xf numFmtId="0" fontId="1" fillId="9" borderId="3" xfId="0" applyFont="1" applyFill="1" applyBorder="1" applyAlignment="1">
      <alignment horizontal="left" vertical="center"/>
    </xf>
    <xf numFmtId="0" fontId="1" fillId="9" borderId="6" xfId="0" applyFont="1" applyFill="1" applyBorder="1" applyAlignment="1">
      <alignment horizontal="center" vertical="center"/>
    </xf>
    <xf numFmtId="0" fontId="14" fillId="7" borderId="16" xfId="0" applyFont="1" applyFill="1" applyBorder="1" applyAlignment="1">
      <alignment horizontal="left" vertical="center"/>
    </xf>
    <xf numFmtId="0" fontId="14" fillId="7" borderId="0" xfId="0" applyFont="1" applyFill="1" applyBorder="1" applyAlignment="1">
      <alignment horizontal="left" vertical="center"/>
    </xf>
    <xf numFmtId="0" fontId="14" fillId="7" borderId="14" xfId="0" applyFont="1" applyFill="1" applyBorder="1" applyAlignment="1">
      <alignment horizontal="left" vertical="center"/>
    </xf>
    <xf numFmtId="0" fontId="21" fillId="9" borderId="11" xfId="4" applyFont="1" applyFill="1" applyBorder="1" applyAlignment="1">
      <alignment horizontal="left"/>
    </xf>
    <xf numFmtId="0" fontId="21" fillId="9" borderId="8" xfId="4" applyFont="1" applyFill="1" applyBorder="1" applyAlignment="1">
      <alignment horizontal="left"/>
    </xf>
    <xf numFmtId="0" fontId="21" fillId="9" borderId="12" xfId="4" applyFont="1" applyFill="1" applyBorder="1" applyAlignment="1">
      <alignment horizontal="left"/>
    </xf>
    <xf numFmtId="0" fontId="26" fillId="9" borderId="13" xfId="4" applyFont="1" applyFill="1" applyBorder="1" applyAlignment="1">
      <alignment horizontal="left" vertical="center" wrapText="1"/>
    </xf>
    <xf numFmtId="0" fontId="26" fillId="9" borderId="9" xfId="4" applyFont="1" applyFill="1" applyBorder="1" applyAlignment="1">
      <alignment horizontal="left" vertical="center" wrapText="1"/>
    </xf>
    <xf numFmtId="0" fontId="26" fillId="9" borderId="10" xfId="4" applyFont="1" applyFill="1" applyBorder="1" applyAlignment="1">
      <alignment horizontal="left" vertical="center" wrapText="1"/>
    </xf>
    <xf numFmtId="0" fontId="1" fillId="0" borderId="0" xfId="0" applyFont="1" applyBorder="1" applyAlignment="1">
      <alignment horizontal="center"/>
    </xf>
    <xf numFmtId="0" fontId="1" fillId="9" borderId="13"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1" fillId="4" borderId="0" xfId="4" applyFont="1" applyFill="1" applyAlignment="1">
      <alignment horizontal="left" wrapText="1"/>
    </xf>
    <xf numFmtId="0" fontId="8" fillId="4" borderId="0" xfId="4" applyFill="1" applyAlignment="1">
      <alignment horizontal="left" wrapText="1"/>
    </xf>
    <xf numFmtId="0" fontId="26" fillId="9" borderId="13" xfId="4" applyFont="1" applyFill="1" applyBorder="1" applyAlignment="1">
      <alignment horizontal="left" vertical="top" wrapText="1"/>
    </xf>
    <xf numFmtId="0" fontId="26" fillId="9" borderId="9" xfId="4" applyFont="1" applyFill="1" applyBorder="1" applyAlignment="1">
      <alignment horizontal="left" vertical="top" wrapText="1"/>
    </xf>
    <xf numFmtId="0" fontId="26" fillId="9" borderId="10" xfId="4" applyFont="1" applyFill="1" applyBorder="1" applyAlignment="1">
      <alignment horizontal="left" vertical="top" wrapText="1"/>
    </xf>
    <xf numFmtId="0" fontId="19" fillId="5" borderId="1" xfId="5" applyFont="1" applyFill="1" applyBorder="1" applyAlignment="1">
      <alignment vertical="center" wrapText="1"/>
    </xf>
    <xf numFmtId="0" fontId="22" fillId="5" borderId="1" xfId="6" applyFill="1" applyBorder="1" applyAlignment="1">
      <alignment horizontal="left" wrapText="1"/>
    </xf>
    <xf numFmtId="0" fontId="19" fillId="5" borderId="1" xfId="5" applyFont="1" applyFill="1" applyBorder="1" applyAlignment="1">
      <alignment horizontal="left" wrapText="1"/>
    </xf>
    <xf numFmtId="0" fontId="19" fillId="9" borderId="1" xfId="5" applyFont="1" applyFill="1" applyBorder="1" applyAlignment="1">
      <alignment horizontal="right"/>
    </xf>
    <xf numFmtId="0" fontId="27" fillId="9" borderId="13" xfId="0" applyFont="1" applyFill="1" applyBorder="1" applyAlignment="1">
      <alignment horizontal="left" vertical="center" wrapText="1"/>
    </xf>
    <xf numFmtId="0" fontId="27" fillId="9" borderId="9" xfId="0" applyFont="1" applyFill="1" applyBorder="1" applyAlignment="1">
      <alignment horizontal="left" vertical="center" wrapText="1"/>
    </xf>
    <xf numFmtId="0" fontId="27" fillId="9" borderId="10" xfId="0" applyFont="1" applyFill="1" applyBorder="1" applyAlignment="1">
      <alignment horizontal="left"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cellXfs>
  <cellStyles count="47">
    <cellStyle name="Calculation 2" xfId="15" xr:uid="{00000000-0005-0000-0000-000000000000}"/>
    <cellStyle name="Comma" xfId="1" builtinId="3"/>
    <cellStyle name="Comma 14" xfId="18" xr:uid="{00000000-0005-0000-0000-000002000000}"/>
    <cellStyle name="Comma 14 2" xfId="39" xr:uid="{67AB4A7C-8325-4B56-8A26-C7A4CB8924D0}"/>
    <cellStyle name="Comma 2" xfId="14" xr:uid="{00000000-0005-0000-0000-000003000000}"/>
    <cellStyle name="Comma 2 2" xfId="37" xr:uid="{FCCD8A0F-574D-4906-8930-14B24F4E98B2}"/>
    <cellStyle name="Comma 3" xfId="19" xr:uid="{00000000-0005-0000-0000-000004000000}"/>
    <cellStyle name="Comma 3 2" xfId="40" xr:uid="{BA6B877B-0E2B-4325-88D4-0D30F1D21308}"/>
    <cellStyle name="Comma 4" xfId="25" xr:uid="{00000000-0005-0000-0000-000005000000}"/>
    <cellStyle name="Comma 4 2" xfId="42" xr:uid="{0A6D72C4-3FC1-4100-B5DF-2ED97FE4E017}"/>
    <cellStyle name="Comma 5" xfId="10" xr:uid="{00000000-0005-0000-0000-000006000000}"/>
    <cellStyle name="Comma 5 2" xfId="36" xr:uid="{EAF40868-8627-4505-8C61-2A5181945213}"/>
    <cellStyle name="Comma 6" xfId="31" xr:uid="{D6C4A7B5-BC10-4AFC-A8C6-08AFD80A98B3}"/>
    <cellStyle name="Explanatory Text 2" xfId="13" xr:uid="{00000000-0005-0000-0000-000007000000}"/>
    <cellStyle name="Hyperlink" xfId="6" builtinId="8"/>
    <cellStyle name="Hyperlink 6" xfId="17" xr:uid="{00000000-0005-0000-0000-000009000000}"/>
    <cellStyle name="Input 2" xfId="12" xr:uid="{00000000-0005-0000-0000-00000A000000}"/>
    <cellStyle name="Normal" xfId="0" builtinId="0"/>
    <cellStyle name="Normal 10 2" xfId="20" xr:uid="{00000000-0005-0000-0000-00000C000000}"/>
    <cellStyle name="Normal 10 2 2" xfId="21" xr:uid="{00000000-0005-0000-0000-00000D000000}"/>
    <cellStyle name="Normal 10 2 3" xfId="24" xr:uid="{00000000-0005-0000-0000-00000E000000}"/>
    <cellStyle name="Normal 10 2 4" xfId="23" xr:uid="{00000000-0005-0000-0000-00000F000000}"/>
    <cellStyle name="Normal 2" xfId="3" xr:uid="{00000000-0005-0000-0000-000010000000}"/>
    <cellStyle name="Normal 2 2" xfId="26" xr:uid="{00000000-0005-0000-0000-000011000000}"/>
    <cellStyle name="Normal 2 2 2" xfId="43" xr:uid="{D2D22568-B522-4E26-B55D-93F053FC5AFC}"/>
    <cellStyle name="Normal 2 3" xfId="11" xr:uid="{00000000-0005-0000-0000-000012000000}"/>
    <cellStyle name="Normal 2 4" xfId="32" xr:uid="{F37D7CB4-9C54-4588-9BB4-32C6D1B65F49}"/>
    <cellStyle name="Normal 3" xfId="4" xr:uid="{00000000-0005-0000-0000-000013000000}"/>
    <cellStyle name="Normal 3 2" xfId="5" xr:uid="{00000000-0005-0000-0000-000014000000}"/>
    <cellStyle name="Normal 3 3" xfId="33" xr:uid="{37236DE2-8BA0-49C4-BCD3-2BF300C65991}"/>
    <cellStyle name="Normal 4" xfId="7" xr:uid="{00000000-0005-0000-0000-000015000000}"/>
    <cellStyle name="Normal 5" xfId="28" xr:uid="{00000000-0005-0000-0000-000016000000}"/>
    <cellStyle name="Normal 57" xfId="16" xr:uid="{00000000-0005-0000-0000-000017000000}"/>
    <cellStyle name="Normal 57 2" xfId="38" xr:uid="{42CE17FC-FD37-4251-8B2F-64C1ABB6450C}"/>
    <cellStyle name="Normal 58" xfId="8" xr:uid="{00000000-0005-0000-0000-000018000000}"/>
    <cellStyle name="Normal 58 2" xfId="22" xr:uid="{00000000-0005-0000-0000-000019000000}"/>
    <cellStyle name="Normal 58 2 2" xfId="41" xr:uid="{B165595E-1F22-4053-A17A-7B0E94712706}"/>
    <cellStyle name="Normal 58 3" xfId="34" xr:uid="{AFC277C9-23DF-42AD-9298-6FD4F0EF3BEC}"/>
    <cellStyle name="Normal 6" xfId="29" xr:uid="{00000000-0005-0000-0000-00001A000000}"/>
    <cellStyle name="Normal 7" xfId="9" xr:uid="{00000000-0005-0000-0000-00001B000000}"/>
    <cellStyle name="Normal 7 2" xfId="35" xr:uid="{7096E980-4C9E-4516-B0A4-14B4631CBD19}"/>
    <cellStyle name="Normal 8" xfId="30" xr:uid="{00000000-0005-0000-0000-00001C000000}"/>
    <cellStyle name="Normal 8 2" xfId="45" xr:uid="{629749AE-6F6C-4F47-AA35-9C954CD555AF}"/>
    <cellStyle name="Normal 9" xfId="46" xr:uid="{39FC05AF-D9E2-4607-8D2B-E8B60ED56566}"/>
    <cellStyle name="Percent" xfId="2" builtinId="5"/>
    <cellStyle name="Percent 2" xfId="27" xr:uid="{00000000-0005-0000-0000-00001E000000}"/>
    <cellStyle name="Percent 2 2" xfId="44" xr:uid="{53C9A370-D37B-44E9-B5BF-EE56A71EBFF0}"/>
  </cellStyles>
  <dxfs count="0"/>
  <tableStyles count="0" defaultTableStyle="TableStyleMedium2" defaultPivotStyle="PivotStyleLight16"/>
  <colors>
    <mruColors>
      <color rgb="FFFFF2CC"/>
      <color rgb="FF66FF33"/>
      <color rgb="FFFF5050"/>
      <color rgb="FFFF0066"/>
      <color rgb="FFFF7C8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133826</xdr:colOff>
      <xdr:row>0</xdr:row>
      <xdr:rowOff>32397</xdr:rowOff>
    </xdr:from>
    <xdr:to>
      <xdr:col>2</xdr:col>
      <xdr:colOff>629731</xdr:colOff>
      <xdr:row>0</xdr:row>
      <xdr:rowOff>668921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26" y="32397"/>
          <a:ext cx="2676495" cy="64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495538</xdr:colOff>
      <xdr:row>53</xdr:row>
      <xdr:rowOff>36195</xdr:rowOff>
    </xdr:from>
    <xdr:to>
      <xdr:col>2</xdr:col>
      <xdr:colOff>969599</xdr:colOff>
      <xdr:row>58</xdr:row>
      <xdr:rowOff>91916</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95538" y="10456545"/>
          <a:ext cx="2893411" cy="96059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1a SMNCC Values</a:t>
          </a:r>
        </a:p>
        <a:p>
          <a:endParaRPr lang="en-GB" sz="1000">
            <a:latin typeface="Verdana" panose="020B0604030504040204" pitchFamily="34" charset="0"/>
            <a:ea typeface="Verdana" panose="020B0604030504040204" pitchFamily="34" charset="0"/>
            <a:cs typeface="Verdana" panose="020B0604030504040204" pitchFamily="34" charset="0"/>
          </a:endParaRPr>
        </a:p>
        <a:p>
          <a:r>
            <a:rPr lang="en-GB" sz="1000">
              <a:latin typeface="Verdana" panose="020B0604030504040204" pitchFamily="34" charset="0"/>
              <a:ea typeface="Verdana" panose="020B0604030504040204" pitchFamily="34" charset="0"/>
              <a:cs typeface="Verdana" panose="020B0604030504040204" pitchFamily="34" charset="0"/>
            </a:rPr>
            <a:t>Table showing the calculation of the SMNCC at benchmark consumption levels m (typical), and nil</a:t>
          </a:r>
        </a:p>
      </xdr:txBody>
    </xdr:sp>
    <xdr:clientData/>
  </xdr:twoCellAnchor>
  <xdr:twoCellAnchor>
    <xdr:from>
      <xdr:col>3</xdr:col>
      <xdr:colOff>1334095</xdr:colOff>
      <xdr:row>36</xdr:row>
      <xdr:rowOff>116681</xdr:rowOff>
    </xdr:from>
    <xdr:to>
      <xdr:col>5</xdr:col>
      <xdr:colOff>359403</xdr:colOff>
      <xdr:row>40</xdr:row>
      <xdr:rowOff>160733</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350924" y="7633267"/>
          <a:ext cx="2982265" cy="7842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2a Non pass-through costs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output of the model - the non-pass-through SMNCC</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41</xdr:row>
      <xdr:rowOff>95845</xdr:rowOff>
    </xdr:from>
    <xdr:to>
      <xdr:col>5</xdr:col>
      <xdr:colOff>359403</xdr:colOff>
      <xdr:row>45</xdr:row>
      <xdr:rowOff>160138</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350924" y="853771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2b SEGB</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Smart Energy GB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46</xdr:row>
      <xdr:rowOff>95249</xdr:rowOff>
    </xdr:from>
    <xdr:to>
      <xdr:col>5</xdr:col>
      <xdr:colOff>359403</xdr:colOff>
      <xdr:row>50</xdr:row>
      <xdr:rowOff>159542</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350924" y="946240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2c</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DCC</a:t>
          </a:r>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51</xdr:row>
      <xdr:rowOff>94653</xdr:rowOff>
    </xdr:from>
    <xdr:to>
      <xdr:col>5</xdr:col>
      <xdr:colOff>359403</xdr:colOff>
      <xdr:row>55</xdr:row>
      <xdr:rowOff>158946</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350924" y="1038709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2d SMICoP</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SMICoP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56</xdr:row>
      <xdr:rowOff>94057</xdr:rowOff>
    </xdr:from>
    <xdr:to>
      <xdr:col>5</xdr:col>
      <xdr:colOff>359403</xdr:colOff>
      <xdr:row>60</xdr:row>
      <xdr:rowOff>158350</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350924" y="1131178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2e CPIH</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CPIH input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data used in the calculation of the SMNCC</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61</xdr:row>
      <xdr:rowOff>93462</xdr:rowOff>
    </xdr:from>
    <xdr:to>
      <xdr:col>5</xdr:col>
      <xdr:colOff>359403</xdr:colOff>
      <xdr:row>66</xdr:row>
      <xdr:rowOff>119654</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350924" y="12236476"/>
          <a:ext cx="2982265" cy="95147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2f</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Scaling factor</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scaling factor</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nil consumption used in the calculation of the SMNCC at nil consumption</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1349335</xdr:colOff>
      <xdr:row>71</xdr:row>
      <xdr:rowOff>39527</xdr:rowOff>
    </xdr:from>
    <xdr:to>
      <xdr:col>5</xdr:col>
      <xdr:colOff>382263</xdr:colOff>
      <xdr:row>76</xdr:row>
      <xdr:rowOff>73339</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5216485" y="13717427"/>
          <a:ext cx="5643278" cy="938687"/>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3a Forecasted Values</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forecasted changes</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of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SEGB and SMICoP charges</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1390888</xdr:colOff>
      <xdr:row>36</xdr:row>
      <xdr:rowOff>134778</xdr:rowOff>
    </xdr:from>
    <xdr:to>
      <xdr:col>3</xdr:col>
      <xdr:colOff>582858</xdr:colOff>
      <xdr:row>75</xdr:row>
      <xdr:rowOff>152400</xdr:rowOff>
    </xdr:to>
    <xdr:sp macro="" textlink="">
      <xdr:nvSpPr>
        <xdr:cNvPr id="35" name="Left Brace 34">
          <a:extLst>
            <a:ext uri="{FF2B5EF4-FFF2-40B4-BE49-F238E27FC236}">
              <a16:creationId xmlns:a16="http://schemas.microsoft.com/office/drawing/2014/main" id="{00000000-0008-0000-0100-000023000000}"/>
            </a:ext>
          </a:extLst>
        </xdr:cNvPr>
        <xdr:cNvSpPr/>
      </xdr:nvSpPr>
      <xdr:spPr>
        <a:xfrm>
          <a:off x="3810238" y="7478553"/>
          <a:ext cx="639770" cy="70756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591144</xdr:colOff>
      <xdr:row>47</xdr:row>
      <xdr:rowOff>161925</xdr:rowOff>
    </xdr:from>
    <xdr:to>
      <xdr:col>12</xdr:col>
      <xdr:colOff>120252</xdr:colOff>
      <xdr:row>50</xdr:row>
      <xdr:rowOff>422</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10524358" y="9714139"/>
          <a:ext cx="2141680" cy="393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Charging Statements</a:t>
          </a:r>
        </a:p>
      </xdr:txBody>
    </xdr:sp>
    <xdr:clientData/>
  </xdr:twoCellAnchor>
  <xdr:twoCellAnchor>
    <xdr:from>
      <xdr:col>8</xdr:col>
      <xdr:colOff>591144</xdr:colOff>
      <xdr:row>42</xdr:row>
      <xdr:rowOff>34527</xdr:rowOff>
    </xdr:from>
    <xdr:to>
      <xdr:col>12</xdr:col>
      <xdr:colOff>120252</xdr:colOff>
      <xdr:row>45</xdr:row>
      <xdr:rowOff>95249</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10524358" y="8661456"/>
          <a:ext cx="2141680" cy="6158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SEGB Consumer Engagement Plan and Budget</a:t>
          </a:r>
        </a:p>
      </xdr:txBody>
    </xdr:sp>
    <xdr:clientData/>
  </xdr:twoCellAnchor>
  <xdr:twoCellAnchor>
    <xdr:from>
      <xdr:col>8</xdr:col>
      <xdr:colOff>591144</xdr:colOff>
      <xdr:row>52</xdr:row>
      <xdr:rowOff>70245</xdr:rowOff>
    </xdr:from>
    <xdr:to>
      <xdr:col>12</xdr:col>
      <xdr:colOff>120252</xdr:colOff>
      <xdr:row>54</xdr:row>
      <xdr:rowOff>87336</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10524358" y="10547745"/>
          <a:ext cx="2141680" cy="3872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BEIS meter point statistics</a:t>
          </a:r>
        </a:p>
      </xdr:txBody>
    </xdr:sp>
    <xdr:clientData/>
  </xdr:twoCellAnchor>
  <xdr:twoCellAnchor>
    <xdr:from>
      <xdr:col>8</xdr:col>
      <xdr:colOff>591144</xdr:colOff>
      <xdr:row>37</xdr:row>
      <xdr:rowOff>55958</xdr:rowOff>
    </xdr:from>
    <xdr:to>
      <xdr:col>12</xdr:col>
      <xdr:colOff>120252</xdr:colOff>
      <xdr:row>40</xdr:row>
      <xdr:rowOff>116679</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10524358" y="7757601"/>
          <a:ext cx="2141680" cy="61589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Non-pass-through model</a:t>
          </a:r>
        </a:p>
      </xdr:txBody>
    </xdr:sp>
    <xdr:clientData/>
  </xdr:twoCellAnchor>
  <xdr:twoCellAnchor>
    <xdr:from>
      <xdr:col>5</xdr:col>
      <xdr:colOff>359403</xdr:colOff>
      <xdr:row>48</xdr:row>
      <xdr:rowOff>127395</xdr:rowOff>
    </xdr:from>
    <xdr:to>
      <xdr:col>8</xdr:col>
      <xdr:colOff>591144</xdr:colOff>
      <xdr:row>48</xdr:row>
      <xdr:rowOff>170470</xdr:rowOff>
    </xdr:to>
    <xdr:cxnSp macro="">
      <xdr:nvCxnSpPr>
        <xdr:cNvPr id="40" name="Straight Arrow Connector 39">
          <a:extLst>
            <a:ext uri="{FF2B5EF4-FFF2-40B4-BE49-F238E27FC236}">
              <a16:creationId xmlns:a16="http://schemas.microsoft.com/office/drawing/2014/main" id="{00000000-0008-0000-0100-000028000000}"/>
            </a:ext>
          </a:extLst>
        </xdr:cNvPr>
        <xdr:cNvCxnSpPr>
          <a:stCxn id="36" idx="1"/>
          <a:endCxn id="30" idx="3"/>
        </xdr:cNvCxnSpPr>
      </xdr:nvCxnSpPr>
      <xdr:spPr>
        <a:xfrm flipH="1" flipV="1">
          <a:off x="8333189" y="9864666"/>
          <a:ext cx="2191169" cy="4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363141</xdr:colOff>
      <xdr:row>49</xdr:row>
      <xdr:rowOff>172640</xdr:rowOff>
    </xdr:from>
    <xdr:to>
      <xdr:col>8</xdr:col>
      <xdr:colOff>591144</xdr:colOff>
      <xdr:row>53</xdr:row>
      <xdr:rowOff>78791</xdr:rowOff>
    </xdr:to>
    <xdr:cxnSp macro="">
      <xdr:nvCxnSpPr>
        <xdr:cNvPr id="41" name="Straight Arrow Connector 40">
          <a:extLst>
            <a:ext uri="{FF2B5EF4-FFF2-40B4-BE49-F238E27FC236}">
              <a16:creationId xmlns:a16="http://schemas.microsoft.com/office/drawing/2014/main" id="{00000000-0008-0000-0100-000029000000}"/>
            </a:ext>
          </a:extLst>
        </xdr:cNvPr>
        <xdr:cNvCxnSpPr>
          <a:stCxn id="38" idx="1"/>
        </xdr:cNvCxnSpPr>
      </xdr:nvCxnSpPr>
      <xdr:spPr>
        <a:xfrm flipH="1" flipV="1">
          <a:off x="8336927" y="10094969"/>
          <a:ext cx="2187431" cy="6463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45</xdr:row>
      <xdr:rowOff>11905</xdr:rowOff>
    </xdr:from>
    <xdr:to>
      <xdr:col>8</xdr:col>
      <xdr:colOff>591144</xdr:colOff>
      <xdr:row>53</xdr:row>
      <xdr:rowOff>78791</xdr:rowOff>
    </xdr:to>
    <xdr:cxnSp macro="">
      <xdr:nvCxnSpPr>
        <xdr:cNvPr id="42" name="Straight Arrow Connector 41">
          <a:extLst>
            <a:ext uri="{FF2B5EF4-FFF2-40B4-BE49-F238E27FC236}">
              <a16:creationId xmlns:a16="http://schemas.microsoft.com/office/drawing/2014/main" id="{00000000-0008-0000-0100-00002A000000}"/>
            </a:ext>
          </a:extLst>
        </xdr:cNvPr>
        <xdr:cNvCxnSpPr>
          <a:stCxn id="38" idx="1"/>
        </xdr:cNvCxnSpPr>
      </xdr:nvCxnSpPr>
      <xdr:spPr>
        <a:xfrm flipH="1" flipV="1">
          <a:off x="8330973" y="9194005"/>
          <a:ext cx="2193385" cy="1547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53</xdr:row>
      <xdr:rowOff>78791</xdr:rowOff>
    </xdr:from>
    <xdr:to>
      <xdr:col>8</xdr:col>
      <xdr:colOff>591144</xdr:colOff>
      <xdr:row>53</xdr:row>
      <xdr:rowOff>126800</xdr:rowOff>
    </xdr:to>
    <xdr:cxnSp macro="">
      <xdr:nvCxnSpPr>
        <xdr:cNvPr id="43" name="Straight Arrow Connector 42">
          <a:extLst>
            <a:ext uri="{FF2B5EF4-FFF2-40B4-BE49-F238E27FC236}">
              <a16:creationId xmlns:a16="http://schemas.microsoft.com/office/drawing/2014/main" id="{00000000-0008-0000-0100-00002B000000}"/>
            </a:ext>
          </a:extLst>
        </xdr:cNvPr>
        <xdr:cNvCxnSpPr>
          <a:stCxn id="38" idx="1"/>
          <a:endCxn id="31" idx="3"/>
        </xdr:cNvCxnSpPr>
      </xdr:nvCxnSpPr>
      <xdr:spPr>
        <a:xfrm flipH="1">
          <a:off x="8333189" y="10741348"/>
          <a:ext cx="2191169" cy="480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591144</xdr:colOff>
      <xdr:row>57</xdr:row>
      <xdr:rowOff>121443</xdr:rowOff>
    </xdr:from>
    <xdr:to>
      <xdr:col>12</xdr:col>
      <xdr:colOff>120252</xdr:colOff>
      <xdr:row>60</xdr:row>
      <xdr:rowOff>11905</xdr:rowOff>
    </xdr:to>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10524358" y="11524229"/>
          <a:ext cx="2141680" cy="44563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Office for National Statistics CPIH</a:t>
          </a:r>
        </a:p>
      </xdr:txBody>
    </xdr:sp>
    <xdr:clientData/>
  </xdr:twoCellAnchor>
  <xdr:twoCellAnchor>
    <xdr:from>
      <xdr:col>5</xdr:col>
      <xdr:colOff>359403</xdr:colOff>
      <xdr:row>58</xdr:row>
      <xdr:rowOff>126204</xdr:rowOff>
    </xdr:from>
    <xdr:to>
      <xdr:col>8</xdr:col>
      <xdr:colOff>591144</xdr:colOff>
      <xdr:row>58</xdr:row>
      <xdr:rowOff>155971</xdr:rowOff>
    </xdr:to>
    <xdr:cxnSp macro="">
      <xdr:nvCxnSpPr>
        <xdr:cNvPr id="45" name="Straight Arrow Connector 44">
          <a:extLst>
            <a:ext uri="{FF2B5EF4-FFF2-40B4-BE49-F238E27FC236}">
              <a16:creationId xmlns:a16="http://schemas.microsoft.com/office/drawing/2014/main" id="{00000000-0008-0000-0100-00002D000000}"/>
            </a:ext>
          </a:extLst>
        </xdr:cNvPr>
        <xdr:cNvCxnSpPr>
          <a:stCxn id="44" idx="1"/>
          <a:endCxn id="32" idx="3"/>
        </xdr:cNvCxnSpPr>
      </xdr:nvCxnSpPr>
      <xdr:spPr>
        <a:xfrm flipH="1" flipV="1">
          <a:off x="8333189" y="11714047"/>
          <a:ext cx="2191169" cy="29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43</xdr:row>
      <xdr:rowOff>127991</xdr:rowOff>
    </xdr:from>
    <xdr:to>
      <xdr:col>8</xdr:col>
      <xdr:colOff>591144</xdr:colOff>
      <xdr:row>43</xdr:row>
      <xdr:rowOff>154185</xdr:rowOff>
    </xdr:to>
    <xdr:cxnSp macro="">
      <xdr:nvCxnSpPr>
        <xdr:cNvPr id="46" name="Straight Arrow Connector 45">
          <a:extLst>
            <a:ext uri="{FF2B5EF4-FFF2-40B4-BE49-F238E27FC236}">
              <a16:creationId xmlns:a16="http://schemas.microsoft.com/office/drawing/2014/main" id="{00000000-0008-0000-0100-00002E000000}"/>
            </a:ext>
          </a:extLst>
        </xdr:cNvPr>
        <xdr:cNvCxnSpPr>
          <a:stCxn id="37" idx="1"/>
          <a:endCxn id="29" idx="3"/>
        </xdr:cNvCxnSpPr>
      </xdr:nvCxnSpPr>
      <xdr:spPr>
        <a:xfrm flipH="1" flipV="1">
          <a:off x="8333189" y="8939977"/>
          <a:ext cx="2191169" cy="26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38</xdr:row>
      <xdr:rowOff>138708</xdr:rowOff>
    </xdr:from>
    <xdr:to>
      <xdr:col>8</xdr:col>
      <xdr:colOff>591144</xdr:colOff>
      <xdr:row>38</xdr:row>
      <xdr:rowOff>175616</xdr:rowOff>
    </xdr:to>
    <xdr:cxnSp macro="">
      <xdr:nvCxnSpPr>
        <xdr:cNvPr id="47" name="Straight Arrow Connector 46">
          <a:extLst>
            <a:ext uri="{FF2B5EF4-FFF2-40B4-BE49-F238E27FC236}">
              <a16:creationId xmlns:a16="http://schemas.microsoft.com/office/drawing/2014/main" id="{00000000-0008-0000-0100-00002F000000}"/>
            </a:ext>
          </a:extLst>
        </xdr:cNvPr>
        <xdr:cNvCxnSpPr>
          <a:stCxn id="39" idx="1"/>
          <a:endCxn id="28" idx="3"/>
        </xdr:cNvCxnSpPr>
      </xdr:nvCxnSpPr>
      <xdr:spPr>
        <a:xfrm flipH="1" flipV="1">
          <a:off x="8333189" y="8025408"/>
          <a:ext cx="2191169" cy="369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38</xdr:row>
      <xdr:rowOff>175616</xdr:rowOff>
    </xdr:from>
    <xdr:to>
      <xdr:col>8</xdr:col>
      <xdr:colOff>591144</xdr:colOff>
      <xdr:row>47</xdr:row>
      <xdr:rowOff>160733</xdr:rowOff>
    </xdr:to>
    <xdr:cxnSp macro="">
      <xdr:nvCxnSpPr>
        <xdr:cNvPr id="48" name="Straight Arrow Connector 47">
          <a:extLst>
            <a:ext uri="{FF2B5EF4-FFF2-40B4-BE49-F238E27FC236}">
              <a16:creationId xmlns:a16="http://schemas.microsoft.com/office/drawing/2014/main" id="{00000000-0008-0000-0100-000030000000}"/>
            </a:ext>
          </a:extLst>
        </xdr:cNvPr>
        <xdr:cNvCxnSpPr>
          <a:stCxn id="39" idx="1"/>
        </xdr:cNvCxnSpPr>
      </xdr:nvCxnSpPr>
      <xdr:spPr>
        <a:xfrm flipH="1">
          <a:off x="8330973" y="8062316"/>
          <a:ext cx="2193385" cy="16506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380524</xdr:colOff>
      <xdr:row>48</xdr:row>
      <xdr:rowOff>172614</xdr:rowOff>
    </xdr:from>
    <xdr:to>
      <xdr:col>8</xdr:col>
      <xdr:colOff>587334</xdr:colOff>
      <xdr:row>72</xdr:row>
      <xdr:rowOff>151922</xdr:rowOff>
    </xdr:to>
    <xdr:cxnSp macro="">
      <xdr:nvCxnSpPr>
        <xdr:cNvPr id="49" name="Straight Arrow Connector 48">
          <a:extLst>
            <a:ext uri="{FF2B5EF4-FFF2-40B4-BE49-F238E27FC236}">
              <a16:creationId xmlns:a16="http://schemas.microsoft.com/office/drawing/2014/main" id="{00000000-0008-0000-0100-000031000000}"/>
            </a:ext>
          </a:extLst>
        </xdr:cNvPr>
        <xdr:cNvCxnSpPr>
          <a:stCxn id="36" idx="1"/>
        </xdr:cNvCxnSpPr>
      </xdr:nvCxnSpPr>
      <xdr:spPr>
        <a:xfrm flipH="1">
          <a:off x="10858024" y="9688089"/>
          <a:ext cx="2035610" cy="43227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606384</xdr:colOff>
      <xdr:row>72</xdr:row>
      <xdr:rowOff>112871</xdr:rowOff>
    </xdr:from>
    <xdr:to>
      <xdr:col>12</xdr:col>
      <xdr:colOff>139302</xdr:colOff>
      <xdr:row>74</xdr:row>
      <xdr:rowOff>129962</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12912684" y="13971746"/>
          <a:ext cx="1971318" cy="3790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Indicative Budget</a:t>
          </a:r>
        </a:p>
      </xdr:txBody>
    </xdr:sp>
    <xdr:clientData/>
  </xdr:twoCellAnchor>
  <xdr:twoCellAnchor>
    <xdr:from>
      <xdr:col>5</xdr:col>
      <xdr:colOff>382263</xdr:colOff>
      <xdr:row>73</xdr:row>
      <xdr:rowOff>123322</xdr:rowOff>
    </xdr:from>
    <xdr:to>
      <xdr:col>8</xdr:col>
      <xdr:colOff>606384</xdr:colOff>
      <xdr:row>73</xdr:row>
      <xdr:rowOff>146921</xdr:rowOff>
    </xdr:to>
    <xdr:cxnSp macro="">
      <xdr:nvCxnSpPr>
        <xdr:cNvPr id="51" name="Straight Arrow Connector 50">
          <a:extLst>
            <a:ext uri="{FF2B5EF4-FFF2-40B4-BE49-F238E27FC236}">
              <a16:creationId xmlns:a16="http://schemas.microsoft.com/office/drawing/2014/main" id="{00000000-0008-0000-0100-000033000000}"/>
            </a:ext>
          </a:extLst>
        </xdr:cNvPr>
        <xdr:cNvCxnSpPr>
          <a:stCxn id="50" idx="1"/>
          <a:endCxn id="34" idx="3"/>
        </xdr:cNvCxnSpPr>
      </xdr:nvCxnSpPr>
      <xdr:spPr>
        <a:xfrm flipH="1">
          <a:off x="10859763" y="14163172"/>
          <a:ext cx="2052921" cy="23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1330285</xdr:colOff>
      <xdr:row>67</xdr:row>
      <xdr:rowOff>47742</xdr:rowOff>
    </xdr:from>
    <xdr:to>
      <xdr:col>5</xdr:col>
      <xdr:colOff>363213</xdr:colOff>
      <xdr:row>70</xdr:row>
      <xdr:rowOff>152400</xdr:rowOff>
    </xdr:to>
    <xdr:sp macro="" textlink="">
      <xdr:nvSpPr>
        <xdr:cNvPr id="52" name="TextBox 51">
          <a:extLst>
            <a:ext uri="{FF2B5EF4-FFF2-40B4-BE49-F238E27FC236}">
              <a16:creationId xmlns:a16="http://schemas.microsoft.com/office/drawing/2014/main" id="{F6984CDF-94A3-4BF0-B752-8CF8E8E450FF}"/>
            </a:ext>
          </a:extLst>
        </xdr:cNvPr>
        <xdr:cNvSpPr txBox="1"/>
      </xdr:nvSpPr>
      <xdr:spPr>
        <a:xfrm>
          <a:off x="5197435" y="13001742"/>
          <a:ext cx="5643278" cy="64758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2g PPM cost offset</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indexed amount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the PPM additional cost offset. </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ons.gov.uk/economy/inflationandpriceindices/timeseries/l522/mm23"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autoPageBreaks="0"/>
  </sheetPr>
  <dimension ref="A1:J21"/>
  <sheetViews>
    <sheetView tabSelected="1" topLeftCell="A16" workbookViewId="0">
      <selection activeCell="E18" sqref="E18"/>
    </sheetView>
  </sheetViews>
  <sheetFormatPr defaultColWidth="0" defaultRowHeight="13.5" zeroHeight="1" x14ac:dyDescent="0.3"/>
  <cols>
    <col min="1" max="1" width="15.54296875" style="153" customWidth="1"/>
    <col min="2" max="2" width="15.54296875" style="167" customWidth="1"/>
    <col min="3" max="3" width="15.54296875" style="153" customWidth="1"/>
    <col min="4" max="4" width="108" style="153" customWidth="1"/>
    <col min="5" max="5" width="9" style="153" customWidth="1"/>
    <col min="6" max="6" width="8.90625" style="153" hidden="1" customWidth="1"/>
    <col min="7" max="10" width="0" style="153" hidden="1" customWidth="1"/>
    <col min="11" max="16384" width="9" style="153" hidden="1"/>
  </cols>
  <sheetData>
    <row r="1" spans="1:10" s="44" customFormat="1" ht="57" customHeight="1" x14ac:dyDescent="0.3">
      <c r="A1" s="62" t="s">
        <v>0</v>
      </c>
      <c r="B1" s="152"/>
      <c r="C1" s="62"/>
      <c r="D1" s="62"/>
      <c r="E1" s="62"/>
      <c r="F1" s="62"/>
      <c r="G1" s="62"/>
      <c r="H1" s="62"/>
      <c r="I1" s="62"/>
      <c r="J1" s="62"/>
    </row>
    <row r="2" spans="1:10" ht="14.5" x14ac:dyDescent="0.35">
      <c r="A2" s="2"/>
      <c r="B2" s="57"/>
      <c r="C2" s="2"/>
      <c r="D2" s="2"/>
      <c r="E2" s="2"/>
      <c r="F2" s="2"/>
      <c r="G2" s="2"/>
      <c r="H2" s="2"/>
      <c r="I2" s="2"/>
    </row>
    <row r="3" spans="1:10" ht="15" x14ac:dyDescent="0.35">
      <c r="B3" s="58" t="s">
        <v>1</v>
      </c>
      <c r="C3" s="2"/>
      <c r="D3" s="2"/>
      <c r="E3" s="2"/>
      <c r="F3" s="2"/>
      <c r="G3" s="2"/>
      <c r="H3" s="2"/>
      <c r="I3" s="2"/>
      <c r="J3" s="2"/>
    </row>
    <row r="4" spans="1:10" ht="14.5" x14ac:dyDescent="0.35">
      <c r="B4" s="3"/>
      <c r="C4" s="2"/>
      <c r="D4" s="3"/>
      <c r="E4" s="2"/>
      <c r="F4" s="2"/>
      <c r="G4" s="2"/>
      <c r="H4" s="2"/>
      <c r="I4" s="2"/>
      <c r="J4" s="2"/>
    </row>
    <row r="5" spans="1:10" ht="22.5" customHeight="1" x14ac:dyDescent="0.35">
      <c r="B5" s="154" t="s">
        <v>2</v>
      </c>
      <c r="C5" s="154" t="s">
        <v>3</v>
      </c>
      <c r="D5" s="154" t="s">
        <v>4</v>
      </c>
      <c r="E5" s="2"/>
      <c r="F5" s="2"/>
      <c r="G5" s="2"/>
      <c r="H5" s="2"/>
      <c r="I5" s="2"/>
      <c r="J5" s="2"/>
    </row>
    <row r="6" spans="1:10" ht="14.5" x14ac:dyDescent="0.35">
      <c r="B6" s="59" t="s">
        <v>5</v>
      </c>
      <c r="C6" s="155">
        <v>43349</v>
      </c>
      <c r="D6" s="156" t="s">
        <v>6</v>
      </c>
      <c r="E6" s="2"/>
      <c r="F6" s="2"/>
      <c r="G6" s="2"/>
      <c r="H6" s="2"/>
      <c r="I6" s="2"/>
      <c r="J6" s="2"/>
    </row>
    <row r="7" spans="1:10" ht="183" customHeight="1" x14ac:dyDescent="0.35">
      <c r="B7" s="157" t="s">
        <v>7</v>
      </c>
      <c r="C7" s="158">
        <v>43410</v>
      </c>
      <c r="D7" s="159" t="s">
        <v>8</v>
      </c>
      <c r="E7" s="2"/>
      <c r="F7" s="2"/>
      <c r="G7" s="2"/>
      <c r="H7" s="2"/>
      <c r="I7" s="2"/>
      <c r="J7" s="2"/>
    </row>
    <row r="8" spans="1:10" ht="72.75" customHeight="1" x14ac:dyDescent="0.35">
      <c r="B8" s="160" t="s">
        <v>9</v>
      </c>
      <c r="C8" s="158">
        <v>43138</v>
      </c>
      <c r="D8" s="161" t="s">
        <v>10</v>
      </c>
      <c r="E8" s="2"/>
      <c r="F8" s="2"/>
      <c r="G8" s="2"/>
      <c r="H8" s="2"/>
      <c r="I8" s="2"/>
      <c r="J8" s="2"/>
    </row>
    <row r="9" spans="1:10" ht="177" customHeight="1" x14ac:dyDescent="0.35">
      <c r="B9" s="160" t="s">
        <v>11</v>
      </c>
      <c r="C9" s="158">
        <v>43684</v>
      </c>
      <c r="D9" s="162" t="s">
        <v>12</v>
      </c>
      <c r="E9" s="2"/>
      <c r="F9" s="2"/>
      <c r="G9" s="2"/>
      <c r="H9" s="2"/>
      <c r="I9" s="2"/>
      <c r="J9" s="2"/>
    </row>
    <row r="10" spans="1:10" ht="58" x14ac:dyDescent="0.35">
      <c r="B10" s="160" t="s">
        <v>13</v>
      </c>
      <c r="C10" s="158">
        <v>43868</v>
      </c>
      <c r="D10" s="162" t="s">
        <v>14</v>
      </c>
      <c r="E10" s="2"/>
      <c r="F10" s="2"/>
      <c r="G10" s="2"/>
      <c r="H10" s="2"/>
      <c r="I10" s="2"/>
      <c r="J10" s="2"/>
    </row>
    <row r="11" spans="1:10" ht="87" x14ac:dyDescent="0.35">
      <c r="B11" s="160" t="s">
        <v>15</v>
      </c>
      <c r="C11" s="158">
        <v>44048</v>
      </c>
      <c r="D11" s="54" t="s">
        <v>16</v>
      </c>
      <c r="E11" s="2"/>
      <c r="F11" s="2"/>
      <c r="G11" s="2"/>
      <c r="H11" s="2"/>
      <c r="I11" s="2"/>
      <c r="J11" s="2"/>
    </row>
    <row r="12" spans="1:10" ht="213.65" customHeight="1" x14ac:dyDescent="0.35">
      <c r="B12" s="160" t="s">
        <v>17</v>
      </c>
      <c r="C12" s="158">
        <v>44050</v>
      </c>
      <c r="D12" s="54" t="s">
        <v>18</v>
      </c>
      <c r="E12" s="2"/>
      <c r="F12" s="2"/>
      <c r="G12" s="2"/>
      <c r="H12" s="2"/>
      <c r="I12" s="2"/>
      <c r="J12" s="2"/>
    </row>
    <row r="13" spans="1:10" ht="27" customHeight="1" x14ac:dyDescent="0.3">
      <c r="B13" s="160" t="s">
        <v>19</v>
      </c>
      <c r="C13" s="158">
        <v>44232</v>
      </c>
      <c r="D13" s="54" t="s">
        <v>20</v>
      </c>
    </row>
    <row r="14" spans="1:10" ht="27" x14ac:dyDescent="0.3">
      <c r="B14" s="163" t="s">
        <v>21</v>
      </c>
      <c r="C14" s="158">
        <v>44315</v>
      </c>
      <c r="D14" s="164" t="s">
        <v>22</v>
      </c>
    </row>
    <row r="15" spans="1:10" ht="29.25" customHeight="1" x14ac:dyDescent="0.3">
      <c r="B15" s="163" t="s">
        <v>23</v>
      </c>
      <c r="C15" s="158">
        <v>44413</v>
      </c>
      <c r="D15" s="164" t="s">
        <v>24</v>
      </c>
    </row>
    <row r="16" spans="1:10" ht="88.5" customHeight="1" x14ac:dyDescent="0.3">
      <c r="B16" s="163" t="s">
        <v>25</v>
      </c>
      <c r="C16" s="158">
        <v>44414</v>
      </c>
      <c r="D16" s="164" t="s">
        <v>26</v>
      </c>
    </row>
    <row r="17" spans="2:4" ht="52.5" customHeight="1" x14ac:dyDescent="0.3">
      <c r="B17" s="163" t="s">
        <v>27</v>
      </c>
      <c r="C17" s="158">
        <v>44596</v>
      </c>
      <c r="D17" s="164" t="s">
        <v>28</v>
      </c>
    </row>
    <row r="18" spans="2:4" ht="52.5" customHeight="1" x14ac:dyDescent="0.3">
      <c r="B18" s="163" t="s">
        <v>580</v>
      </c>
      <c r="C18" s="165">
        <v>44799</v>
      </c>
      <c r="D18" s="166" t="s">
        <v>581</v>
      </c>
    </row>
    <row r="19" spans="2:4" ht="28.5" customHeight="1" x14ac:dyDescent="0.3">
      <c r="B19" s="163" t="s">
        <v>582</v>
      </c>
      <c r="C19" s="178">
        <v>44984</v>
      </c>
      <c r="D19" s="166" t="s">
        <v>583</v>
      </c>
    </row>
    <row r="20" spans="2:4" ht="58" x14ac:dyDescent="0.3">
      <c r="B20" s="188" t="s">
        <v>654</v>
      </c>
      <c r="C20" s="186">
        <v>45009</v>
      </c>
      <c r="D20" s="187" t="s">
        <v>655</v>
      </c>
    </row>
    <row r="21" spans="2:4" x14ac:dyDescent="0.3"/>
  </sheetData>
  <phoneticPr fontId="36" type="noConversion"/>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7" tint="0.79998168889431442"/>
    <pageSetUpPr autoPageBreaks="0"/>
  </sheetPr>
  <dimension ref="A1:R7"/>
  <sheetViews>
    <sheetView workbookViewId="0"/>
  </sheetViews>
  <sheetFormatPr defaultColWidth="0" defaultRowHeight="14.5" zeroHeight="1" x14ac:dyDescent="0.35"/>
  <cols>
    <col min="1" max="1" width="9" customWidth="1"/>
    <col min="2" max="5" width="20.90625" customWidth="1"/>
    <col min="6" max="6" width="9" customWidth="1"/>
    <col min="7" max="16384" width="9" hidden="1"/>
  </cols>
  <sheetData>
    <row r="1" spans="1:18" x14ac:dyDescent="0.35">
      <c r="A1" s="7"/>
      <c r="B1" s="7"/>
      <c r="C1" s="7"/>
      <c r="D1" s="7"/>
      <c r="E1" s="7"/>
      <c r="F1" s="7"/>
    </row>
    <row r="2" spans="1:18" s="1" customFormat="1" ht="17.5" x14ac:dyDescent="0.35">
      <c r="B2" s="10" t="s">
        <v>141</v>
      </c>
    </row>
    <row r="3" spans="1:18" s="1" customFormat="1" x14ac:dyDescent="0.35">
      <c r="B3" s="264" t="s">
        <v>557</v>
      </c>
      <c r="C3" s="265"/>
      <c r="D3" s="265"/>
      <c r="E3" s="265"/>
      <c r="F3" s="265"/>
      <c r="G3" s="265"/>
      <c r="H3" s="265"/>
      <c r="I3" s="265"/>
      <c r="J3" s="265"/>
      <c r="K3" s="265"/>
      <c r="L3" s="265"/>
      <c r="M3" s="265"/>
      <c r="N3" s="265"/>
      <c r="O3" s="265"/>
      <c r="P3" s="265"/>
      <c r="Q3" s="265"/>
      <c r="R3" s="265"/>
    </row>
    <row r="4" spans="1:18" x14ac:dyDescent="0.35">
      <c r="A4" s="7"/>
      <c r="B4" s="7"/>
      <c r="C4" s="7"/>
      <c r="D4" s="7"/>
      <c r="E4" s="7"/>
      <c r="F4" s="7"/>
    </row>
    <row r="5" spans="1:18" x14ac:dyDescent="0.35">
      <c r="A5" s="7"/>
      <c r="B5" s="125" t="s">
        <v>29</v>
      </c>
      <c r="C5" s="125" t="s">
        <v>151</v>
      </c>
      <c r="D5" s="125" t="s">
        <v>74</v>
      </c>
      <c r="E5" s="125" t="s">
        <v>558</v>
      </c>
      <c r="F5" s="7"/>
    </row>
    <row r="6" spans="1:18" ht="40.5" x14ac:dyDescent="0.35">
      <c r="A6" s="7"/>
      <c r="B6" s="126" t="s">
        <v>141</v>
      </c>
      <c r="C6" s="126" t="s">
        <v>559</v>
      </c>
      <c r="D6" s="126" t="s">
        <v>166</v>
      </c>
      <c r="E6" s="127">
        <v>0.69</v>
      </c>
      <c r="F6" s="7"/>
    </row>
    <row r="7" spans="1:18" x14ac:dyDescent="0.35">
      <c r="A7" s="7"/>
      <c r="B7" s="7"/>
      <c r="C7" s="7"/>
      <c r="D7" s="7"/>
      <c r="E7" s="7"/>
      <c r="F7" s="7"/>
    </row>
  </sheetData>
  <mergeCells count="1">
    <mergeCell ref="B3:R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tint="0.79998168889431442"/>
    <pageSetUpPr autoPageBreaks="0"/>
  </sheetPr>
  <dimension ref="A1:DA437"/>
  <sheetViews>
    <sheetView workbookViewId="0">
      <selection activeCell="AM24" sqref="AM24"/>
    </sheetView>
  </sheetViews>
  <sheetFormatPr defaultColWidth="0" defaultRowHeight="12.5" x14ac:dyDescent="0.25"/>
  <cols>
    <col min="1" max="1" width="10" style="13" customWidth="1"/>
    <col min="2" max="2" width="47" style="13" customWidth="1"/>
    <col min="3" max="10" width="17.54296875" style="13" customWidth="1"/>
    <col min="11" max="11" width="1.453125" style="13" customWidth="1"/>
    <col min="12" max="50" width="17.54296875" style="13" customWidth="1"/>
    <col min="51" max="51" width="10" style="13" customWidth="1"/>
    <col min="52" max="105" width="0" style="13" hidden="1" customWidth="1"/>
    <col min="106" max="16384" width="10" style="13" hidden="1"/>
  </cols>
  <sheetData>
    <row r="1" spans="1:104" s="9" customFormat="1" ht="13.5" x14ac:dyDescent="0.3"/>
    <row r="2" spans="1:104" s="9" customFormat="1" ht="17.5" x14ac:dyDescent="0.35">
      <c r="B2" s="10" t="s">
        <v>246</v>
      </c>
      <c r="C2" s="10"/>
      <c r="D2" s="10"/>
      <c r="E2" s="10"/>
      <c r="F2" s="10"/>
      <c r="G2" s="10"/>
      <c r="H2" s="10"/>
      <c r="I2" s="10"/>
      <c r="Q2" s="10"/>
    </row>
    <row r="3" spans="1:104" s="9" customFormat="1" ht="12.75" customHeight="1" x14ac:dyDescent="0.3">
      <c r="B3" s="264" t="s">
        <v>247</v>
      </c>
      <c r="C3" s="265"/>
      <c r="D3" s="265"/>
      <c r="E3" s="265"/>
      <c r="F3" s="265"/>
      <c r="G3" s="265"/>
      <c r="H3" s="265"/>
      <c r="I3" s="265"/>
      <c r="J3" s="265"/>
      <c r="K3" s="265"/>
      <c r="L3" s="265"/>
      <c r="M3" s="265"/>
      <c r="N3" s="265"/>
      <c r="O3" s="265"/>
      <c r="P3" s="265"/>
      <c r="Q3" s="265"/>
      <c r="R3" s="265"/>
      <c r="S3" s="11"/>
      <c r="T3" s="11"/>
      <c r="U3" s="11"/>
      <c r="V3" s="11"/>
      <c r="W3" s="11"/>
      <c r="X3" s="11"/>
      <c r="Y3" s="11"/>
      <c r="Z3" s="11"/>
      <c r="AA3" s="11"/>
    </row>
    <row r="4" spans="1:104" s="9" customFormat="1" ht="13.5" x14ac:dyDescent="0.3"/>
    <row r="5" spans="1:104" s="12" customFormat="1" ht="13.5" x14ac:dyDescent="0.3"/>
    <row r="7" spans="1:104" s="14" customFormat="1" ht="13.5" x14ac:dyDescent="0.3">
      <c r="B7" s="15" t="s">
        <v>184</v>
      </c>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9" spans="1:104" s="16" customFormat="1" ht="13.5" x14ac:dyDescent="0.3">
      <c r="A9" s="13"/>
      <c r="B9" s="40" t="s">
        <v>248</v>
      </c>
      <c r="C9" s="41">
        <f>G16</f>
        <v>102.2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1:104" s="17" customFormat="1" ht="13.5" x14ac:dyDescent="0.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row>
    <row r="11" spans="1:104" s="19" customFormat="1" ht="12.65" customHeight="1" x14ac:dyDescent="0.3">
      <c r="A11" s="18"/>
      <c r="B11" s="272"/>
      <c r="C11" s="251" t="s">
        <v>75</v>
      </c>
      <c r="D11" s="252"/>
      <c r="E11" s="252"/>
      <c r="F11" s="252"/>
      <c r="G11" s="252"/>
      <c r="H11" s="252"/>
      <c r="I11" s="252"/>
      <c r="J11" s="253"/>
      <c r="K11" s="33"/>
      <c r="L11" s="251" t="s">
        <v>76</v>
      </c>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3"/>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1:104" s="19" customFormat="1" ht="12.75" customHeight="1" x14ac:dyDescent="0.25">
      <c r="A12" s="18"/>
      <c r="B12" s="272"/>
      <c r="C12" s="266" t="s">
        <v>152</v>
      </c>
      <c r="D12" s="267"/>
      <c r="E12" s="267"/>
      <c r="F12" s="267"/>
      <c r="G12" s="267"/>
      <c r="H12" s="267"/>
      <c r="I12" s="267"/>
      <c r="J12" s="268"/>
      <c r="K12" s="33"/>
      <c r="L12" s="266" t="s">
        <v>78</v>
      </c>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8"/>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row>
    <row r="13" spans="1:104" s="19" customFormat="1" ht="13.5" x14ac:dyDescent="0.3">
      <c r="A13" s="18"/>
      <c r="B13" s="34" t="s">
        <v>249</v>
      </c>
      <c r="C13" s="118" t="s">
        <v>250</v>
      </c>
      <c r="D13" s="118" t="s">
        <v>251</v>
      </c>
      <c r="E13" s="118" t="s">
        <v>252</v>
      </c>
      <c r="F13" s="118" t="s">
        <v>253</v>
      </c>
      <c r="G13" s="118" t="s">
        <v>254</v>
      </c>
      <c r="H13" s="118" t="s">
        <v>255</v>
      </c>
      <c r="I13" s="118" t="s">
        <v>256</v>
      </c>
      <c r="J13" s="118" t="s">
        <v>257</v>
      </c>
      <c r="K13" s="33"/>
      <c r="L13" s="179" t="s">
        <v>257</v>
      </c>
      <c r="M13" s="179" t="s">
        <v>258</v>
      </c>
      <c r="N13" s="179" t="s">
        <v>259</v>
      </c>
      <c r="O13" s="179" t="s">
        <v>260</v>
      </c>
      <c r="P13" s="179" t="s">
        <v>261</v>
      </c>
      <c r="Q13" s="179" t="s">
        <v>262</v>
      </c>
      <c r="R13" s="179" t="s">
        <v>263</v>
      </c>
      <c r="S13" s="179" t="s">
        <v>264</v>
      </c>
      <c r="T13" s="179" t="s">
        <v>265</v>
      </c>
      <c r="U13" s="179" t="s">
        <v>266</v>
      </c>
      <c r="V13" s="179" t="s">
        <v>267</v>
      </c>
      <c r="W13" s="179" t="s">
        <v>267</v>
      </c>
      <c r="X13" s="179" t="s">
        <v>633</v>
      </c>
      <c r="Y13" s="179" t="s">
        <v>633</v>
      </c>
      <c r="Z13" s="179" t="s">
        <v>634</v>
      </c>
      <c r="AA13" s="179" t="s">
        <v>634</v>
      </c>
      <c r="AB13" s="179" t="s">
        <v>635</v>
      </c>
      <c r="AC13" s="179" t="s">
        <v>635</v>
      </c>
      <c r="AD13" s="179" t="s">
        <v>636</v>
      </c>
      <c r="AE13" s="179" t="s">
        <v>636</v>
      </c>
      <c r="AF13" s="179" t="s">
        <v>637</v>
      </c>
      <c r="AG13" s="179" t="s">
        <v>637</v>
      </c>
      <c r="AH13" s="179" t="s">
        <v>638</v>
      </c>
      <c r="AI13" s="179" t="s">
        <v>638</v>
      </c>
      <c r="AJ13" s="179" t="s">
        <v>639</v>
      </c>
      <c r="AK13" s="179" t="s">
        <v>639</v>
      </c>
      <c r="AL13" s="179" t="s">
        <v>640</v>
      </c>
      <c r="AM13" s="179" t="s">
        <v>640</v>
      </c>
      <c r="AN13" s="179" t="s">
        <v>641</v>
      </c>
      <c r="AO13" s="179" t="s">
        <v>641</v>
      </c>
      <c r="AP13" s="179" t="s">
        <v>642</v>
      </c>
      <c r="AQ13" s="179" t="s">
        <v>642</v>
      </c>
      <c r="AR13" s="179" t="s">
        <v>643</v>
      </c>
      <c r="AS13" s="179" t="s">
        <v>643</v>
      </c>
      <c r="AT13" s="179" t="s">
        <v>644</v>
      </c>
      <c r="AU13" s="179" t="s">
        <v>644</v>
      </c>
      <c r="AV13" s="179" t="s">
        <v>645</v>
      </c>
      <c r="AW13" s="179" t="s">
        <v>645</v>
      </c>
      <c r="AX13" s="179" t="s">
        <v>646</v>
      </c>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1:104" s="19" customFormat="1" ht="27" customHeight="1" x14ac:dyDescent="0.25">
      <c r="A14" s="18"/>
      <c r="B14" s="119" t="s">
        <v>79</v>
      </c>
      <c r="C14" s="120" t="s">
        <v>268</v>
      </c>
      <c r="D14" s="120" t="s">
        <v>269</v>
      </c>
      <c r="E14" s="120" t="s">
        <v>270</v>
      </c>
      <c r="F14" s="120" t="s">
        <v>271</v>
      </c>
      <c r="G14" s="120" t="s">
        <v>80</v>
      </c>
      <c r="H14" s="121" t="s">
        <v>81</v>
      </c>
      <c r="I14" s="120" t="s">
        <v>82</v>
      </c>
      <c r="J14" s="120" t="s">
        <v>83</v>
      </c>
      <c r="K14" s="33"/>
      <c r="L14" s="76" t="s">
        <v>84</v>
      </c>
      <c r="M14" s="122" t="s">
        <v>85</v>
      </c>
      <c r="N14" s="122" t="s">
        <v>86</v>
      </c>
      <c r="O14" s="122" t="s">
        <v>87</v>
      </c>
      <c r="P14" s="122" t="s">
        <v>88</v>
      </c>
      <c r="Q14" s="122" t="s">
        <v>89</v>
      </c>
      <c r="R14" s="122" t="s">
        <v>90</v>
      </c>
      <c r="S14" s="122" t="s">
        <v>91</v>
      </c>
      <c r="T14" s="122" t="s">
        <v>92</v>
      </c>
      <c r="U14" s="122" t="s">
        <v>93</v>
      </c>
      <c r="V14" s="122" t="s">
        <v>94</v>
      </c>
      <c r="W14" s="122" t="s">
        <v>597</v>
      </c>
      <c r="X14" s="122" t="s">
        <v>598</v>
      </c>
      <c r="Y14" s="122" t="s">
        <v>599</v>
      </c>
      <c r="Z14" s="122" t="s">
        <v>600</v>
      </c>
      <c r="AA14" s="122" t="s">
        <v>632</v>
      </c>
      <c r="AB14" s="122" t="s">
        <v>602</v>
      </c>
      <c r="AC14" s="122" t="s">
        <v>603</v>
      </c>
      <c r="AD14" s="122" t="s">
        <v>604</v>
      </c>
      <c r="AE14" s="122" t="s">
        <v>605</v>
      </c>
      <c r="AF14" s="122" t="s">
        <v>606</v>
      </c>
      <c r="AG14" s="122" t="s">
        <v>607</v>
      </c>
      <c r="AH14" s="122" t="s">
        <v>608</v>
      </c>
      <c r="AI14" s="122" t="s">
        <v>609</v>
      </c>
      <c r="AJ14" s="122" t="s">
        <v>611</v>
      </c>
      <c r="AK14" s="122" t="s">
        <v>612</v>
      </c>
      <c r="AL14" s="122" t="s">
        <v>613</v>
      </c>
      <c r="AM14" s="122" t="s">
        <v>614</v>
      </c>
      <c r="AN14" s="122" t="s">
        <v>610</v>
      </c>
      <c r="AO14" s="122" t="s">
        <v>615</v>
      </c>
      <c r="AP14" s="122" t="s">
        <v>616</v>
      </c>
      <c r="AQ14" s="122" t="s">
        <v>617</v>
      </c>
      <c r="AR14" s="122" t="s">
        <v>618</v>
      </c>
      <c r="AS14" s="122" t="s">
        <v>619</v>
      </c>
      <c r="AT14" s="122" t="s">
        <v>620</v>
      </c>
      <c r="AU14" s="122" t="s">
        <v>621</v>
      </c>
      <c r="AV14" s="122" t="s">
        <v>622</v>
      </c>
      <c r="AW14" s="122" t="s">
        <v>623</v>
      </c>
      <c r="AX14" s="122" t="s">
        <v>624</v>
      </c>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row>
    <row r="15" spans="1:104" s="19" customFormat="1" ht="13.5" x14ac:dyDescent="0.3">
      <c r="A15" s="18"/>
      <c r="B15" s="119" t="s">
        <v>272</v>
      </c>
      <c r="C15" s="123" t="s">
        <v>273</v>
      </c>
      <c r="D15" s="123" t="s">
        <v>274</v>
      </c>
      <c r="E15" s="123" t="s">
        <v>275</v>
      </c>
      <c r="F15" s="123" t="s">
        <v>276</v>
      </c>
      <c r="G15" s="123" t="s">
        <v>96</v>
      </c>
      <c r="H15" s="124" t="s">
        <v>97</v>
      </c>
      <c r="I15" s="123" t="s">
        <v>98</v>
      </c>
      <c r="J15" s="123" t="s">
        <v>99</v>
      </c>
      <c r="K15" s="33"/>
      <c r="L15" s="80" t="s">
        <v>100</v>
      </c>
      <c r="M15" s="123" t="s">
        <v>101</v>
      </c>
      <c r="N15" s="123" t="s">
        <v>102</v>
      </c>
      <c r="O15" s="123" t="s">
        <v>103</v>
      </c>
      <c r="P15" s="123" t="s">
        <v>104</v>
      </c>
      <c r="Q15" s="123" t="s">
        <v>105</v>
      </c>
      <c r="R15" s="123" t="s">
        <v>277</v>
      </c>
      <c r="S15" s="123" t="s">
        <v>107</v>
      </c>
      <c r="T15" s="123" t="s">
        <v>108</v>
      </c>
      <c r="U15" s="123" t="s">
        <v>109</v>
      </c>
      <c r="V15" s="123" t="s">
        <v>110</v>
      </c>
      <c r="W15" s="123" t="s">
        <v>110</v>
      </c>
      <c r="X15" s="123" t="s">
        <v>625</v>
      </c>
      <c r="Y15" s="123" t="s">
        <v>625</v>
      </c>
      <c r="Z15" s="123" t="s">
        <v>590</v>
      </c>
      <c r="AA15" s="123" t="s">
        <v>590</v>
      </c>
      <c r="AB15" s="123" t="s">
        <v>626</v>
      </c>
      <c r="AC15" s="123" t="s">
        <v>626</v>
      </c>
      <c r="AD15" s="123" t="s">
        <v>591</v>
      </c>
      <c r="AE15" s="123" t="s">
        <v>591</v>
      </c>
      <c r="AF15" s="123" t="s">
        <v>627</v>
      </c>
      <c r="AG15" s="123" t="s">
        <v>627</v>
      </c>
      <c r="AH15" s="123" t="s">
        <v>592</v>
      </c>
      <c r="AI15" s="123" t="s">
        <v>592</v>
      </c>
      <c r="AJ15" s="123" t="s">
        <v>628</v>
      </c>
      <c r="AK15" s="123" t="s">
        <v>628</v>
      </c>
      <c r="AL15" s="123" t="s">
        <v>593</v>
      </c>
      <c r="AM15" s="123" t="s">
        <v>593</v>
      </c>
      <c r="AN15" s="123" t="s">
        <v>629</v>
      </c>
      <c r="AO15" s="123" t="s">
        <v>629</v>
      </c>
      <c r="AP15" s="123" t="s">
        <v>594</v>
      </c>
      <c r="AQ15" s="123" t="s">
        <v>594</v>
      </c>
      <c r="AR15" s="123" t="s">
        <v>630</v>
      </c>
      <c r="AS15" s="123" t="s">
        <v>630</v>
      </c>
      <c r="AT15" s="123" t="s">
        <v>595</v>
      </c>
      <c r="AU15" s="123" t="s">
        <v>595</v>
      </c>
      <c r="AV15" s="123" t="s">
        <v>631</v>
      </c>
      <c r="AW15" s="123" t="s">
        <v>631</v>
      </c>
      <c r="AX15" s="123" t="s">
        <v>596</v>
      </c>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1:104" s="19" customFormat="1" ht="13.5" x14ac:dyDescent="0.3">
      <c r="A16" s="18"/>
      <c r="B16" s="35" t="s">
        <v>246</v>
      </c>
      <c r="C16" s="36">
        <f t="shared" ref="C16:J16" si="0">_xlfn.IFNA(VLOOKUP(C13,$B$33:$C$1512,2, FALSE),"-")</f>
        <v>99.9</v>
      </c>
      <c r="D16" s="36">
        <f t="shared" si="0"/>
        <v>100.1</v>
      </c>
      <c r="E16" s="36">
        <f t="shared" si="0"/>
        <v>100.4</v>
      </c>
      <c r="F16" s="36">
        <f t="shared" si="0"/>
        <v>101</v>
      </c>
      <c r="G16" s="36">
        <f t="shared" si="0"/>
        <v>102.2</v>
      </c>
      <c r="H16" s="36">
        <f t="shared" si="0"/>
        <v>103.5</v>
      </c>
      <c r="I16" s="36">
        <f t="shared" si="0"/>
        <v>105</v>
      </c>
      <c r="J16" s="36">
        <f t="shared" si="0"/>
        <v>105.9</v>
      </c>
      <c r="K16" s="33"/>
      <c r="L16" s="36">
        <f t="shared" ref="L16:AX16" si="1">_xlfn.IFNA(VLOOKUP(L13,$B$33:$C$1512,2, FALSE),"-")</f>
        <v>105.9</v>
      </c>
      <c r="M16" s="36">
        <f t="shared" si="1"/>
        <v>107.1</v>
      </c>
      <c r="N16" s="36">
        <f t="shared" si="1"/>
        <v>107.9</v>
      </c>
      <c r="O16" s="36">
        <f t="shared" si="1"/>
        <v>108.5</v>
      </c>
      <c r="P16" s="36">
        <f t="shared" si="1"/>
        <v>108.8</v>
      </c>
      <c r="Q16" s="36">
        <f t="shared" si="1"/>
        <v>109.4</v>
      </c>
      <c r="R16" s="36">
        <f t="shared" si="1"/>
        <v>111.4</v>
      </c>
      <c r="S16" s="36">
        <f t="shared" si="1"/>
        <v>114.7</v>
      </c>
      <c r="T16" s="36">
        <f t="shared" si="1"/>
        <v>120.5</v>
      </c>
      <c r="U16" s="36">
        <f t="shared" si="1"/>
        <v>125.3</v>
      </c>
      <c r="V16" s="36" t="str">
        <f>_xlfn.IFNA(VLOOKUP(V13,$B$33:$C$1512,2, FALSE),"-")</f>
        <v>-</v>
      </c>
      <c r="W16" s="36" t="str">
        <f>_xlfn.IFNA(VLOOKUP(W13,$B$33:$C$1512,2, FALSE),"-")</f>
        <v>-</v>
      </c>
      <c r="X16" s="36" t="str">
        <f t="shared" si="1"/>
        <v>-</v>
      </c>
      <c r="Y16" s="36" t="str">
        <f t="shared" si="1"/>
        <v>-</v>
      </c>
      <c r="Z16" s="36" t="str">
        <f t="shared" si="1"/>
        <v>-</v>
      </c>
      <c r="AA16" s="36" t="str">
        <f t="shared" si="1"/>
        <v>-</v>
      </c>
      <c r="AB16" s="36" t="str">
        <f t="shared" si="1"/>
        <v>-</v>
      </c>
      <c r="AC16" s="36" t="str">
        <f t="shared" si="1"/>
        <v>-</v>
      </c>
      <c r="AD16" s="36" t="str">
        <f t="shared" si="1"/>
        <v>-</v>
      </c>
      <c r="AE16" s="36" t="str">
        <f t="shared" si="1"/>
        <v>-</v>
      </c>
      <c r="AF16" s="36" t="str">
        <f t="shared" si="1"/>
        <v>-</v>
      </c>
      <c r="AG16" s="36" t="str">
        <f t="shared" si="1"/>
        <v>-</v>
      </c>
      <c r="AH16" s="36" t="str">
        <f t="shared" si="1"/>
        <v>-</v>
      </c>
      <c r="AI16" s="36" t="str">
        <f t="shared" si="1"/>
        <v>-</v>
      </c>
      <c r="AJ16" s="36" t="str">
        <f t="shared" si="1"/>
        <v>-</v>
      </c>
      <c r="AK16" s="36" t="str">
        <f t="shared" si="1"/>
        <v>-</v>
      </c>
      <c r="AL16" s="36" t="str">
        <f t="shared" si="1"/>
        <v>-</v>
      </c>
      <c r="AM16" s="36" t="str">
        <f t="shared" si="1"/>
        <v>-</v>
      </c>
      <c r="AN16" s="36" t="str">
        <f t="shared" si="1"/>
        <v>-</v>
      </c>
      <c r="AO16" s="36" t="str">
        <f t="shared" si="1"/>
        <v>-</v>
      </c>
      <c r="AP16" s="36" t="str">
        <f t="shared" si="1"/>
        <v>-</v>
      </c>
      <c r="AQ16" s="36" t="str">
        <f t="shared" si="1"/>
        <v>-</v>
      </c>
      <c r="AR16" s="36" t="str">
        <f t="shared" si="1"/>
        <v>-</v>
      </c>
      <c r="AS16" s="36" t="str">
        <f t="shared" si="1"/>
        <v>-</v>
      </c>
      <c r="AT16" s="36" t="str">
        <f t="shared" si="1"/>
        <v>-</v>
      </c>
      <c r="AU16" s="36" t="str">
        <f t="shared" si="1"/>
        <v>-</v>
      </c>
      <c r="AV16" s="36" t="str">
        <f t="shared" si="1"/>
        <v>-</v>
      </c>
      <c r="AW16" s="36" t="str">
        <f t="shared" si="1"/>
        <v>-</v>
      </c>
      <c r="AX16" s="36" t="str">
        <f t="shared" si="1"/>
        <v>-</v>
      </c>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row>
    <row r="17" spans="1:104" s="18" customFormat="1" ht="13.5" x14ac:dyDescent="0.3">
      <c r="B17" s="20"/>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1:104" s="17" customFormat="1" ht="13.5" x14ac:dyDescent="0.3">
      <c r="B18" s="21"/>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row>
    <row r="19" spans="1:104" s="14" customFormat="1" ht="13.5" x14ac:dyDescent="0.3">
      <c r="B19" s="15" t="s">
        <v>278</v>
      </c>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1" spans="1:104" ht="78" customHeight="1" x14ac:dyDescent="0.25">
      <c r="B21" s="37" t="s">
        <v>186</v>
      </c>
      <c r="C21" s="269" t="s">
        <v>279</v>
      </c>
      <c r="D21" s="269"/>
      <c r="E21" s="269"/>
      <c r="F21" s="269"/>
    </row>
    <row r="22" spans="1:104" ht="27.75" customHeight="1" x14ac:dyDescent="0.3">
      <c r="B22" s="37" t="s">
        <v>280</v>
      </c>
      <c r="C22" s="270" t="s">
        <v>281</v>
      </c>
      <c r="D22" s="271"/>
      <c r="E22" s="271"/>
      <c r="F22" s="271"/>
    </row>
    <row r="25" spans="1:104" s="16" customFormat="1" ht="13.5" x14ac:dyDescent="0.3">
      <c r="A25" s="13"/>
      <c r="B25" s="38" t="s">
        <v>40</v>
      </c>
      <c r="C25" s="38" t="s">
        <v>282</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row>
    <row r="26" spans="1:104" s="16" customFormat="1" ht="13.5" x14ac:dyDescent="0.3">
      <c r="A26" s="13"/>
      <c r="B26" s="38" t="s">
        <v>283</v>
      </c>
      <c r="C26" s="38" t="s">
        <v>284</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row>
    <row r="27" spans="1:104" s="16" customFormat="1" ht="13.5" x14ac:dyDescent="0.3">
      <c r="A27" s="13"/>
      <c r="B27" s="38" t="s">
        <v>285</v>
      </c>
      <c r="C27" s="38" t="s">
        <v>286</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row>
    <row r="28" spans="1:104" s="16" customFormat="1" ht="13.5" x14ac:dyDescent="0.3">
      <c r="A28" s="13"/>
      <c r="B28" s="38" t="s">
        <v>287</v>
      </c>
      <c r="C28" s="38" t="s">
        <v>288</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row>
    <row r="29" spans="1:104" s="16" customFormat="1" ht="13.5" x14ac:dyDescent="0.3">
      <c r="A29" s="13"/>
      <c r="B29" s="38" t="s">
        <v>74</v>
      </c>
      <c r="C29" s="38" t="s">
        <v>289</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row>
    <row r="30" spans="1:104" s="16" customFormat="1" ht="13.5" x14ac:dyDescent="0.3">
      <c r="A30" s="13"/>
      <c r="B30" s="38" t="s">
        <v>290</v>
      </c>
      <c r="C30" s="38" t="s">
        <v>291</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row>
    <row r="31" spans="1:104" s="16" customFormat="1" ht="13.5" x14ac:dyDescent="0.3">
      <c r="A31" s="13"/>
      <c r="B31" s="38" t="s">
        <v>292</v>
      </c>
      <c r="C31" s="60">
        <v>44762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1:104" s="16" customFormat="1" ht="13.5" x14ac:dyDescent="0.3">
      <c r="A32" s="13"/>
      <c r="B32" s="38" t="s">
        <v>293</v>
      </c>
      <c r="C32" s="38"/>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row>
    <row r="33" spans="1:51" s="16" customFormat="1" ht="13.5" x14ac:dyDescent="0.3">
      <c r="A33" s="13"/>
      <c r="B33" s="49">
        <v>2005</v>
      </c>
      <c r="C33" s="39">
        <v>79.400000000000006</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row>
    <row r="34" spans="1:51" s="16" customFormat="1" ht="13.5" x14ac:dyDescent="0.3">
      <c r="A34" s="13"/>
      <c r="B34" s="49">
        <v>2006</v>
      </c>
      <c r="C34" s="39">
        <v>81.400000000000006</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row>
    <row r="35" spans="1:51" s="16" customFormat="1" ht="13.5" x14ac:dyDescent="0.3">
      <c r="A35" s="13"/>
      <c r="B35" s="49">
        <v>2007</v>
      </c>
      <c r="C35" s="39">
        <v>83.3</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row>
    <row r="36" spans="1:51" s="16" customFormat="1" ht="13.5" x14ac:dyDescent="0.3">
      <c r="A36" s="13"/>
      <c r="B36" s="49">
        <v>2008</v>
      </c>
      <c r="C36" s="39">
        <v>86.2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row>
    <row r="37" spans="1:51" s="16" customFormat="1" ht="13.5" x14ac:dyDescent="0.3">
      <c r="A37" s="13"/>
      <c r="B37" s="49">
        <v>2009</v>
      </c>
      <c r="C37" s="39">
        <v>87.9</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51" s="16" customFormat="1" ht="13.5" x14ac:dyDescent="0.3">
      <c r="A38" s="13"/>
      <c r="B38" s="49">
        <v>2010</v>
      </c>
      <c r="C38" s="39">
        <v>90.1</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51" s="16" customFormat="1" ht="13.5" x14ac:dyDescent="0.3">
      <c r="A39" s="13"/>
      <c r="B39" s="49">
        <v>2011</v>
      </c>
      <c r="C39" s="39">
        <v>93.6</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1:51" s="16" customFormat="1" ht="13.5" x14ac:dyDescent="0.3">
      <c r="A40" s="13"/>
      <c r="B40" s="49">
        <v>2012</v>
      </c>
      <c r="C40" s="39">
        <v>96</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1:51" s="16" customFormat="1" ht="13.5" x14ac:dyDescent="0.3">
      <c r="A41" s="13"/>
      <c r="B41" s="49">
        <v>2013</v>
      </c>
      <c r="C41" s="39">
        <v>98.2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row>
    <row r="42" spans="1:51" s="16" customFormat="1" ht="13.5" x14ac:dyDescent="0.3">
      <c r="A42" s="13"/>
      <c r="B42" s="49">
        <v>2014</v>
      </c>
      <c r="C42" s="39">
        <v>99.6</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row>
    <row r="43" spans="1:51" s="16" customFormat="1" ht="13.5" x14ac:dyDescent="0.3">
      <c r="A43" s="13"/>
      <c r="B43" s="49">
        <v>2015</v>
      </c>
      <c r="C43" s="39">
        <v>100</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row>
    <row r="44" spans="1:51" s="16" customFormat="1" ht="13.5" x14ac:dyDescent="0.3">
      <c r="A44" s="13"/>
      <c r="B44" s="49">
        <v>2016</v>
      </c>
      <c r="C44" s="39">
        <v>101</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row r="45" spans="1:51" s="16" customFormat="1" ht="13.5" x14ac:dyDescent="0.3">
      <c r="A45" s="13"/>
      <c r="B45" s="49">
        <v>2017</v>
      </c>
      <c r="C45" s="39">
        <v>103.6</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row>
    <row r="46" spans="1:51" s="16" customFormat="1" ht="13.5" x14ac:dyDescent="0.3">
      <c r="A46" s="13"/>
      <c r="B46" s="49">
        <v>2018</v>
      </c>
      <c r="C46" s="39">
        <v>106</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row>
    <row r="47" spans="1:51" s="16" customFormat="1" ht="13.5" x14ac:dyDescent="0.3">
      <c r="A47" s="13"/>
      <c r="B47" s="49">
        <v>2019</v>
      </c>
      <c r="C47" s="39">
        <v>107.8</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row>
    <row r="48" spans="1:51" s="16" customFormat="1" ht="13.5" x14ac:dyDescent="0.3">
      <c r="A48" s="13"/>
      <c r="B48" s="49">
        <v>2020</v>
      </c>
      <c r="C48" s="39">
        <v>108.9</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row>
    <row r="49" spans="1:51" s="16" customFormat="1" ht="13.5" x14ac:dyDescent="0.3">
      <c r="A49" s="13"/>
      <c r="B49" s="49">
        <v>2021</v>
      </c>
      <c r="C49" s="39">
        <v>111.6</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row>
    <row r="50" spans="1:51" s="16" customFormat="1" ht="13.5" x14ac:dyDescent="0.3">
      <c r="A50" s="13"/>
      <c r="B50" s="38" t="s">
        <v>294</v>
      </c>
      <c r="C50" s="39">
        <v>78.5</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row>
    <row r="51" spans="1:51" s="16" customFormat="1" ht="13.5" x14ac:dyDescent="0.3">
      <c r="A51" s="13"/>
      <c r="B51" s="38" t="s">
        <v>295</v>
      </c>
      <c r="C51" s="39">
        <v>79.3</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row>
    <row r="52" spans="1:51" s="16" customFormat="1" ht="13.5" x14ac:dyDescent="0.3">
      <c r="A52" s="13"/>
      <c r="B52" s="38" t="s">
        <v>296</v>
      </c>
      <c r="C52" s="39">
        <v>79.7</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row>
    <row r="53" spans="1:51" s="16" customFormat="1" ht="13.5" x14ac:dyDescent="0.3">
      <c r="A53" s="13"/>
      <c r="B53" s="38" t="s">
        <v>297</v>
      </c>
      <c r="C53" s="39">
        <v>80.099999999999994</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row>
    <row r="54" spans="1:51" s="16" customFormat="1" ht="13.5" x14ac:dyDescent="0.3">
      <c r="A54" s="13"/>
      <c r="B54" s="38" t="s">
        <v>298</v>
      </c>
      <c r="C54" s="39">
        <v>80.2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row>
    <row r="55" spans="1:51" s="16" customFormat="1" ht="13.5" x14ac:dyDescent="0.3">
      <c r="A55" s="13"/>
      <c r="B55" s="38" t="s">
        <v>299</v>
      </c>
      <c r="C55" s="39">
        <v>81.2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row>
    <row r="56" spans="1:51" s="16" customFormat="1" ht="13.5" x14ac:dyDescent="0.3">
      <c r="A56" s="13"/>
      <c r="B56" s="38" t="s">
        <v>300</v>
      </c>
      <c r="C56" s="39">
        <v>81.7</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row>
    <row r="57" spans="1:51" s="16" customFormat="1" ht="13.5" x14ac:dyDescent="0.3">
      <c r="A57" s="13"/>
      <c r="B57" s="38" t="s">
        <v>301</v>
      </c>
      <c r="C57" s="39">
        <v>82.3</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row>
    <row r="58" spans="1:51" s="16" customFormat="1" ht="13.5" x14ac:dyDescent="0.3">
      <c r="A58" s="13"/>
      <c r="B58" s="38" t="s">
        <v>302</v>
      </c>
      <c r="C58" s="39">
        <v>82.4</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row>
    <row r="59" spans="1:51" s="16" customFormat="1" ht="13.5" x14ac:dyDescent="0.3">
      <c r="A59" s="13"/>
      <c r="B59" s="38" t="s">
        <v>303</v>
      </c>
      <c r="C59" s="39">
        <v>83.3</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row>
    <row r="60" spans="1:51" s="16" customFormat="1" ht="13.5" x14ac:dyDescent="0.3">
      <c r="A60" s="13"/>
      <c r="B60" s="38" t="s">
        <v>304</v>
      </c>
      <c r="C60" s="39">
        <v>83.3</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row>
    <row r="61" spans="1:51" s="16" customFormat="1" ht="13.5" x14ac:dyDescent="0.3">
      <c r="A61" s="13"/>
      <c r="B61" s="38" t="s">
        <v>305</v>
      </c>
      <c r="C61" s="39">
        <v>84.1</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row>
    <row r="62" spans="1:51" s="16" customFormat="1" ht="13.5" x14ac:dyDescent="0.3">
      <c r="A62" s="13"/>
      <c r="B62" s="38" t="s">
        <v>306</v>
      </c>
      <c r="C62" s="39">
        <v>84.5</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row>
    <row r="63" spans="1:51" s="16" customFormat="1" ht="13.5" x14ac:dyDescent="0.3">
      <c r="A63" s="13"/>
      <c r="B63" s="38" t="s">
        <v>307</v>
      </c>
      <c r="C63" s="39">
        <v>86.1</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row>
    <row r="64" spans="1:51" s="16" customFormat="1" ht="13.5" x14ac:dyDescent="0.3">
      <c r="A64" s="13"/>
      <c r="B64" s="38" t="s">
        <v>308</v>
      </c>
      <c r="C64" s="39">
        <v>87.1</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row>
    <row r="65" spans="1:51" s="16" customFormat="1" ht="13.5" x14ac:dyDescent="0.3">
      <c r="A65" s="13"/>
      <c r="B65" s="38" t="s">
        <v>309</v>
      </c>
      <c r="C65" s="39">
        <v>87.2</v>
      </c>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row>
    <row r="66" spans="1:51" s="16" customFormat="1" ht="13.5" x14ac:dyDescent="0.3">
      <c r="A66" s="13"/>
      <c r="B66" s="38" t="s">
        <v>310</v>
      </c>
      <c r="C66" s="39">
        <v>87</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row>
    <row r="67" spans="1:51" s="16" customFormat="1" ht="13.5" x14ac:dyDescent="0.3">
      <c r="A67" s="13"/>
      <c r="B67" s="38" t="s">
        <v>311</v>
      </c>
      <c r="C67" s="39">
        <v>87.8</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row>
    <row r="68" spans="1:51" s="16" customFormat="1" ht="13.5" x14ac:dyDescent="0.3">
      <c r="A68" s="13"/>
      <c r="B68" s="38" t="s">
        <v>312</v>
      </c>
      <c r="C68" s="39">
        <v>88.2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row>
    <row r="69" spans="1:51" s="16" customFormat="1" ht="13.5" x14ac:dyDescent="0.3">
      <c r="A69" s="13"/>
      <c r="B69" s="38" t="s">
        <v>313</v>
      </c>
      <c r="C69" s="39">
        <v>88.6</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row>
    <row r="70" spans="1:51" s="16" customFormat="1" ht="13.5" x14ac:dyDescent="0.3">
      <c r="A70" s="13"/>
      <c r="B70" s="38" t="s">
        <v>314</v>
      </c>
      <c r="C70" s="39">
        <v>89.1</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row>
    <row r="71" spans="1:51" s="16" customFormat="1" ht="13.5" x14ac:dyDescent="0.3">
      <c r="A71" s="13"/>
      <c r="B71" s="38" t="s">
        <v>315</v>
      </c>
      <c r="C71" s="39">
        <v>90</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row>
    <row r="72" spans="1:51" s="16" customFormat="1" ht="13.5" x14ac:dyDescent="0.3">
      <c r="A72" s="13"/>
      <c r="B72" s="38" t="s">
        <v>316</v>
      </c>
      <c r="C72" s="39">
        <v>90.3</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row>
    <row r="73" spans="1:51" s="16" customFormat="1" ht="13.5" x14ac:dyDescent="0.3">
      <c r="A73" s="13"/>
      <c r="B73" s="38" t="s">
        <v>317</v>
      </c>
      <c r="C73" s="39">
        <v>91.1</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row>
    <row r="74" spans="1:51" s="16" customFormat="1" ht="13.5" x14ac:dyDescent="0.3">
      <c r="A74" s="13"/>
      <c r="B74" s="38" t="s">
        <v>318</v>
      </c>
      <c r="C74" s="39">
        <v>92.2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row>
    <row r="75" spans="1:51" s="16" customFormat="1" ht="13.5" x14ac:dyDescent="0.3">
      <c r="A75" s="13"/>
      <c r="B75" s="38" t="s">
        <v>319</v>
      </c>
      <c r="C75" s="39">
        <v>93.4</v>
      </c>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row>
    <row r="76" spans="1:51" s="16" customFormat="1" ht="13.5" x14ac:dyDescent="0.3">
      <c r="A76" s="13"/>
      <c r="B76" s="38" t="s">
        <v>320</v>
      </c>
      <c r="C76" s="39">
        <v>93.9</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row>
    <row r="77" spans="1:51" s="16" customFormat="1" ht="13.5" x14ac:dyDescent="0.3">
      <c r="A77" s="13"/>
      <c r="B77" s="38" t="s">
        <v>321</v>
      </c>
      <c r="C77" s="39">
        <v>94.7</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row>
    <row r="78" spans="1:51" s="16" customFormat="1" ht="13.5" x14ac:dyDescent="0.3">
      <c r="A78" s="13"/>
      <c r="B78" s="38" t="s">
        <v>322</v>
      </c>
      <c r="C78" s="39">
        <v>95.1</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row>
    <row r="79" spans="1:51" s="16" customFormat="1" ht="13.5" x14ac:dyDescent="0.3">
      <c r="A79" s="13"/>
      <c r="B79" s="38" t="s">
        <v>323</v>
      </c>
      <c r="C79" s="39">
        <v>95.8</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row>
    <row r="80" spans="1:51" s="16" customFormat="1" ht="13.5" x14ac:dyDescent="0.3">
      <c r="A80" s="13"/>
      <c r="B80" s="38" t="s">
        <v>324</v>
      </c>
      <c r="C80" s="38">
        <v>96.1</v>
      </c>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row>
    <row r="81" spans="1:51" s="16" customFormat="1" ht="13.5" x14ac:dyDescent="0.3">
      <c r="A81" s="13"/>
      <c r="B81" s="38" t="s">
        <v>325</v>
      </c>
      <c r="C81" s="38">
        <v>97</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row>
    <row r="82" spans="1:51" s="16" customFormat="1" ht="13.5" x14ac:dyDescent="0.3">
      <c r="A82" s="13"/>
      <c r="B82" s="38" t="s">
        <v>326</v>
      </c>
      <c r="C82" s="38">
        <v>97.4</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row>
    <row r="83" spans="1:51" s="16" customFormat="1" ht="13.5" x14ac:dyDescent="0.3">
      <c r="A83" s="13"/>
      <c r="B83" s="38" t="s">
        <v>327</v>
      </c>
      <c r="C83" s="38">
        <v>98.1</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row>
    <row r="84" spans="1:51" s="16" customFormat="1" ht="13.5" x14ac:dyDescent="0.3">
      <c r="A84" s="13"/>
      <c r="B84" s="38" t="s">
        <v>328</v>
      </c>
      <c r="C84" s="38">
        <v>98.4</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row>
    <row r="85" spans="1:51" s="16" customFormat="1" ht="13.5" x14ac:dyDescent="0.3">
      <c r="A85" s="13"/>
      <c r="B85" s="38" t="s">
        <v>329</v>
      </c>
      <c r="C85" s="38">
        <v>98.9</v>
      </c>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row>
    <row r="86" spans="1:51" s="16" customFormat="1" ht="13.5" x14ac:dyDescent="0.3">
      <c r="A86" s="13"/>
      <c r="B86" s="38" t="s">
        <v>330</v>
      </c>
      <c r="C86" s="38">
        <v>99</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row>
    <row r="87" spans="1:51" s="16" customFormat="1" ht="13.5" x14ac:dyDescent="0.3">
      <c r="A87" s="13"/>
      <c r="B87" s="38" t="s">
        <v>331</v>
      </c>
      <c r="C87" s="38">
        <v>99.7</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row>
    <row r="88" spans="1:51" s="16" customFormat="1" ht="13.5" x14ac:dyDescent="0.3">
      <c r="A88" s="13"/>
      <c r="B88" s="38" t="s">
        <v>332</v>
      </c>
      <c r="C88" s="38">
        <v>99.8</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row>
    <row r="89" spans="1:51" s="16" customFormat="1" ht="13.5" x14ac:dyDescent="0.3">
      <c r="A89" s="13"/>
      <c r="B89" s="38" t="s">
        <v>333</v>
      </c>
      <c r="C89" s="38">
        <v>100</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row>
    <row r="90" spans="1:51" s="16" customFormat="1" ht="13.5" x14ac:dyDescent="0.3">
      <c r="A90" s="13"/>
      <c r="B90" s="38" t="s">
        <v>334</v>
      </c>
      <c r="C90" s="38">
        <v>99.4</v>
      </c>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row>
    <row r="91" spans="1:51" s="16" customFormat="1" ht="13.5" x14ac:dyDescent="0.3">
      <c r="A91" s="13"/>
      <c r="B91" s="38" t="s">
        <v>335</v>
      </c>
      <c r="C91" s="38">
        <v>100</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row>
    <row r="92" spans="1:51" s="16" customFormat="1" ht="13.5" x14ac:dyDescent="0.3">
      <c r="A92" s="13"/>
      <c r="B92" s="38" t="s">
        <v>336</v>
      </c>
      <c r="C92" s="38">
        <v>100.2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row>
    <row r="93" spans="1:51" s="16" customFormat="1" ht="13.5" x14ac:dyDescent="0.3">
      <c r="A93" s="13"/>
      <c r="B93" s="38" t="s">
        <v>337</v>
      </c>
      <c r="C93" s="38">
        <v>100.4</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row>
    <row r="94" spans="1:51" s="16" customFormat="1" ht="13.5" x14ac:dyDescent="0.3">
      <c r="A94" s="13"/>
      <c r="B94" s="38" t="s">
        <v>338</v>
      </c>
      <c r="C94" s="38">
        <v>100.1</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row>
    <row r="95" spans="1:51" s="16" customFormat="1" ht="13.5" x14ac:dyDescent="0.3">
      <c r="A95" s="13"/>
      <c r="B95" s="38" t="s">
        <v>339</v>
      </c>
      <c r="C95" s="38">
        <v>100.8</v>
      </c>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row>
    <row r="96" spans="1:51" s="16" customFormat="1" ht="13.5" x14ac:dyDescent="0.3">
      <c r="A96" s="13"/>
      <c r="B96" s="38" t="s">
        <v>340</v>
      </c>
      <c r="C96" s="38">
        <v>101.2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row>
    <row r="97" spans="1:51" s="16" customFormat="1" ht="13.5" x14ac:dyDescent="0.3">
      <c r="A97" s="13"/>
      <c r="B97" s="38" t="s">
        <v>341</v>
      </c>
      <c r="C97" s="38">
        <v>101.9</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row>
    <row r="98" spans="1:51" s="16" customFormat="1" ht="13.5" x14ac:dyDescent="0.3">
      <c r="A98" s="13"/>
      <c r="B98" s="38" t="s">
        <v>342</v>
      </c>
      <c r="C98" s="38">
        <v>102.3</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row>
    <row r="99" spans="1:51" s="16" customFormat="1" ht="13.5" x14ac:dyDescent="0.3">
      <c r="A99" s="13"/>
      <c r="B99" s="38" t="s">
        <v>343</v>
      </c>
      <c r="C99" s="38">
        <v>103.4</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row>
    <row r="100" spans="1:51" s="16" customFormat="1" ht="13.5" x14ac:dyDescent="0.3">
      <c r="A100" s="13"/>
      <c r="B100" s="38" t="s">
        <v>344</v>
      </c>
      <c r="C100" s="38">
        <v>103.9</v>
      </c>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row>
    <row r="101" spans="1:51" s="16" customFormat="1" ht="13.5" x14ac:dyDescent="0.3">
      <c r="A101" s="13"/>
      <c r="B101" s="38" t="s">
        <v>345</v>
      </c>
      <c r="C101" s="38">
        <v>104.7</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row>
    <row r="102" spans="1:51" s="16" customFormat="1" ht="13.5" x14ac:dyDescent="0.3">
      <c r="A102" s="13"/>
      <c r="B102" s="38" t="s">
        <v>346</v>
      </c>
      <c r="C102" s="38">
        <v>104.8</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row>
    <row r="103" spans="1:51" s="16" customFormat="1" ht="13.5" x14ac:dyDescent="0.3">
      <c r="A103" s="13"/>
      <c r="B103" s="38" t="s">
        <v>347</v>
      </c>
      <c r="C103" s="38">
        <v>105.8</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row>
    <row r="104" spans="1:51" s="16" customFormat="1" ht="13.5" x14ac:dyDescent="0.3">
      <c r="A104" s="13"/>
      <c r="B104" s="38" t="s">
        <v>348</v>
      </c>
      <c r="C104" s="38">
        <v>106.3</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row>
    <row r="105" spans="1:51" s="16" customFormat="1" ht="13.5" x14ac:dyDescent="0.3">
      <c r="A105" s="13"/>
      <c r="B105" s="38" t="s">
        <v>349</v>
      </c>
      <c r="C105" s="38">
        <v>106.9</v>
      </c>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row>
    <row r="106" spans="1:51" s="16" customFormat="1" ht="13.5" x14ac:dyDescent="0.3">
      <c r="A106" s="13"/>
      <c r="B106" s="38" t="s">
        <v>350</v>
      </c>
      <c r="C106" s="38">
        <v>106.7</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row>
    <row r="107" spans="1:51" s="16" customFormat="1" ht="13.5" x14ac:dyDescent="0.3">
      <c r="A107" s="13"/>
      <c r="B107" s="38" t="s">
        <v>351</v>
      </c>
      <c r="C107" s="38">
        <v>107.8</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row>
    <row r="108" spans="1:51" s="16" customFormat="1" ht="13.5" x14ac:dyDescent="0.3">
      <c r="A108" s="13"/>
      <c r="B108" s="38" t="s">
        <v>352</v>
      </c>
      <c r="C108" s="38">
        <v>108.2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row>
    <row r="109" spans="1:51" s="16" customFormat="1" ht="13.5" x14ac:dyDescent="0.3">
      <c r="A109" s="13"/>
      <c r="B109" s="38" t="s">
        <v>353</v>
      </c>
      <c r="C109" s="38">
        <v>108.4</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row>
    <row r="110" spans="1:51" s="16" customFormat="1" ht="13.5" x14ac:dyDescent="0.3">
      <c r="A110" s="13"/>
      <c r="B110" s="38" t="s">
        <v>354</v>
      </c>
      <c r="C110" s="38">
        <v>108.5</v>
      </c>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row>
    <row r="111" spans="1:51" s="16" customFormat="1" ht="13.5" x14ac:dyDescent="0.3">
      <c r="A111" s="13"/>
      <c r="B111" s="38" t="s">
        <v>355</v>
      </c>
      <c r="C111" s="38">
        <v>108.7</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row>
    <row r="112" spans="1:51" s="16" customFormat="1" ht="13.5" x14ac:dyDescent="0.3">
      <c r="A112" s="13"/>
      <c r="B112" s="38" t="s">
        <v>356</v>
      </c>
      <c r="C112" s="38">
        <v>109.1</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row>
    <row r="113" spans="1:51" s="16" customFormat="1" ht="13.5" x14ac:dyDescent="0.3">
      <c r="A113" s="13"/>
      <c r="B113" s="38" t="s">
        <v>357</v>
      </c>
      <c r="C113" s="38">
        <v>109.3</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row>
    <row r="114" spans="1:51" s="16" customFormat="1" ht="13.5" x14ac:dyDescent="0.3">
      <c r="A114" s="13"/>
      <c r="B114" s="38" t="s">
        <v>358</v>
      </c>
      <c r="C114" s="38">
        <v>109.5</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row>
    <row r="115" spans="1:51" s="16" customFormat="1" ht="13.5" x14ac:dyDescent="0.3">
      <c r="A115" s="13"/>
      <c r="B115" s="38" t="s">
        <v>359</v>
      </c>
      <c r="C115" s="38">
        <v>110.9</v>
      </c>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row>
    <row r="116" spans="1:51" s="16" customFormat="1" ht="13.5" x14ac:dyDescent="0.3">
      <c r="A116" s="13"/>
      <c r="B116" s="38" t="s">
        <v>360</v>
      </c>
      <c r="C116" s="38">
        <v>112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row>
    <row r="117" spans="1:51" s="16" customFormat="1" ht="13.5" x14ac:dyDescent="0.3">
      <c r="A117" s="13"/>
      <c r="B117" s="38" t="s">
        <v>361</v>
      </c>
      <c r="C117" s="38">
        <v>114.1</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row>
    <row r="118" spans="1:51" s="16" customFormat="1" ht="13.5" x14ac:dyDescent="0.3">
      <c r="A118" s="13"/>
      <c r="B118" s="38" t="s">
        <v>362</v>
      </c>
      <c r="C118" s="38">
        <v>115.5</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row>
    <row r="119" spans="1:51" s="16" customFormat="1" ht="13.5" x14ac:dyDescent="0.3">
      <c r="A119" s="13"/>
      <c r="B119" s="38" t="s">
        <v>363</v>
      </c>
      <c r="C119" s="38">
        <v>78.3</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row>
    <row r="120" spans="1:51" s="16" customFormat="1" ht="13.5" x14ac:dyDescent="0.3">
      <c r="A120" s="13"/>
      <c r="B120" s="38" t="s">
        <v>364</v>
      </c>
      <c r="C120" s="38">
        <v>78.5</v>
      </c>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row>
    <row r="121" spans="1:51" s="16" customFormat="1" ht="13.5" x14ac:dyDescent="0.3">
      <c r="A121" s="13"/>
      <c r="B121" s="38" t="s">
        <v>365</v>
      </c>
      <c r="C121" s="38">
        <v>78.8</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row>
    <row r="122" spans="1:51" s="16" customFormat="1" ht="13.5" x14ac:dyDescent="0.3">
      <c r="A122" s="13"/>
      <c r="B122" s="38" t="s">
        <v>366</v>
      </c>
      <c r="C122" s="38">
        <v>79.099999999999994</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row>
    <row r="123" spans="1:51" s="16" customFormat="1" ht="13.5" x14ac:dyDescent="0.3">
      <c r="A123" s="13"/>
      <c r="B123" s="38" t="s">
        <v>367</v>
      </c>
      <c r="C123" s="38">
        <v>79.400000000000006</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row>
    <row r="124" spans="1:51" s="16" customFormat="1" ht="13.5" x14ac:dyDescent="0.3">
      <c r="A124" s="13"/>
      <c r="B124" s="38" t="s">
        <v>368</v>
      </c>
      <c r="C124" s="38">
        <v>79.400000000000006</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row>
    <row r="125" spans="1:51" s="16" customFormat="1" ht="13.5" x14ac:dyDescent="0.3">
      <c r="A125" s="13"/>
      <c r="B125" s="38" t="s">
        <v>369</v>
      </c>
      <c r="C125" s="38">
        <v>79.5</v>
      </c>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row>
    <row r="126" spans="1:51" s="16" customFormat="1" ht="13.5" x14ac:dyDescent="0.3">
      <c r="A126" s="13"/>
      <c r="B126" s="38" t="s">
        <v>370</v>
      </c>
      <c r="C126" s="38">
        <v>79.7</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row>
    <row r="127" spans="1:51" s="16" customFormat="1" ht="13.5" x14ac:dyDescent="0.3">
      <c r="A127" s="13"/>
      <c r="B127" s="38" t="s">
        <v>371</v>
      </c>
      <c r="C127" s="38">
        <v>79.900000000000006</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row>
    <row r="128" spans="1:51" s="16" customFormat="1" ht="13.5" x14ac:dyDescent="0.3">
      <c r="A128" s="13"/>
      <c r="B128" s="38" t="s">
        <v>372</v>
      </c>
      <c r="C128" s="38">
        <v>80</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row>
    <row r="129" spans="1:51" s="16" customFormat="1" ht="13.5" x14ac:dyDescent="0.3">
      <c r="A129" s="13"/>
      <c r="B129" s="38" t="s">
        <v>373</v>
      </c>
      <c r="C129" s="38">
        <v>80</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row>
    <row r="130" spans="1:51" s="16" customFormat="1" ht="13.5" x14ac:dyDescent="0.3">
      <c r="A130" s="13"/>
      <c r="B130" s="38" t="s">
        <v>374</v>
      </c>
      <c r="C130" s="38">
        <v>80.3</v>
      </c>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row>
    <row r="131" spans="1:51" s="16" customFormat="1" ht="13.5" x14ac:dyDescent="0.3">
      <c r="A131" s="13"/>
      <c r="B131" s="38" t="s">
        <v>375</v>
      </c>
      <c r="C131" s="38">
        <v>80</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row>
    <row r="132" spans="1:51" s="16" customFormat="1" ht="13.5" x14ac:dyDescent="0.3">
      <c r="A132" s="13"/>
      <c r="B132" s="38" t="s">
        <v>376</v>
      </c>
      <c r="C132" s="38">
        <v>80.2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row>
    <row r="133" spans="1:51" s="16" customFormat="1" ht="13.5" x14ac:dyDescent="0.3">
      <c r="A133" s="13"/>
      <c r="B133" s="38" t="s">
        <v>377</v>
      </c>
      <c r="C133" s="38">
        <v>80.400000000000006</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row>
    <row r="134" spans="1:51" s="16" customFormat="1" ht="13.5" x14ac:dyDescent="0.3">
      <c r="A134" s="13"/>
      <c r="B134" s="38" t="s">
        <v>378</v>
      </c>
      <c r="C134" s="38">
        <v>80.900000000000006</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row>
    <row r="135" spans="1:51" s="16" customFormat="1" ht="13.5" x14ac:dyDescent="0.3">
      <c r="A135" s="13"/>
      <c r="B135" s="38" t="s">
        <v>379</v>
      </c>
      <c r="C135" s="38">
        <v>81.3</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row>
    <row r="136" spans="1:51" s="16" customFormat="1" ht="13.5" x14ac:dyDescent="0.3">
      <c r="A136" s="13"/>
      <c r="B136" s="38" t="s">
        <v>380</v>
      </c>
      <c r="C136" s="38">
        <v>81.5</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row>
    <row r="137" spans="1:51" s="16" customFormat="1" ht="13.5" x14ac:dyDescent="0.3">
      <c r="A137" s="13"/>
      <c r="B137" s="38" t="s">
        <v>381</v>
      </c>
      <c r="C137" s="38">
        <v>81.5</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row>
    <row r="138" spans="1:51" s="16" customFormat="1" ht="13.5" x14ac:dyDescent="0.3">
      <c r="A138" s="13"/>
      <c r="B138" s="38" t="s">
        <v>382</v>
      </c>
      <c r="C138" s="38">
        <v>81.8</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row>
    <row r="139" spans="1:51" s="16" customFormat="1" ht="13.5" x14ac:dyDescent="0.3">
      <c r="A139" s="13"/>
      <c r="B139" s="38" t="s">
        <v>383</v>
      </c>
      <c r="C139" s="38">
        <v>81.900000000000006</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row>
    <row r="140" spans="1:51" s="16" customFormat="1" ht="13.5" x14ac:dyDescent="0.3">
      <c r="A140" s="13"/>
      <c r="B140" s="38" t="s">
        <v>384</v>
      </c>
      <c r="C140" s="38">
        <v>82</v>
      </c>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row>
    <row r="141" spans="1:51" s="16" customFormat="1" ht="13.5" x14ac:dyDescent="0.3">
      <c r="A141" s="13"/>
      <c r="B141" s="38" t="s">
        <v>385</v>
      </c>
      <c r="C141" s="38">
        <v>82.2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row>
    <row r="142" spans="1:51" s="16" customFormat="1" ht="13.5" x14ac:dyDescent="0.3">
      <c r="A142" s="13"/>
      <c r="B142" s="38" t="s">
        <v>386</v>
      </c>
      <c r="C142" s="38">
        <v>82.6</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row>
    <row r="143" spans="1:51" s="16" customFormat="1" ht="13.5" x14ac:dyDescent="0.3">
      <c r="A143" s="13"/>
      <c r="B143" s="38" t="s">
        <v>387</v>
      </c>
      <c r="C143" s="38">
        <v>82.1</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row>
    <row r="144" spans="1:51" s="16" customFormat="1" ht="13.5" x14ac:dyDescent="0.3">
      <c r="A144" s="13"/>
      <c r="B144" s="38" t="s">
        <v>388</v>
      </c>
      <c r="C144" s="38">
        <v>82.4</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row>
    <row r="145" spans="1:51" s="16" customFormat="1" ht="13.5" x14ac:dyDescent="0.3">
      <c r="A145" s="13"/>
      <c r="B145" s="38" t="s">
        <v>389</v>
      </c>
      <c r="C145" s="38">
        <v>82.8</v>
      </c>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row>
    <row r="146" spans="1:51" s="16" customFormat="1" ht="13.5" x14ac:dyDescent="0.3">
      <c r="A146" s="13"/>
      <c r="B146" s="38" t="s">
        <v>390</v>
      </c>
      <c r="C146" s="38">
        <v>83.1</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row>
    <row r="147" spans="1:51" s="16" customFormat="1" ht="13.5" x14ac:dyDescent="0.3">
      <c r="A147" s="13"/>
      <c r="B147" s="38" t="s">
        <v>391</v>
      </c>
      <c r="C147" s="38">
        <v>83.3</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row>
    <row r="148" spans="1:51" s="16" customFormat="1" ht="13.5" x14ac:dyDescent="0.3">
      <c r="A148" s="13"/>
      <c r="B148" s="38" t="s">
        <v>392</v>
      </c>
      <c r="C148" s="38">
        <v>83.5</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row>
    <row r="149" spans="1:51" s="16" customFormat="1" ht="13.5" x14ac:dyDescent="0.3">
      <c r="A149" s="13"/>
      <c r="B149" s="38" t="s">
        <v>393</v>
      </c>
      <c r="C149" s="38">
        <v>83.1</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row>
    <row r="150" spans="1:51" s="16" customFormat="1" ht="13.5" x14ac:dyDescent="0.3">
      <c r="A150" s="13"/>
      <c r="B150" s="38" t="s">
        <v>394</v>
      </c>
      <c r="C150" s="38">
        <v>83.4</v>
      </c>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row>
    <row r="151" spans="1:51" s="16" customFormat="1" ht="13.5" x14ac:dyDescent="0.3">
      <c r="A151" s="13"/>
      <c r="B151" s="38" t="s">
        <v>395</v>
      </c>
      <c r="C151" s="38">
        <v>83.5</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row>
    <row r="152" spans="1:51" s="16" customFormat="1" ht="13.5" x14ac:dyDescent="0.3">
      <c r="A152" s="13"/>
      <c r="B152" s="38" t="s">
        <v>396</v>
      </c>
      <c r="C152" s="38">
        <v>83.8</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row>
    <row r="153" spans="1:51" s="16" customFormat="1" ht="13.5" x14ac:dyDescent="0.3">
      <c r="A153" s="13"/>
      <c r="B153" s="38" t="s">
        <v>397</v>
      </c>
      <c r="C153" s="38">
        <v>84.1</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row>
    <row r="154" spans="1:51" s="16" customFormat="1" ht="13.5" x14ac:dyDescent="0.3">
      <c r="A154" s="13"/>
      <c r="B154" s="38" t="s">
        <v>398</v>
      </c>
      <c r="C154" s="38">
        <v>84.5</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row>
    <row r="155" spans="1:51" s="16" customFormat="1" ht="13.5" x14ac:dyDescent="0.3">
      <c r="A155" s="13"/>
      <c r="B155" s="38" t="s">
        <v>399</v>
      </c>
      <c r="C155" s="38">
        <v>84.1</v>
      </c>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row>
    <row r="156" spans="1:51" s="16" customFormat="1" ht="13.5" x14ac:dyDescent="0.3">
      <c r="A156" s="13"/>
      <c r="B156" s="38" t="s">
        <v>400</v>
      </c>
      <c r="C156" s="38">
        <v>84.6</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row>
    <row r="157" spans="1:51" s="16" customFormat="1" ht="13.5" x14ac:dyDescent="0.3">
      <c r="A157" s="13"/>
      <c r="B157" s="38" t="s">
        <v>401</v>
      </c>
      <c r="C157" s="38">
        <v>84.9</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row>
    <row r="158" spans="1:51" s="16" customFormat="1" ht="13.5" x14ac:dyDescent="0.3">
      <c r="A158" s="13"/>
      <c r="B158" s="38" t="s">
        <v>402</v>
      </c>
      <c r="C158" s="38">
        <v>85.6</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row>
    <row r="159" spans="1:51" s="16" customFormat="1" ht="13.5" x14ac:dyDescent="0.3">
      <c r="A159" s="13"/>
      <c r="B159" s="38" t="s">
        <v>403</v>
      </c>
      <c r="C159" s="38">
        <v>86.1</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row>
    <row r="160" spans="1:51" s="16" customFormat="1" ht="13.5" x14ac:dyDescent="0.3">
      <c r="A160" s="13"/>
      <c r="B160" s="38" t="s">
        <v>404</v>
      </c>
      <c r="C160" s="38">
        <v>86.6</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row>
    <row r="161" spans="1:51" s="16" customFormat="1" ht="13.5" x14ac:dyDescent="0.3">
      <c r="A161" s="13"/>
      <c r="B161" s="38" t="s">
        <v>405</v>
      </c>
      <c r="C161" s="38">
        <v>86.6</v>
      </c>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row>
    <row r="162" spans="1:51" s="16" customFormat="1" ht="13.5" x14ac:dyDescent="0.3">
      <c r="A162" s="13"/>
      <c r="B162" s="38" t="s">
        <v>406</v>
      </c>
      <c r="C162" s="38">
        <v>87.1</v>
      </c>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row>
    <row r="163" spans="1:51" s="16" customFormat="1" ht="13.5" x14ac:dyDescent="0.3">
      <c r="A163" s="13"/>
      <c r="B163" s="38" t="s">
        <v>407</v>
      </c>
      <c r="C163" s="38">
        <v>87.5</v>
      </c>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row>
    <row r="164" spans="1:51" s="16" customFormat="1" ht="13.5" x14ac:dyDescent="0.3">
      <c r="A164" s="13"/>
      <c r="B164" s="38" t="s">
        <v>408</v>
      </c>
      <c r="C164" s="38">
        <v>87.3</v>
      </c>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row>
    <row r="165" spans="1:51" s="16" customFormat="1" ht="13.5" x14ac:dyDescent="0.3">
      <c r="A165" s="13"/>
      <c r="B165" s="38" t="s">
        <v>409</v>
      </c>
      <c r="C165" s="38">
        <v>87.3</v>
      </c>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row>
    <row r="166" spans="1:51" s="16" customFormat="1" ht="13.5" x14ac:dyDescent="0.3">
      <c r="A166" s="13"/>
      <c r="B166" s="38" t="s">
        <v>410</v>
      </c>
      <c r="C166" s="38">
        <v>87.1</v>
      </c>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row>
    <row r="167" spans="1:51" s="16" customFormat="1" ht="13.5" x14ac:dyDescent="0.3">
      <c r="A167" s="13"/>
      <c r="B167" s="38" t="s">
        <v>411</v>
      </c>
      <c r="C167" s="38">
        <v>86.6</v>
      </c>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row>
    <row r="168" spans="1:51" s="16" customFormat="1" ht="13.5" x14ac:dyDescent="0.3">
      <c r="A168" s="13"/>
      <c r="B168" s="38" t="s">
        <v>412</v>
      </c>
      <c r="C168" s="38">
        <v>87.2</v>
      </c>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row>
    <row r="169" spans="1:51" s="16" customFormat="1" ht="13.5" x14ac:dyDescent="0.3">
      <c r="A169" s="13"/>
      <c r="B169" s="38" t="s">
        <v>413</v>
      </c>
      <c r="C169" s="38">
        <v>87.3</v>
      </c>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row>
    <row r="170" spans="1:51" s="16" customFormat="1" ht="13.5" x14ac:dyDescent="0.3">
      <c r="A170" s="13"/>
      <c r="B170" s="38" t="s">
        <v>414</v>
      </c>
      <c r="C170" s="38">
        <v>87.5</v>
      </c>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row>
    <row r="171" spans="1:51" s="16" customFormat="1" ht="13.5" x14ac:dyDescent="0.3">
      <c r="A171" s="13"/>
      <c r="B171" s="38" t="s">
        <v>415</v>
      </c>
      <c r="C171" s="38">
        <v>87.9</v>
      </c>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row>
    <row r="172" spans="1:51" s="16" customFormat="1" ht="13.5" x14ac:dyDescent="0.3">
      <c r="A172" s="13"/>
      <c r="B172" s="38" t="s">
        <v>416</v>
      </c>
      <c r="C172" s="38">
        <v>88.1</v>
      </c>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row>
    <row r="173" spans="1:51" s="16" customFormat="1" ht="13.5" x14ac:dyDescent="0.3">
      <c r="A173" s="13"/>
      <c r="B173" s="38" t="s">
        <v>417</v>
      </c>
      <c r="C173" s="38">
        <v>88</v>
      </c>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row>
    <row r="174" spans="1:51" s="16" customFormat="1" ht="13.5" x14ac:dyDescent="0.3">
      <c r="A174" s="13"/>
      <c r="B174" s="38" t="s">
        <v>418</v>
      </c>
      <c r="C174" s="38">
        <v>88.3</v>
      </c>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row>
    <row r="175" spans="1:51" s="16" customFormat="1" ht="13.5" x14ac:dyDescent="0.3">
      <c r="A175" s="13"/>
      <c r="B175" s="38" t="s">
        <v>419</v>
      </c>
      <c r="C175" s="38">
        <v>88.3</v>
      </c>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row>
    <row r="176" spans="1:51" s="16" customFormat="1" ht="13.5" x14ac:dyDescent="0.3">
      <c r="A176" s="13"/>
      <c r="B176" s="38" t="s">
        <v>420</v>
      </c>
      <c r="C176" s="38">
        <v>88.4</v>
      </c>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row>
    <row r="177" spans="1:51" s="16" customFormat="1" ht="13.5" x14ac:dyDescent="0.3">
      <c r="A177" s="13"/>
      <c r="B177" s="38" t="s">
        <v>421</v>
      </c>
      <c r="C177" s="38">
        <v>88.6</v>
      </c>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row>
    <row r="178" spans="1:51" s="16" customFormat="1" ht="13.5" x14ac:dyDescent="0.3">
      <c r="A178" s="13"/>
      <c r="B178" s="38" t="s">
        <v>422</v>
      </c>
      <c r="C178" s="38">
        <v>88.9</v>
      </c>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row>
    <row r="179" spans="1:51" s="16" customFormat="1" ht="13.5" x14ac:dyDescent="0.3">
      <c r="A179" s="13"/>
      <c r="B179" s="38" t="s">
        <v>423</v>
      </c>
      <c r="C179" s="38">
        <v>88.8</v>
      </c>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row>
    <row r="180" spans="1:51" s="16" customFormat="1" ht="13.5" x14ac:dyDescent="0.3">
      <c r="A180" s="13"/>
      <c r="B180" s="38" t="s">
        <v>424</v>
      </c>
      <c r="C180" s="38">
        <v>89</v>
      </c>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row>
    <row r="181" spans="1:51" s="16" customFormat="1" ht="13.5" x14ac:dyDescent="0.3">
      <c r="A181" s="13"/>
      <c r="B181" s="38" t="s">
        <v>425</v>
      </c>
      <c r="C181" s="38">
        <v>89.4</v>
      </c>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row>
    <row r="182" spans="1:51" s="16" customFormat="1" ht="13.5" x14ac:dyDescent="0.3">
      <c r="A182" s="13"/>
      <c r="B182" s="38" t="s">
        <v>426</v>
      </c>
      <c r="C182" s="38">
        <v>89.9</v>
      </c>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row>
    <row r="183" spans="1:51" s="16" customFormat="1" ht="13.5" x14ac:dyDescent="0.3">
      <c r="A183" s="13"/>
      <c r="B183" s="38" t="s">
        <v>427</v>
      </c>
      <c r="C183" s="38">
        <v>90.1</v>
      </c>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row>
    <row r="184" spans="1:51" s="16" customFormat="1" ht="13.5" x14ac:dyDescent="0.3">
      <c r="A184" s="13"/>
      <c r="B184" s="38" t="s">
        <v>428</v>
      </c>
      <c r="C184" s="38">
        <v>90.2</v>
      </c>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row>
    <row r="185" spans="1:51" s="16" customFormat="1" ht="13.5" x14ac:dyDescent="0.3">
      <c r="A185" s="13"/>
      <c r="B185" s="38" t="s">
        <v>429</v>
      </c>
      <c r="C185" s="38">
        <v>90</v>
      </c>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row>
    <row r="186" spans="1:51" s="16" customFormat="1" ht="13.5" x14ac:dyDescent="0.3">
      <c r="A186" s="13"/>
      <c r="B186" s="38" t="s">
        <v>430</v>
      </c>
      <c r="C186" s="38">
        <v>90.4</v>
      </c>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row>
    <row r="187" spans="1:51" s="16" customFormat="1" ht="13.5" x14ac:dyDescent="0.3">
      <c r="A187" s="13"/>
      <c r="B187" s="38" t="s">
        <v>431</v>
      </c>
      <c r="C187" s="38">
        <v>90.4</v>
      </c>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row>
    <row r="188" spans="1:51" s="16" customFormat="1" ht="13.5" x14ac:dyDescent="0.3">
      <c r="A188" s="13"/>
      <c r="B188" s="38" t="s">
        <v>432</v>
      </c>
      <c r="C188" s="38">
        <v>90.6</v>
      </c>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row>
    <row r="189" spans="1:51" s="16" customFormat="1" ht="13.5" x14ac:dyDescent="0.3">
      <c r="A189" s="13"/>
      <c r="B189" s="38" t="s">
        <v>433</v>
      </c>
      <c r="C189" s="38">
        <v>90.9</v>
      </c>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row>
    <row r="190" spans="1:51" s="16" customFormat="1" ht="13.5" x14ac:dyDescent="0.3">
      <c r="A190" s="13"/>
      <c r="B190" s="38" t="s">
        <v>434</v>
      </c>
      <c r="C190" s="38">
        <v>91.7</v>
      </c>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row>
    <row r="191" spans="1:51" s="16" customFormat="1" ht="13.5" x14ac:dyDescent="0.3">
      <c r="A191" s="13"/>
      <c r="B191" s="38" t="s">
        <v>435</v>
      </c>
      <c r="C191" s="38">
        <v>91.8</v>
      </c>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row>
    <row r="192" spans="1:51" s="16" customFormat="1" ht="13.5" x14ac:dyDescent="0.3">
      <c r="A192" s="13"/>
      <c r="B192" s="38" t="s">
        <v>436</v>
      </c>
      <c r="C192" s="38">
        <v>92.3</v>
      </c>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row>
    <row r="193" spans="1:51" s="16" customFormat="1" ht="13.5" x14ac:dyDescent="0.3">
      <c r="A193" s="13"/>
      <c r="B193" s="38" t="s">
        <v>437</v>
      </c>
      <c r="C193" s="38">
        <v>92.6</v>
      </c>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row>
    <row r="194" spans="1:51" s="16" customFormat="1" ht="13.5" x14ac:dyDescent="0.3">
      <c r="A194" s="13"/>
      <c r="B194" s="38" t="s">
        <v>438</v>
      </c>
      <c r="C194" s="38">
        <v>93.3</v>
      </c>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row>
    <row r="195" spans="1:51" s="16" customFormat="1" ht="13.5" x14ac:dyDescent="0.3">
      <c r="A195" s="13"/>
      <c r="B195" s="38" t="s">
        <v>439</v>
      </c>
      <c r="C195" s="38">
        <v>93.5</v>
      </c>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row>
    <row r="196" spans="1:51" s="16" customFormat="1" ht="13.5" x14ac:dyDescent="0.3">
      <c r="A196" s="13"/>
      <c r="B196" s="38" t="s">
        <v>440</v>
      </c>
      <c r="C196" s="38">
        <v>93.5</v>
      </c>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row>
    <row r="197" spans="1:51" s="16" customFormat="1" ht="13.5" x14ac:dyDescent="0.3">
      <c r="A197" s="13"/>
      <c r="B197" s="38" t="s">
        <v>441</v>
      </c>
      <c r="C197" s="38">
        <v>93.5</v>
      </c>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row>
    <row r="198" spans="1:51" s="16" customFormat="1" ht="13.5" x14ac:dyDescent="0.3">
      <c r="A198" s="13"/>
      <c r="B198" s="38" t="s">
        <v>442</v>
      </c>
      <c r="C198" s="38">
        <v>93.9</v>
      </c>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row>
    <row r="199" spans="1:51" s="16" customFormat="1" ht="13.5" x14ac:dyDescent="0.3">
      <c r="A199" s="13"/>
      <c r="B199" s="38" t="s">
        <v>443</v>
      </c>
      <c r="C199" s="38">
        <v>94.5</v>
      </c>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row>
    <row r="200" spans="1:51" s="16" customFormat="1" ht="13.5" x14ac:dyDescent="0.3">
      <c r="A200" s="13"/>
      <c r="B200" s="38" t="s">
        <v>444</v>
      </c>
      <c r="C200" s="38">
        <v>94.5</v>
      </c>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row>
    <row r="201" spans="1:51" s="16" customFormat="1" ht="13.5" x14ac:dyDescent="0.3">
      <c r="A201" s="13"/>
      <c r="B201" s="38" t="s">
        <v>445</v>
      </c>
      <c r="C201" s="38">
        <v>94.7</v>
      </c>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row>
    <row r="202" spans="1:51" s="16" customFormat="1" ht="13.5" x14ac:dyDescent="0.3">
      <c r="A202" s="13"/>
      <c r="B202" s="38" t="s">
        <v>446</v>
      </c>
      <c r="C202" s="38">
        <v>95</v>
      </c>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row>
    <row r="203" spans="1:51" s="16" customFormat="1" ht="13.5" x14ac:dyDescent="0.3">
      <c r="A203" s="13"/>
      <c r="B203" s="38" t="s">
        <v>447</v>
      </c>
      <c r="C203" s="38">
        <v>94.7</v>
      </c>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row>
    <row r="204" spans="1:51" s="16" customFormat="1" ht="13.5" x14ac:dyDescent="0.3">
      <c r="A204" s="13"/>
      <c r="B204" s="38" t="s">
        <v>448</v>
      </c>
      <c r="C204" s="38">
        <v>95.2</v>
      </c>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row>
    <row r="205" spans="1:51" s="16" customFormat="1" ht="13.5" x14ac:dyDescent="0.3">
      <c r="A205" s="13"/>
      <c r="B205" s="38" t="s">
        <v>449</v>
      </c>
      <c r="C205" s="38">
        <v>95.4</v>
      </c>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row>
    <row r="206" spans="1:51" s="16" customFormat="1" ht="13.5" x14ac:dyDescent="0.3">
      <c r="A206" s="13"/>
      <c r="B206" s="38" t="s">
        <v>450</v>
      </c>
      <c r="C206" s="38">
        <v>95.9</v>
      </c>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row>
    <row r="207" spans="1:51" s="16" customFormat="1" ht="13.5" x14ac:dyDescent="0.3">
      <c r="A207" s="13"/>
      <c r="B207" s="38" t="s">
        <v>451</v>
      </c>
      <c r="C207" s="38">
        <v>95.9</v>
      </c>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row>
    <row r="208" spans="1:51" s="16" customFormat="1" ht="13.5" x14ac:dyDescent="0.3">
      <c r="A208" s="13"/>
      <c r="B208" s="38" t="s">
        <v>452</v>
      </c>
      <c r="C208" s="38">
        <v>95.6</v>
      </c>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row>
    <row r="209" spans="1:51" s="16" customFormat="1" ht="13.5" x14ac:dyDescent="0.3">
      <c r="A209" s="13"/>
      <c r="B209" s="38" t="s">
        <v>453</v>
      </c>
      <c r="C209" s="38">
        <v>95.7</v>
      </c>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row>
    <row r="210" spans="1:51" s="16" customFormat="1" ht="13.5" x14ac:dyDescent="0.3">
      <c r="A210" s="13"/>
      <c r="B210" s="38" t="s">
        <v>454</v>
      </c>
      <c r="C210" s="38">
        <v>96.1</v>
      </c>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row>
    <row r="211" spans="1:51" s="16" customFormat="1" ht="13.5" x14ac:dyDescent="0.3">
      <c r="A211" s="13"/>
      <c r="B211" s="38" t="s">
        <v>455</v>
      </c>
      <c r="C211" s="38">
        <v>96.4</v>
      </c>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row>
    <row r="212" spans="1:51" s="16" customFormat="1" ht="13.5" x14ac:dyDescent="0.3">
      <c r="A212" s="13"/>
      <c r="B212" s="38" t="s">
        <v>456</v>
      </c>
      <c r="C212" s="38">
        <v>96.8</v>
      </c>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row>
    <row r="213" spans="1:51" s="16" customFormat="1" ht="13.5" x14ac:dyDescent="0.3">
      <c r="A213" s="13"/>
      <c r="B213" s="38" t="s">
        <v>457</v>
      </c>
      <c r="C213" s="38">
        <v>97</v>
      </c>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row>
    <row r="214" spans="1:51" s="16" customFormat="1" ht="13.5" x14ac:dyDescent="0.3">
      <c r="A214" s="13"/>
      <c r="B214" s="38" t="s">
        <v>458</v>
      </c>
      <c r="C214" s="38">
        <v>97.3</v>
      </c>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row>
    <row r="215" spans="1:51" s="16" customFormat="1" ht="13.5" x14ac:dyDescent="0.3">
      <c r="A215" s="13"/>
      <c r="B215" s="38" t="s">
        <v>459</v>
      </c>
      <c r="C215" s="38">
        <v>97</v>
      </c>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row>
    <row r="216" spans="1:51" s="16" customFormat="1" ht="13.5" x14ac:dyDescent="0.3">
      <c r="A216" s="13"/>
      <c r="B216" s="38" t="s">
        <v>460</v>
      </c>
      <c r="C216" s="38">
        <v>97.5</v>
      </c>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row>
    <row r="217" spans="1:51" s="16" customFormat="1" ht="13.5" x14ac:dyDescent="0.3">
      <c r="A217" s="13"/>
      <c r="B217" s="38" t="s">
        <v>461</v>
      </c>
      <c r="C217" s="38">
        <v>97.8</v>
      </c>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row>
    <row r="218" spans="1:51" s="16" customFormat="1" ht="13.5" x14ac:dyDescent="0.3">
      <c r="A218" s="13"/>
      <c r="B218" s="38" t="s">
        <v>462</v>
      </c>
      <c r="C218" s="38">
        <v>98</v>
      </c>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row>
    <row r="219" spans="1:51" s="16" customFormat="1" ht="13.5" x14ac:dyDescent="0.3">
      <c r="A219" s="13"/>
      <c r="B219" s="38" t="s">
        <v>463</v>
      </c>
      <c r="C219" s="38">
        <v>98.2</v>
      </c>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row>
    <row r="220" spans="1:51" s="16" customFormat="1" ht="13.5" x14ac:dyDescent="0.3">
      <c r="A220" s="13"/>
      <c r="B220" s="38" t="s">
        <v>464</v>
      </c>
      <c r="C220" s="38">
        <v>98</v>
      </c>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row>
    <row r="221" spans="1:51" s="16" customFormat="1" ht="13.5" x14ac:dyDescent="0.3">
      <c r="A221" s="13"/>
      <c r="B221" s="38" t="s">
        <v>465</v>
      </c>
      <c r="C221" s="38">
        <v>98</v>
      </c>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row>
    <row r="222" spans="1:51" s="16" customFormat="1" ht="13.5" x14ac:dyDescent="0.3">
      <c r="A222" s="13"/>
      <c r="B222" s="38" t="s">
        <v>466</v>
      </c>
      <c r="C222" s="38">
        <v>98.4</v>
      </c>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row>
    <row r="223" spans="1:51" s="16" customFormat="1" ht="13.5" x14ac:dyDescent="0.3">
      <c r="A223" s="13"/>
      <c r="B223" s="38" t="s">
        <v>467</v>
      </c>
      <c r="C223" s="38">
        <v>98.7</v>
      </c>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row>
    <row r="224" spans="1:51" s="16" customFormat="1" ht="13.5" x14ac:dyDescent="0.3">
      <c r="A224" s="13"/>
      <c r="B224" s="38" t="s">
        <v>468</v>
      </c>
      <c r="C224" s="38">
        <v>98.8</v>
      </c>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row>
    <row r="225" spans="1:51" s="16" customFormat="1" ht="13.5" x14ac:dyDescent="0.3">
      <c r="A225" s="13"/>
      <c r="B225" s="38" t="s">
        <v>469</v>
      </c>
      <c r="C225" s="38">
        <v>98.8</v>
      </c>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row>
    <row r="226" spans="1:51" s="16" customFormat="1" ht="13.5" x14ac:dyDescent="0.3">
      <c r="A226" s="13"/>
      <c r="B226" s="38" t="s">
        <v>470</v>
      </c>
      <c r="C226" s="38">
        <v>99.2</v>
      </c>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row>
    <row r="227" spans="1:51" s="16" customFormat="1" ht="13.5" x14ac:dyDescent="0.3">
      <c r="A227" s="13"/>
      <c r="B227" s="38" t="s">
        <v>471</v>
      </c>
      <c r="C227" s="38">
        <v>98.7</v>
      </c>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row>
    <row r="228" spans="1:51" s="16" customFormat="1" ht="13.5" x14ac:dyDescent="0.3">
      <c r="A228" s="13"/>
      <c r="B228" s="38" t="s">
        <v>472</v>
      </c>
      <c r="C228" s="38">
        <v>99.1</v>
      </c>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row>
    <row r="229" spans="1:51" s="16" customFormat="1" ht="13.5" x14ac:dyDescent="0.3">
      <c r="A229" s="13"/>
      <c r="B229" s="38" t="s">
        <v>473</v>
      </c>
      <c r="C229" s="38">
        <v>99.3</v>
      </c>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row>
    <row r="230" spans="1:51" s="16" customFormat="1" ht="13.5" x14ac:dyDescent="0.3">
      <c r="A230" s="13"/>
      <c r="B230" s="38" t="s">
        <v>474</v>
      </c>
      <c r="C230" s="38">
        <v>99.6</v>
      </c>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row>
    <row r="231" spans="1:51" s="16" customFormat="1" ht="13.5" x14ac:dyDescent="0.3">
      <c r="A231" s="13"/>
      <c r="B231" s="38" t="s">
        <v>475</v>
      </c>
      <c r="C231" s="38">
        <v>99.6</v>
      </c>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row>
    <row r="232" spans="1:51" s="16" customFormat="1" ht="13.5" x14ac:dyDescent="0.3">
      <c r="A232" s="13"/>
      <c r="B232" s="38" t="s">
        <v>476</v>
      </c>
      <c r="C232" s="38">
        <v>99.8</v>
      </c>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row>
    <row r="233" spans="1:51" s="16" customFormat="1" ht="13.5" x14ac:dyDescent="0.3">
      <c r="A233" s="13"/>
      <c r="B233" s="38" t="s">
        <v>477</v>
      </c>
      <c r="C233" s="38">
        <v>99.6</v>
      </c>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row>
    <row r="234" spans="1:51" s="16" customFormat="1" ht="13.5" x14ac:dyDescent="0.3">
      <c r="A234" s="13"/>
      <c r="B234" s="38" t="s">
        <v>478</v>
      </c>
      <c r="C234" s="38">
        <v>99.9</v>
      </c>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row>
    <row r="235" spans="1:51" s="16" customFormat="1" ht="13.5" x14ac:dyDescent="0.3">
      <c r="A235" s="13"/>
      <c r="B235" s="38" t="s">
        <v>479</v>
      </c>
      <c r="C235" s="38">
        <v>100</v>
      </c>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row>
    <row r="236" spans="1:51" s="16" customFormat="1" ht="13.5" x14ac:dyDescent="0.3">
      <c r="A236" s="13"/>
      <c r="B236" s="38" t="s">
        <v>480</v>
      </c>
      <c r="C236" s="38">
        <v>100.1</v>
      </c>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row>
    <row r="237" spans="1:51" s="16" customFormat="1" ht="13.5" x14ac:dyDescent="0.3">
      <c r="A237" s="13"/>
      <c r="B237" s="38" t="s">
        <v>481</v>
      </c>
      <c r="C237" s="38">
        <v>99.9</v>
      </c>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row>
    <row r="238" spans="1:51" s="16" customFormat="1" ht="13.5" x14ac:dyDescent="0.3">
      <c r="A238" s="13"/>
      <c r="B238" s="38" t="s">
        <v>250</v>
      </c>
      <c r="C238" s="38">
        <v>99.9</v>
      </c>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row>
    <row r="239" spans="1:51" s="16" customFormat="1" ht="13.5" x14ac:dyDescent="0.3">
      <c r="A239" s="13"/>
      <c r="B239" s="38" t="s">
        <v>482</v>
      </c>
      <c r="C239" s="38">
        <v>99.2</v>
      </c>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row>
    <row r="240" spans="1:51" s="16" customFormat="1" ht="13.5" x14ac:dyDescent="0.3">
      <c r="A240" s="13"/>
      <c r="B240" s="38" t="s">
        <v>483</v>
      </c>
      <c r="C240" s="38">
        <v>99.5</v>
      </c>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row>
    <row r="241" spans="1:51" s="16" customFormat="1" ht="13.5" x14ac:dyDescent="0.3">
      <c r="A241" s="13"/>
      <c r="B241" s="38" t="s">
        <v>484</v>
      </c>
      <c r="C241" s="38">
        <v>99.6</v>
      </c>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row>
    <row r="242" spans="1:51" s="16" customFormat="1" ht="13.5" x14ac:dyDescent="0.3">
      <c r="A242" s="13"/>
      <c r="B242" s="38" t="s">
        <v>485</v>
      </c>
      <c r="C242" s="38">
        <v>99.9</v>
      </c>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row>
    <row r="243" spans="1:51" s="16" customFormat="1" ht="13.5" x14ac:dyDescent="0.3">
      <c r="A243" s="13"/>
      <c r="B243" s="38" t="s">
        <v>486</v>
      </c>
      <c r="C243" s="38">
        <v>100.1</v>
      </c>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row>
    <row r="244" spans="1:51" s="16" customFormat="1" ht="13.5" x14ac:dyDescent="0.3">
      <c r="A244" s="13"/>
      <c r="B244" s="38" t="s">
        <v>251</v>
      </c>
      <c r="C244" s="38">
        <v>100.1</v>
      </c>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row>
    <row r="245" spans="1:51" s="16" customFormat="1" ht="13.5" x14ac:dyDescent="0.3">
      <c r="A245" s="13"/>
      <c r="B245" s="38" t="s">
        <v>487</v>
      </c>
      <c r="C245" s="38">
        <v>100</v>
      </c>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row>
    <row r="246" spans="1:51" s="16" customFormat="1" ht="13.5" x14ac:dyDescent="0.3">
      <c r="A246" s="13"/>
      <c r="B246" s="38" t="s">
        <v>488</v>
      </c>
      <c r="C246" s="38">
        <v>100.3</v>
      </c>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row>
    <row r="247" spans="1:51" s="16" customFormat="1" ht="13.5" x14ac:dyDescent="0.3">
      <c r="A247" s="13"/>
      <c r="B247" s="38" t="s">
        <v>489</v>
      </c>
      <c r="C247" s="38">
        <v>100.2</v>
      </c>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row>
    <row r="248" spans="1:51" s="16" customFormat="1" ht="13.5" x14ac:dyDescent="0.3">
      <c r="A248" s="13"/>
      <c r="B248" s="38" t="s">
        <v>490</v>
      </c>
      <c r="C248" s="38">
        <v>100.3</v>
      </c>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row>
    <row r="249" spans="1:51" s="16" customFormat="1" ht="13.5" x14ac:dyDescent="0.3">
      <c r="A249" s="13"/>
      <c r="B249" s="38" t="s">
        <v>491</v>
      </c>
      <c r="C249" s="38">
        <v>100.3</v>
      </c>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row>
    <row r="250" spans="1:51" s="16" customFormat="1" ht="13.5" x14ac:dyDescent="0.3">
      <c r="A250" s="13"/>
      <c r="B250" s="38" t="s">
        <v>252</v>
      </c>
      <c r="C250" s="38">
        <v>100.4</v>
      </c>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row>
    <row r="251" spans="1:51" s="16" customFormat="1" ht="13.5" x14ac:dyDescent="0.3">
      <c r="A251" s="13"/>
      <c r="B251" s="38" t="s">
        <v>492</v>
      </c>
      <c r="C251" s="38">
        <v>99.9</v>
      </c>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row>
    <row r="252" spans="1:51" s="16" customFormat="1" ht="13.5" x14ac:dyDescent="0.3">
      <c r="A252" s="13"/>
      <c r="B252" s="38" t="s">
        <v>493</v>
      </c>
      <c r="C252" s="38">
        <v>100.1</v>
      </c>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row>
    <row r="253" spans="1:51" s="16" customFormat="1" ht="13.5" x14ac:dyDescent="0.3">
      <c r="A253" s="13"/>
      <c r="B253" s="38" t="s">
        <v>494</v>
      </c>
      <c r="C253" s="38">
        <v>100.4</v>
      </c>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row>
    <row r="254" spans="1:51" s="16" customFormat="1" ht="13.5" x14ac:dyDescent="0.3">
      <c r="A254" s="13"/>
      <c r="B254" s="38" t="s">
        <v>495</v>
      </c>
      <c r="C254" s="38">
        <v>100.6</v>
      </c>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row>
    <row r="255" spans="1:51" s="16" customFormat="1" ht="13.5" x14ac:dyDescent="0.3">
      <c r="A255" s="13"/>
      <c r="B255" s="38" t="s">
        <v>496</v>
      </c>
      <c r="C255" s="38">
        <v>100.8</v>
      </c>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row>
    <row r="256" spans="1:51" s="16" customFormat="1" ht="13.5" x14ac:dyDescent="0.3">
      <c r="A256" s="13"/>
      <c r="B256" s="38" t="s">
        <v>253</v>
      </c>
      <c r="C256" s="38">
        <v>101</v>
      </c>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row>
    <row r="257" spans="1:51" s="16" customFormat="1" ht="13.5" x14ac:dyDescent="0.3">
      <c r="A257" s="13"/>
      <c r="B257" s="38" t="s">
        <v>497</v>
      </c>
      <c r="C257" s="38">
        <v>100.9</v>
      </c>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row>
    <row r="258" spans="1:51" s="16" customFormat="1" ht="13.5" x14ac:dyDescent="0.3">
      <c r="A258" s="13"/>
      <c r="B258" s="38" t="s">
        <v>498</v>
      </c>
      <c r="C258" s="38">
        <v>101.2</v>
      </c>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row>
    <row r="259" spans="1:51" s="16" customFormat="1" ht="13.5" x14ac:dyDescent="0.3">
      <c r="A259" s="13"/>
      <c r="B259" s="38" t="s">
        <v>499</v>
      </c>
      <c r="C259" s="38">
        <v>101.5</v>
      </c>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row>
    <row r="260" spans="1:51" s="16" customFormat="1" ht="13.5" x14ac:dyDescent="0.3">
      <c r="A260" s="13"/>
      <c r="B260" s="38" t="s">
        <v>500</v>
      </c>
      <c r="C260" s="38">
        <v>101.6</v>
      </c>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row>
    <row r="261" spans="1:51" s="16" customFormat="1" ht="13.5" x14ac:dyDescent="0.3">
      <c r="A261" s="13"/>
      <c r="B261" s="38" t="s">
        <v>501</v>
      </c>
      <c r="C261" s="38">
        <v>101.8</v>
      </c>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row>
    <row r="262" spans="1:51" s="16" customFormat="1" ht="13.5" x14ac:dyDescent="0.3">
      <c r="A262" s="13"/>
      <c r="B262" s="38" t="s">
        <v>254</v>
      </c>
      <c r="C262" s="38">
        <v>102.2</v>
      </c>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row>
    <row r="263" spans="1:51" s="16" customFormat="1" ht="13.5" x14ac:dyDescent="0.3">
      <c r="A263" s="13"/>
      <c r="B263" s="38" t="s">
        <v>502</v>
      </c>
      <c r="C263" s="38">
        <v>101.8</v>
      </c>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row>
    <row r="264" spans="1:51" s="16" customFormat="1" ht="13.5" x14ac:dyDescent="0.3">
      <c r="A264" s="13"/>
      <c r="B264" s="38" t="s">
        <v>503</v>
      </c>
      <c r="C264" s="38">
        <v>102.4</v>
      </c>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row>
    <row r="265" spans="1:51" s="16" customFormat="1" ht="13.5" x14ac:dyDescent="0.3">
      <c r="A265" s="13"/>
      <c r="B265" s="38" t="s">
        <v>504</v>
      </c>
      <c r="C265" s="38">
        <v>102.7</v>
      </c>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row>
    <row r="266" spans="1:51" s="16" customFormat="1" ht="13.5" x14ac:dyDescent="0.3">
      <c r="A266" s="13"/>
      <c r="B266" s="38" t="s">
        <v>505</v>
      </c>
      <c r="C266" s="38">
        <v>103.2</v>
      </c>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row>
    <row r="267" spans="1:51" s="16" customFormat="1" ht="13.5" x14ac:dyDescent="0.3">
      <c r="A267" s="13"/>
      <c r="B267" s="38" t="s">
        <v>506</v>
      </c>
      <c r="C267" s="38">
        <v>103.5</v>
      </c>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row>
    <row r="268" spans="1:51" s="16" customFormat="1" ht="13.5" x14ac:dyDescent="0.3">
      <c r="A268" s="13"/>
      <c r="B268" s="38" t="s">
        <v>255</v>
      </c>
      <c r="C268" s="38">
        <v>103.5</v>
      </c>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row>
    <row r="269" spans="1:51" s="16" customFormat="1" ht="13.5" x14ac:dyDescent="0.3">
      <c r="A269" s="13"/>
      <c r="B269" s="38" t="s">
        <v>507</v>
      </c>
      <c r="C269" s="38">
        <v>103.5</v>
      </c>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row>
    <row r="270" spans="1:51" s="16" customFormat="1" ht="13.5" x14ac:dyDescent="0.3">
      <c r="A270" s="13"/>
      <c r="B270" s="38" t="s">
        <v>508</v>
      </c>
      <c r="C270" s="38">
        <v>104</v>
      </c>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row>
    <row r="271" spans="1:51" s="16" customFormat="1" ht="13.5" x14ac:dyDescent="0.3">
      <c r="A271" s="13"/>
      <c r="B271" s="38" t="s">
        <v>509</v>
      </c>
      <c r="C271" s="38">
        <v>104.3</v>
      </c>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row>
    <row r="272" spans="1:51" s="16" customFormat="1" ht="13.5" x14ac:dyDescent="0.3">
      <c r="A272" s="13"/>
      <c r="B272" s="38" t="s">
        <v>510</v>
      </c>
      <c r="C272" s="38">
        <v>104.4</v>
      </c>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row>
    <row r="273" spans="1:51" s="16" customFormat="1" ht="13.5" x14ac:dyDescent="0.3">
      <c r="A273" s="13"/>
      <c r="B273" s="38" t="s">
        <v>511</v>
      </c>
      <c r="C273" s="38">
        <v>104.7</v>
      </c>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row>
    <row r="274" spans="1:51" s="16" customFormat="1" ht="13.5" x14ac:dyDescent="0.3">
      <c r="A274" s="13"/>
      <c r="B274" s="38" t="s">
        <v>256</v>
      </c>
      <c r="C274" s="38">
        <v>105</v>
      </c>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row>
    <row r="275" spans="1:51" s="16" customFormat="1" ht="13.5" x14ac:dyDescent="0.3">
      <c r="A275" s="13"/>
      <c r="B275" s="38" t="s">
        <v>512</v>
      </c>
      <c r="C275" s="38">
        <v>104.5</v>
      </c>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row>
    <row r="276" spans="1:51" s="16" customFormat="1" ht="13.5" x14ac:dyDescent="0.3">
      <c r="A276" s="13"/>
      <c r="B276" s="38" t="s">
        <v>513</v>
      </c>
      <c r="C276" s="38">
        <v>104.9</v>
      </c>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row>
    <row r="277" spans="1:51" s="16" customFormat="1" ht="13.5" x14ac:dyDescent="0.3">
      <c r="A277" s="13"/>
      <c r="B277" s="38" t="s">
        <v>514</v>
      </c>
      <c r="C277" s="38">
        <v>105.1</v>
      </c>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row>
    <row r="278" spans="1:51" s="16" customFormat="1" ht="13.5" x14ac:dyDescent="0.3">
      <c r="A278" s="13"/>
      <c r="B278" s="38" t="s">
        <v>515</v>
      </c>
      <c r="C278" s="38">
        <v>105.5</v>
      </c>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row>
    <row r="279" spans="1:51" s="16" customFormat="1" ht="13.5" x14ac:dyDescent="0.3">
      <c r="A279" s="13"/>
      <c r="B279" s="38" t="s">
        <v>516</v>
      </c>
      <c r="C279" s="38">
        <v>105.9</v>
      </c>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row>
    <row r="280" spans="1:51" s="16" customFormat="1" ht="13.5" x14ac:dyDescent="0.3">
      <c r="A280" s="13"/>
      <c r="B280" s="38" t="s">
        <v>257</v>
      </c>
      <c r="C280" s="38">
        <v>105.9</v>
      </c>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row>
    <row r="281" spans="1:51" s="16" customFormat="1" ht="13.5" x14ac:dyDescent="0.3">
      <c r="A281" s="13"/>
      <c r="B281" s="46" t="s">
        <v>517</v>
      </c>
      <c r="C281" s="46">
        <v>105.9</v>
      </c>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row>
    <row r="282" spans="1:51" s="16" customFormat="1" ht="13.5" x14ac:dyDescent="0.3">
      <c r="A282" s="13"/>
      <c r="B282" s="46" t="s">
        <v>518</v>
      </c>
      <c r="C282" s="46">
        <v>106.5</v>
      </c>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row>
    <row r="283" spans="1:51" s="16" customFormat="1" ht="13.5" x14ac:dyDescent="0.3">
      <c r="A283" s="13"/>
      <c r="B283" s="46" t="s">
        <v>519</v>
      </c>
      <c r="C283" s="46">
        <v>106.6</v>
      </c>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row>
    <row r="284" spans="1:51" s="16" customFormat="1" ht="13.5" x14ac:dyDescent="0.3">
      <c r="A284" s="13"/>
      <c r="B284" s="46" t="s">
        <v>520</v>
      </c>
      <c r="C284" s="46">
        <v>106.7</v>
      </c>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row>
    <row r="285" spans="1:51" s="16" customFormat="1" ht="13.5" x14ac:dyDescent="0.3">
      <c r="A285" s="13"/>
      <c r="B285" s="46" t="s">
        <v>521</v>
      </c>
      <c r="C285" s="46">
        <v>106.9</v>
      </c>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row>
    <row r="286" spans="1:51" s="16" customFormat="1" ht="13.5" x14ac:dyDescent="0.3">
      <c r="A286" s="13"/>
      <c r="B286" s="46" t="s">
        <v>258</v>
      </c>
      <c r="C286" s="46">
        <v>107.1</v>
      </c>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row>
    <row r="287" spans="1:51" s="16" customFormat="1" ht="13.5" x14ac:dyDescent="0.3">
      <c r="A287" s="13"/>
      <c r="B287" s="46" t="s">
        <v>522</v>
      </c>
      <c r="C287" s="48">
        <v>106.4</v>
      </c>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row>
    <row r="288" spans="1:51" s="16" customFormat="1" ht="13.5" x14ac:dyDescent="0.3">
      <c r="A288" s="13"/>
      <c r="B288" s="46" t="s">
        <v>523</v>
      </c>
      <c r="C288" s="48">
        <v>106.8</v>
      </c>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row>
    <row r="289" spans="1:51" s="16" customFormat="1" ht="13.5" x14ac:dyDescent="0.3">
      <c r="A289" s="13"/>
      <c r="B289" s="46" t="s">
        <v>524</v>
      </c>
      <c r="C289" s="48">
        <v>107</v>
      </c>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row>
    <row r="290" spans="1:51" s="16" customFormat="1" ht="13.5" x14ac:dyDescent="0.3">
      <c r="A290" s="13"/>
      <c r="B290" s="46" t="s">
        <v>525</v>
      </c>
      <c r="C290" s="48">
        <v>107.6</v>
      </c>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row>
    <row r="291" spans="1:51" s="16" customFormat="1" ht="13.5" x14ac:dyDescent="0.3">
      <c r="A291" s="13"/>
      <c r="B291" s="46" t="s">
        <v>526</v>
      </c>
      <c r="C291" s="48">
        <v>107.9</v>
      </c>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row>
    <row r="292" spans="1:51" s="16" customFormat="1" ht="13.5" x14ac:dyDescent="0.3">
      <c r="A292" s="13"/>
      <c r="B292" s="46" t="s">
        <v>259</v>
      </c>
      <c r="C292" s="48">
        <v>107.9</v>
      </c>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row>
    <row r="293" spans="1:51" s="16" customFormat="1" ht="13.5" x14ac:dyDescent="0.3">
      <c r="A293" s="13"/>
      <c r="B293" s="46" t="s">
        <v>527</v>
      </c>
      <c r="C293" s="48">
        <v>108</v>
      </c>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row>
    <row r="294" spans="1:51" s="16" customFormat="1" ht="13.5" x14ac:dyDescent="0.3">
      <c r="A294" s="13"/>
      <c r="B294" s="46" t="s">
        <v>528</v>
      </c>
      <c r="C294" s="48">
        <v>108.3</v>
      </c>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row>
    <row r="295" spans="1:51" s="16" customFormat="1" ht="13.5" x14ac:dyDescent="0.3">
      <c r="A295" s="13"/>
      <c r="B295" s="46" t="s">
        <v>529</v>
      </c>
      <c r="C295" s="48">
        <v>108.4</v>
      </c>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row>
    <row r="296" spans="1:51" s="16" customFormat="1" ht="13.5" x14ac:dyDescent="0.3">
      <c r="A296" s="13"/>
      <c r="B296" s="46" t="s">
        <v>530</v>
      </c>
      <c r="C296" s="48">
        <v>108.3</v>
      </c>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row>
    <row r="297" spans="1:51" s="16" customFormat="1" ht="13.5" x14ac:dyDescent="0.3">
      <c r="A297" s="13"/>
      <c r="B297" s="46" t="s">
        <v>531</v>
      </c>
      <c r="C297" s="48">
        <v>108.5</v>
      </c>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row>
    <row r="298" spans="1:51" s="16" customFormat="1" ht="13.5" x14ac:dyDescent="0.3">
      <c r="A298" s="13"/>
      <c r="B298" s="46" t="s">
        <v>260</v>
      </c>
      <c r="C298" s="48">
        <v>108.5</v>
      </c>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row>
    <row r="299" spans="1:51" s="16" customFormat="1" ht="13.5" x14ac:dyDescent="0.3">
      <c r="A299" s="13"/>
      <c r="B299" s="51" t="s">
        <v>532</v>
      </c>
      <c r="C299" s="52">
        <v>108.3</v>
      </c>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row>
    <row r="300" spans="1:51" s="16" customFormat="1" ht="13.5" x14ac:dyDescent="0.3">
      <c r="A300" s="13"/>
      <c r="B300" s="51" t="s">
        <v>533</v>
      </c>
      <c r="C300" s="52">
        <v>108.6</v>
      </c>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row>
    <row r="301" spans="1:51" s="16" customFormat="1" ht="13.5" x14ac:dyDescent="0.3">
      <c r="A301" s="13"/>
      <c r="B301" s="51" t="s">
        <v>534</v>
      </c>
      <c r="C301" s="52">
        <v>108.6</v>
      </c>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row>
    <row r="302" spans="1:51" s="16" customFormat="1" ht="13.5" x14ac:dyDescent="0.3">
      <c r="A302" s="13"/>
      <c r="B302" s="51" t="s">
        <v>535</v>
      </c>
      <c r="C302" s="52">
        <v>108.6</v>
      </c>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row>
    <row r="303" spans="1:51" s="16" customFormat="1" ht="13.5" x14ac:dyDescent="0.3">
      <c r="A303" s="13"/>
      <c r="B303" s="51" t="s">
        <v>536</v>
      </c>
      <c r="C303" s="52">
        <v>108.6</v>
      </c>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row>
    <row r="304" spans="1:51" s="16" customFormat="1" ht="13.5" x14ac:dyDescent="0.3">
      <c r="A304" s="13"/>
      <c r="B304" s="51" t="s">
        <v>261</v>
      </c>
      <c r="C304" s="52">
        <v>108.8</v>
      </c>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row>
    <row r="305" spans="1:51" s="16" customFormat="1" ht="13.5" x14ac:dyDescent="0.3">
      <c r="A305" s="13"/>
      <c r="B305" s="46" t="s">
        <v>537</v>
      </c>
      <c r="C305" s="46">
        <v>109.2</v>
      </c>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row>
    <row r="306" spans="1:51" s="16" customFormat="1" ht="13.5" x14ac:dyDescent="0.3">
      <c r="A306" s="13"/>
      <c r="B306" s="46" t="s">
        <v>538</v>
      </c>
      <c r="C306" s="46">
        <v>108.8</v>
      </c>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row>
    <row r="307" spans="1:51" s="16" customFormat="1" ht="13.5" x14ac:dyDescent="0.3">
      <c r="A307" s="13"/>
      <c r="B307" s="46" t="s">
        <v>539</v>
      </c>
      <c r="C307" s="46">
        <v>109.2</v>
      </c>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row>
    <row r="308" spans="1:51" s="16" customFormat="1" ht="13.5" x14ac:dyDescent="0.3">
      <c r="A308" s="13"/>
      <c r="B308" s="46" t="s">
        <v>540</v>
      </c>
      <c r="C308" s="46">
        <v>109.2</v>
      </c>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row>
    <row r="309" spans="1:51" s="16" customFormat="1" ht="13.5" x14ac:dyDescent="0.3">
      <c r="A309" s="13"/>
      <c r="B309" s="46" t="s">
        <v>541</v>
      </c>
      <c r="C309" s="46">
        <v>109.1</v>
      </c>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row>
    <row r="310" spans="1:51" s="16" customFormat="1" ht="13.5" x14ac:dyDescent="0.3">
      <c r="A310" s="13"/>
      <c r="B310" s="46" t="s">
        <v>262</v>
      </c>
      <c r="C310" s="46">
        <v>109.4</v>
      </c>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row>
    <row r="311" spans="1:51" s="16" customFormat="1" ht="13.5" x14ac:dyDescent="0.3">
      <c r="A311" s="13"/>
      <c r="B311" s="46" t="s">
        <v>542</v>
      </c>
      <c r="C311" s="46">
        <v>109.3</v>
      </c>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row>
    <row r="312" spans="1:51" s="16" customFormat="1" ht="13.5" x14ac:dyDescent="0.3">
      <c r="A312" s="13"/>
      <c r="B312" s="46" t="s">
        <v>543</v>
      </c>
      <c r="C312" s="46">
        <v>109.4</v>
      </c>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row>
    <row r="313" spans="1:51" s="16" customFormat="1" ht="13.5" x14ac:dyDescent="0.3">
      <c r="A313" s="13"/>
      <c r="B313" s="46" t="s">
        <v>544</v>
      </c>
      <c r="C313" s="46">
        <v>109.7</v>
      </c>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row>
    <row r="314" spans="1:51" s="16" customFormat="1" ht="13.5" x14ac:dyDescent="0.3">
      <c r="A314" s="13"/>
      <c r="B314" s="46" t="s">
        <v>545</v>
      </c>
      <c r="C314" s="46">
        <v>110.4</v>
      </c>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row>
    <row r="315" spans="1:51" s="16" customFormat="1" ht="13.5" x14ac:dyDescent="0.3">
      <c r="A315" s="13"/>
      <c r="B315" s="46" t="s">
        <v>546</v>
      </c>
      <c r="C315" s="48">
        <v>111</v>
      </c>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row>
    <row r="316" spans="1:51" s="16" customFormat="1" ht="13.5" x14ac:dyDescent="0.3">
      <c r="A316" s="13"/>
      <c r="B316" s="46" t="s">
        <v>263</v>
      </c>
      <c r="C316" s="46">
        <v>111.4</v>
      </c>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row>
    <row r="317" spans="1:51" s="16" customFormat="1" ht="13.5" x14ac:dyDescent="0.3">
      <c r="A317" s="13"/>
      <c r="B317" s="46" t="s">
        <v>547</v>
      </c>
      <c r="C317" s="46">
        <v>111.4</v>
      </c>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row>
    <row r="318" spans="1:51" s="16" customFormat="1" ht="13.5" x14ac:dyDescent="0.3">
      <c r="A318" s="13"/>
      <c r="B318" s="46" t="s">
        <v>548</v>
      </c>
      <c r="C318" s="46">
        <v>112.1</v>
      </c>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row>
    <row r="319" spans="1:51" s="16" customFormat="1" ht="13.5" x14ac:dyDescent="0.3">
      <c r="A319" s="13"/>
      <c r="B319" s="46" t="s">
        <v>549</v>
      </c>
      <c r="C319" s="46">
        <v>112.4</v>
      </c>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row>
    <row r="320" spans="1:51" s="16" customFormat="1" ht="13.5" x14ac:dyDescent="0.3">
      <c r="A320" s="13"/>
      <c r="B320" s="46" t="s">
        <v>550</v>
      </c>
      <c r="C320" s="46">
        <v>113.4</v>
      </c>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row>
    <row r="321" spans="1:51" s="16" customFormat="1" ht="13.5" x14ac:dyDescent="0.3">
      <c r="A321" s="13"/>
      <c r="B321" s="46" t="s">
        <v>551</v>
      </c>
      <c r="C321" s="46">
        <v>114.1</v>
      </c>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row>
    <row r="322" spans="1:51" s="16" customFormat="1" ht="13.5" x14ac:dyDescent="0.3">
      <c r="A322" s="13"/>
      <c r="B322" s="46" t="s">
        <v>264</v>
      </c>
      <c r="C322" s="46">
        <v>114.7</v>
      </c>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row>
    <row r="323" spans="1:51" s="16" customFormat="1" ht="13.5" x14ac:dyDescent="0.3">
      <c r="A323" s="13"/>
      <c r="B323" s="151" t="s">
        <v>552</v>
      </c>
      <c r="C323" s="151">
        <v>114.6</v>
      </c>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row>
    <row r="324" spans="1:51" s="16" customFormat="1" ht="13.5" x14ac:dyDescent="0.3">
      <c r="A324" s="13"/>
      <c r="B324" s="151" t="s">
        <v>553</v>
      </c>
      <c r="C324" s="151">
        <v>115.4</v>
      </c>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row>
    <row r="325" spans="1:51" s="16" customFormat="1" ht="13.5" x14ac:dyDescent="0.3">
      <c r="A325" s="13"/>
      <c r="B325" s="151" t="s">
        <v>554</v>
      </c>
      <c r="C325" s="151">
        <v>116.5</v>
      </c>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row>
    <row r="326" spans="1:51" s="16" customFormat="1" ht="13.5" x14ac:dyDescent="0.3">
      <c r="A326" s="13"/>
      <c r="B326" s="151" t="s">
        <v>555</v>
      </c>
      <c r="C326" s="151">
        <v>119</v>
      </c>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row>
    <row r="327" spans="1:51" s="16" customFormat="1" ht="13.5" x14ac:dyDescent="0.3">
      <c r="A327" s="13"/>
      <c r="B327" s="151" t="s">
        <v>556</v>
      </c>
      <c r="C327" s="151">
        <v>119.7</v>
      </c>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row>
    <row r="328" spans="1:51" s="16" customFormat="1" ht="13.5" x14ac:dyDescent="0.3">
      <c r="A328" s="13"/>
      <c r="B328" s="151" t="s">
        <v>265</v>
      </c>
      <c r="C328" s="151">
        <v>120.5</v>
      </c>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row>
    <row r="329" spans="1:51" ht="13.5" x14ac:dyDescent="0.3">
      <c r="B329" s="151" t="s">
        <v>584</v>
      </c>
      <c r="C329" s="151">
        <v>121.2</v>
      </c>
    </row>
    <row r="330" spans="1:51" ht="13.5" x14ac:dyDescent="0.3">
      <c r="B330" s="151" t="s">
        <v>585</v>
      </c>
      <c r="C330" s="151">
        <v>121.8</v>
      </c>
    </row>
    <row r="331" spans="1:51" ht="13.5" x14ac:dyDescent="0.3">
      <c r="B331" s="151" t="s">
        <v>586</v>
      </c>
      <c r="C331" s="151">
        <v>122.3</v>
      </c>
    </row>
    <row r="332" spans="1:51" ht="13.5" x14ac:dyDescent="0.3">
      <c r="B332" s="151" t="s">
        <v>587</v>
      </c>
      <c r="C332" s="151">
        <v>124.3</v>
      </c>
    </row>
    <row r="333" spans="1:51" ht="13.5" x14ac:dyDescent="0.3">
      <c r="B333" s="151" t="s">
        <v>588</v>
      </c>
      <c r="C333" s="151">
        <v>124.8</v>
      </c>
    </row>
    <row r="334" spans="1:51" ht="13.5" x14ac:dyDescent="0.3">
      <c r="B334" s="151" t="s">
        <v>266</v>
      </c>
      <c r="C334" s="151">
        <v>125.3</v>
      </c>
    </row>
    <row r="335" spans="1:51" ht="13.5" x14ac:dyDescent="0.3">
      <c r="B335" s="151" t="s">
        <v>589</v>
      </c>
      <c r="C335" s="151">
        <v>124.8</v>
      </c>
    </row>
    <row r="336" spans="1:51" ht="13.5" x14ac:dyDescent="0.3">
      <c r="B336" s="151"/>
      <c r="C336" s="151"/>
    </row>
    <row r="337" spans="2:3" ht="13.5" x14ac:dyDescent="0.3">
      <c r="B337" s="151"/>
      <c r="C337" s="151"/>
    </row>
    <row r="338" spans="2:3" ht="13.5" x14ac:dyDescent="0.3">
      <c r="B338" s="151"/>
      <c r="C338" s="151"/>
    </row>
    <row r="339" spans="2:3" ht="13.5" x14ac:dyDescent="0.3">
      <c r="B339" s="151"/>
      <c r="C339" s="151"/>
    </row>
    <row r="340" spans="2:3" ht="13.5" x14ac:dyDescent="0.3">
      <c r="B340" s="151"/>
      <c r="C340" s="151"/>
    </row>
    <row r="341" spans="2:3" ht="13.5" x14ac:dyDescent="0.3">
      <c r="B341" s="151"/>
      <c r="C341" s="151"/>
    </row>
    <row r="342" spans="2:3" ht="13.5" x14ac:dyDescent="0.3">
      <c r="B342" s="151"/>
      <c r="C342" s="151"/>
    </row>
    <row r="343" spans="2:3" ht="13.5" x14ac:dyDescent="0.3">
      <c r="B343" s="151"/>
      <c r="C343" s="151"/>
    </row>
    <row r="344" spans="2:3" ht="13.5" x14ac:dyDescent="0.3">
      <c r="B344" s="151"/>
      <c r="C344" s="151"/>
    </row>
    <row r="345" spans="2:3" ht="13.5" x14ac:dyDescent="0.3">
      <c r="B345" s="151"/>
      <c r="C345" s="151"/>
    </row>
    <row r="346" spans="2:3" ht="13.5" x14ac:dyDescent="0.3">
      <c r="B346" s="151"/>
      <c r="C346" s="151"/>
    </row>
    <row r="347" spans="2:3" ht="13.5" x14ac:dyDescent="0.3">
      <c r="B347" s="151"/>
      <c r="C347" s="151"/>
    </row>
    <row r="348" spans="2:3" ht="13.5" x14ac:dyDescent="0.3">
      <c r="B348" s="151"/>
      <c r="C348" s="151"/>
    </row>
    <row r="349" spans="2:3" ht="13.5" x14ac:dyDescent="0.3">
      <c r="B349" s="151"/>
      <c r="C349" s="151"/>
    </row>
    <row r="350" spans="2:3" ht="13.5" x14ac:dyDescent="0.3">
      <c r="B350" s="151"/>
      <c r="C350" s="151"/>
    </row>
    <row r="351" spans="2:3" ht="13.5" x14ac:dyDescent="0.3">
      <c r="B351" s="151"/>
      <c r="C351" s="151"/>
    </row>
    <row r="352" spans="2:3" ht="13.5" x14ac:dyDescent="0.3">
      <c r="B352" s="151"/>
      <c r="C352" s="151"/>
    </row>
    <row r="353" spans="2:3" ht="13.5" x14ac:dyDescent="0.3">
      <c r="B353" s="151"/>
      <c r="C353" s="151"/>
    </row>
    <row r="354" spans="2:3" ht="13.5" x14ac:dyDescent="0.3">
      <c r="B354" s="151"/>
      <c r="C354" s="151"/>
    </row>
    <row r="355" spans="2:3" ht="13.5" x14ac:dyDescent="0.3">
      <c r="B355" s="151"/>
      <c r="C355" s="151"/>
    </row>
    <row r="356" spans="2:3" ht="13.5" x14ac:dyDescent="0.3">
      <c r="B356" s="151"/>
      <c r="C356" s="151"/>
    </row>
    <row r="357" spans="2:3" ht="13.5" x14ac:dyDescent="0.3">
      <c r="B357" s="151"/>
      <c r="C357" s="151"/>
    </row>
    <row r="358" spans="2:3" ht="13.5" x14ac:dyDescent="0.3">
      <c r="B358" s="151"/>
      <c r="C358" s="151"/>
    </row>
    <row r="359" spans="2:3" ht="13.5" x14ac:dyDescent="0.3">
      <c r="B359" s="151"/>
      <c r="C359" s="151"/>
    </row>
    <row r="360" spans="2:3" ht="13.5" x14ac:dyDescent="0.3">
      <c r="B360" s="151"/>
      <c r="C360" s="151"/>
    </row>
    <row r="361" spans="2:3" ht="13.5" x14ac:dyDescent="0.3">
      <c r="B361" s="151"/>
      <c r="C361" s="151"/>
    </row>
    <row r="362" spans="2:3" ht="13.5" x14ac:dyDescent="0.3">
      <c r="B362" s="151"/>
      <c r="C362" s="151"/>
    </row>
    <row r="363" spans="2:3" ht="13.5" x14ac:dyDescent="0.3">
      <c r="B363" s="151"/>
      <c r="C363" s="151"/>
    </row>
    <row r="364" spans="2:3" ht="13.5" x14ac:dyDescent="0.3">
      <c r="B364" s="151"/>
      <c r="C364" s="151"/>
    </row>
    <row r="365" spans="2:3" ht="13.5" x14ac:dyDescent="0.3">
      <c r="B365" s="151"/>
      <c r="C365" s="151"/>
    </row>
    <row r="366" spans="2:3" ht="13.5" x14ac:dyDescent="0.3">
      <c r="B366" s="151"/>
      <c r="C366" s="151"/>
    </row>
    <row r="367" spans="2:3" ht="13.5" x14ac:dyDescent="0.3">
      <c r="B367" s="151"/>
      <c r="C367" s="151"/>
    </row>
    <row r="368" spans="2:3" ht="13.5" x14ac:dyDescent="0.3">
      <c r="B368" s="151"/>
      <c r="C368" s="151"/>
    </row>
    <row r="369" spans="2:3" ht="13.5" x14ac:dyDescent="0.3">
      <c r="B369" s="151"/>
      <c r="C369" s="151"/>
    </row>
    <row r="370" spans="2:3" ht="13.5" x14ac:dyDescent="0.3">
      <c r="B370" s="151"/>
      <c r="C370" s="151"/>
    </row>
    <row r="371" spans="2:3" ht="13.5" x14ac:dyDescent="0.3">
      <c r="B371" s="151"/>
      <c r="C371" s="151"/>
    </row>
    <row r="372" spans="2:3" ht="13.5" x14ac:dyDescent="0.3">
      <c r="B372" s="151"/>
      <c r="C372" s="151"/>
    </row>
    <row r="373" spans="2:3" ht="13.5" x14ac:dyDescent="0.3">
      <c r="B373" s="151"/>
      <c r="C373" s="151"/>
    </row>
    <row r="374" spans="2:3" ht="13.5" x14ac:dyDescent="0.3">
      <c r="B374" s="151"/>
      <c r="C374" s="151"/>
    </row>
    <row r="375" spans="2:3" ht="13.5" x14ac:dyDescent="0.3">
      <c r="B375" s="151"/>
      <c r="C375" s="151"/>
    </row>
    <row r="376" spans="2:3" ht="13.5" x14ac:dyDescent="0.3">
      <c r="B376" s="151"/>
      <c r="C376" s="151"/>
    </row>
    <row r="377" spans="2:3" ht="13.5" x14ac:dyDescent="0.3">
      <c r="B377" s="151"/>
      <c r="C377" s="151"/>
    </row>
    <row r="378" spans="2:3" ht="13.5" x14ac:dyDescent="0.3">
      <c r="B378" s="151"/>
      <c r="C378" s="151"/>
    </row>
    <row r="379" spans="2:3" ht="13.5" x14ac:dyDescent="0.3">
      <c r="B379" s="151"/>
      <c r="C379" s="151"/>
    </row>
    <row r="380" spans="2:3" ht="13.5" x14ac:dyDescent="0.3">
      <c r="B380" s="151"/>
      <c r="C380" s="151"/>
    </row>
    <row r="381" spans="2:3" ht="13.5" x14ac:dyDescent="0.3">
      <c r="B381" s="151"/>
      <c r="C381" s="151"/>
    </row>
    <row r="382" spans="2:3" ht="13.5" x14ac:dyDescent="0.3">
      <c r="B382" s="151"/>
      <c r="C382" s="151"/>
    </row>
    <row r="383" spans="2:3" ht="13.5" x14ac:dyDescent="0.3">
      <c r="B383" s="151"/>
      <c r="C383" s="151"/>
    </row>
    <row r="384" spans="2:3" ht="13.5" x14ac:dyDescent="0.3">
      <c r="B384" s="151"/>
      <c r="C384" s="151"/>
    </row>
    <row r="385" spans="2:3" ht="13.5" x14ac:dyDescent="0.3">
      <c r="B385" s="151"/>
      <c r="C385" s="151"/>
    </row>
    <row r="386" spans="2:3" ht="13.5" x14ac:dyDescent="0.3">
      <c r="B386" s="151"/>
      <c r="C386" s="151"/>
    </row>
    <row r="387" spans="2:3" ht="13.5" x14ac:dyDescent="0.3">
      <c r="B387" s="151"/>
      <c r="C387" s="151"/>
    </row>
    <row r="388" spans="2:3" ht="13.5" x14ac:dyDescent="0.3">
      <c r="B388" s="151"/>
      <c r="C388" s="151"/>
    </row>
    <row r="389" spans="2:3" ht="13.5" x14ac:dyDescent="0.3">
      <c r="B389" s="151"/>
      <c r="C389" s="151"/>
    </row>
    <row r="390" spans="2:3" ht="13.5" x14ac:dyDescent="0.3">
      <c r="B390" s="151"/>
      <c r="C390" s="151"/>
    </row>
    <row r="391" spans="2:3" ht="13.5" x14ac:dyDescent="0.3">
      <c r="B391" s="151"/>
      <c r="C391" s="151"/>
    </row>
    <row r="392" spans="2:3" ht="13.5" x14ac:dyDescent="0.3">
      <c r="B392" s="151"/>
      <c r="C392" s="151"/>
    </row>
    <row r="393" spans="2:3" ht="13.5" x14ac:dyDescent="0.3">
      <c r="B393" s="151"/>
      <c r="C393" s="151"/>
    </row>
    <row r="394" spans="2:3" ht="13.5" x14ac:dyDescent="0.3">
      <c r="B394" s="151"/>
      <c r="C394" s="151"/>
    </row>
    <row r="395" spans="2:3" ht="13.5" x14ac:dyDescent="0.3">
      <c r="B395" s="151"/>
      <c r="C395" s="151"/>
    </row>
    <row r="396" spans="2:3" ht="13.5" x14ac:dyDescent="0.3">
      <c r="B396" s="151"/>
      <c r="C396" s="151"/>
    </row>
    <row r="397" spans="2:3" ht="13.5" x14ac:dyDescent="0.3">
      <c r="B397" s="151"/>
      <c r="C397" s="151"/>
    </row>
    <row r="398" spans="2:3" ht="13.5" x14ac:dyDescent="0.3">
      <c r="B398" s="151"/>
      <c r="C398" s="151"/>
    </row>
    <row r="399" spans="2:3" ht="13.5" x14ac:dyDescent="0.3">
      <c r="B399" s="151"/>
      <c r="C399" s="151"/>
    </row>
    <row r="400" spans="2:3" ht="13.5" x14ac:dyDescent="0.3">
      <c r="B400" s="151"/>
      <c r="C400" s="151"/>
    </row>
    <row r="401" spans="2:3" ht="13.5" x14ac:dyDescent="0.3">
      <c r="B401" s="151"/>
      <c r="C401" s="151"/>
    </row>
    <row r="402" spans="2:3" ht="13.5" x14ac:dyDescent="0.3">
      <c r="B402" s="151"/>
      <c r="C402" s="151"/>
    </row>
    <row r="403" spans="2:3" ht="13.5" x14ac:dyDescent="0.3">
      <c r="B403" s="151"/>
      <c r="C403" s="151"/>
    </row>
    <row r="404" spans="2:3" ht="13.5" x14ac:dyDescent="0.3">
      <c r="B404" s="151"/>
      <c r="C404" s="151"/>
    </row>
    <row r="405" spans="2:3" ht="13.5" x14ac:dyDescent="0.3">
      <c r="B405" s="151"/>
      <c r="C405" s="151"/>
    </row>
    <row r="406" spans="2:3" ht="13.5" x14ac:dyDescent="0.3">
      <c r="B406" s="151"/>
      <c r="C406" s="151"/>
    </row>
    <row r="407" spans="2:3" ht="13.5" x14ac:dyDescent="0.3">
      <c r="B407" s="151"/>
      <c r="C407" s="151"/>
    </row>
    <row r="408" spans="2:3" ht="13.5" x14ac:dyDescent="0.3">
      <c r="B408" s="151"/>
      <c r="C408" s="151"/>
    </row>
    <row r="409" spans="2:3" ht="13.5" x14ac:dyDescent="0.3">
      <c r="B409" s="151"/>
      <c r="C409" s="151"/>
    </row>
    <row r="410" spans="2:3" ht="13.5" x14ac:dyDescent="0.3">
      <c r="B410" s="151"/>
      <c r="C410" s="151"/>
    </row>
    <row r="411" spans="2:3" ht="13.5" x14ac:dyDescent="0.3">
      <c r="B411" s="151"/>
      <c r="C411" s="151"/>
    </row>
    <row r="412" spans="2:3" ht="13.5" x14ac:dyDescent="0.3">
      <c r="B412" s="151"/>
      <c r="C412" s="151"/>
    </row>
    <row r="413" spans="2:3" ht="13.5" x14ac:dyDescent="0.3">
      <c r="B413" s="151"/>
      <c r="C413" s="151"/>
    </row>
    <row r="414" spans="2:3" ht="13.5" x14ac:dyDescent="0.3">
      <c r="B414" s="151"/>
      <c r="C414" s="151"/>
    </row>
    <row r="415" spans="2:3" ht="13.5" x14ac:dyDescent="0.3">
      <c r="B415" s="151"/>
      <c r="C415" s="151"/>
    </row>
    <row r="416" spans="2:3" ht="13.5" x14ac:dyDescent="0.3">
      <c r="B416" s="151"/>
      <c r="C416" s="151"/>
    </row>
    <row r="417" spans="2:3" ht="13.5" x14ac:dyDescent="0.3">
      <c r="B417" s="151"/>
      <c r="C417" s="151"/>
    </row>
    <row r="418" spans="2:3" ht="13.5" x14ac:dyDescent="0.3">
      <c r="B418" s="151"/>
      <c r="C418" s="151"/>
    </row>
    <row r="419" spans="2:3" ht="13.5" x14ac:dyDescent="0.3">
      <c r="B419" s="151"/>
      <c r="C419" s="151"/>
    </row>
    <row r="420" spans="2:3" ht="13.5" x14ac:dyDescent="0.3">
      <c r="B420" s="151"/>
      <c r="C420" s="151"/>
    </row>
    <row r="421" spans="2:3" ht="13.5" x14ac:dyDescent="0.3">
      <c r="B421" s="151"/>
      <c r="C421" s="151"/>
    </row>
    <row r="422" spans="2:3" ht="13.5" x14ac:dyDescent="0.3">
      <c r="B422" s="151"/>
      <c r="C422" s="151"/>
    </row>
    <row r="423" spans="2:3" ht="13.5" x14ac:dyDescent="0.3">
      <c r="B423" s="151"/>
      <c r="C423" s="151"/>
    </row>
    <row r="424" spans="2:3" ht="13.5" x14ac:dyDescent="0.3">
      <c r="B424" s="151"/>
      <c r="C424" s="151"/>
    </row>
    <row r="425" spans="2:3" ht="13.5" x14ac:dyDescent="0.3">
      <c r="B425" s="151"/>
      <c r="C425" s="151"/>
    </row>
    <row r="426" spans="2:3" ht="13.5" x14ac:dyDescent="0.3">
      <c r="B426" s="151"/>
      <c r="C426" s="151"/>
    </row>
    <row r="427" spans="2:3" ht="13.5" x14ac:dyDescent="0.3">
      <c r="B427" s="151"/>
      <c r="C427" s="151"/>
    </row>
    <row r="428" spans="2:3" ht="13.5" x14ac:dyDescent="0.3">
      <c r="B428" s="151"/>
      <c r="C428" s="151"/>
    </row>
    <row r="429" spans="2:3" ht="13.5" x14ac:dyDescent="0.3">
      <c r="B429" s="151"/>
      <c r="C429" s="151"/>
    </row>
    <row r="430" spans="2:3" ht="13.5" x14ac:dyDescent="0.3">
      <c r="B430" s="151"/>
      <c r="C430" s="151"/>
    </row>
    <row r="431" spans="2:3" ht="13.5" x14ac:dyDescent="0.3">
      <c r="B431" s="151"/>
      <c r="C431" s="151"/>
    </row>
    <row r="432" spans="2:3" ht="13.5" x14ac:dyDescent="0.3">
      <c r="B432" s="151"/>
      <c r="C432" s="151"/>
    </row>
    <row r="433" spans="2:3" ht="13.5" x14ac:dyDescent="0.3">
      <c r="B433" s="151"/>
      <c r="C433" s="151"/>
    </row>
    <row r="434" spans="2:3" ht="13.5" x14ac:dyDescent="0.3">
      <c r="B434" s="151"/>
      <c r="C434" s="151"/>
    </row>
    <row r="435" spans="2:3" ht="13.5" x14ac:dyDescent="0.3">
      <c r="B435" s="151"/>
      <c r="C435" s="151"/>
    </row>
    <row r="436" spans="2:3" ht="13.5" x14ac:dyDescent="0.3">
      <c r="B436" s="151"/>
      <c r="C436" s="151"/>
    </row>
    <row r="437" spans="2:3" ht="13.5" x14ac:dyDescent="0.3">
      <c r="B437" s="151"/>
      <c r="C437" s="151"/>
    </row>
  </sheetData>
  <mergeCells count="8">
    <mergeCell ref="L11:AX11"/>
    <mergeCell ref="L12:AX12"/>
    <mergeCell ref="C21:F21"/>
    <mergeCell ref="C22:F22"/>
    <mergeCell ref="B3:R3"/>
    <mergeCell ref="B11:B12"/>
    <mergeCell ref="C11:J11"/>
    <mergeCell ref="C12:J12"/>
  </mergeCells>
  <phoneticPr fontId="36" type="noConversion"/>
  <hyperlinks>
    <hyperlink ref="C22" r:id="rId1" xr:uid="{00000000-0004-0000-0900-000000000000}"/>
  </hyperlinks>
  <pageMargins left="0.75" right="0.75" top="1" bottom="1" header="0.5" footer="0.5"/>
  <pageSetup orientation="portrait" horizontalDpi="300" verticalDpi="300" r:id="rId2"/>
  <headerFooter alignWithMargins="0">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382E-609F-43DB-BF26-DF8D50C54CE9}">
  <sheetPr>
    <tabColor theme="7" tint="0.79998168889431442"/>
    <pageSetUpPr autoPageBreaks="0"/>
  </sheetPr>
  <dimension ref="A1:AX20"/>
  <sheetViews>
    <sheetView zoomScale="85" zoomScaleNormal="85" workbookViewId="0">
      <selection activeCell="AW16" sqref="AW16"/>
    </sheetView>
  </sheetViews>
  <sheetFormatPr defaultColWidth="0" defaultRowHeight="12.65" customHeight="1" zeroHeight="1" x14ac:dyDescent="0.3"/>
  <cols>
    <col min="1" max="1" width="9" style="31" customWidth="1"/>
    <col min="2" max="2" width="48.08984375" style="31" bestFit="1" customWidth="1"/>
    <col min="3" max="3" width="51.453125" style="31" customWidth="1"/>
    <col min="4" max="4" width="15.90625" style="31" customWidth="1"/>
    <col min="5" max="5" width="33.90625" style="31" customWidth="1"/>
    <col min="6" max="9" width="17.6328125" style="31" customWidth="1"/>
    <col min="10" max="10" width="1.08984375" style="31" customWidth="1"/>
    <col min="11" max="49" width="17.6328125" style="31" customWidth="1"/>
    <col min="50" max="50" width="9" style="31" customWidth="1"/>
    <col min="51" max="16384" width="9" style="31" hidden="1"/>
  </cols>
  <sheetData>
    <row r="1" spans="1:50" s="25" customFormat="1" ht="12.75" customHeight="1" x14ac:dyDescent="0.3">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row>
    <row r="2" spans="1:50" s="25" customFormat="1" ht="18.75" customHeight="1" x14ac:dyDescent="0.35">
      <c r="A2" s="73"/>
      <c r="B2" s="5" t="s">
        <v>560</v>
      </c>
      <c r="C2" s="30"/>
      <c r="D2" s="30"/>
      <c r="E2" s="30"/>
      <c r="F2" s="30"/>
      <c r="G2" s="30"/>
      <c r="H2" s="30"/>
      <c r="I2" s="30"/>
      <c r="J2" s="30"/>
      <c r="K2" s="30"/>
      <c r="L2" s="73"/>
      <c r="M2" s="73"/>
      <c r="N2" s="73"/>
      <c r="O2" s="73"/>
      <c r="P2" s="73"/>
      <c r="Q2" s="73"/>
      <c r="R2" s="73"/>
      <c r="S2" s="73"/>
      <c r="T2" s="73"/>
      <c r="U2" s="73"/>
      <c r="V2" s="73"/>
      <c r="W2" s="73"/>
      <c r="X2" s="73"/>
      <c r="Y2" s="73"/>
      <c r="Z2" s="73"/>
      <c r="AA2" s="73"/>
      <c r="AB2" s="73"/>
      <c r="AC2" s="73"/>
    </row>
    <row r="3" spans="1:50" s="25" customFormat="1" ht="14.25" customHeight="1" x14ac:dyDescent="0.3">
      <c r="A3" s="73"/>
      <c r="B3" s="211" t="s">
        <v>561</v>
      </c>
      <c r="C3" s="211"/>
      <c r="D3" s="211"/>
      <c r="E3" s="211"/>
      <c r="F3" s="115"/>
      <c r="G3" s="115"/>
      <c r="H3" s="115"/>
      <c r="I3" s="115"/>
      <c r="J3" s="115"/>
      <c r="K3" s="115"/>
      <c r="L3" s="115"/>
      <c r="M3" s="115"/>
      <c r="N3" s="73"/>
      <c r="O3" s="73"/>
      <c r="P3" s="73"/>
      <c r="Q3" s="73"/>
      <c r="R3" s="73"/>
      <c r="S3" s="73"/>
      <c r="T3" s="73"/>
      <c r="U3" s="73"/>
      <c r="V3" s="73"/>
      <c r="W3" s="73"/>
      <c r="X3" s="73"/>
      <c r="Y3" s="74"/>
      <c r="Z3" s="74"/>
      <c r="AA3" s="74"/>
      <c r="AB3" s="74"/>
      <c r="AC3" s="74"/>
    </row>
    <row r="4" spans="1:50" s="25" customFormat="1" ht="12.75" customHeight="1" x14ac:dyDescent="0.3">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row>
    <row r="5" spans="1:50" s="26" customFormat="1" ht="13.5" x14ac:dyDescent="0.3">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31"/>
      <c r="AE5" s="31"/>
      <c r="AF5" s="31"/>
      <c r="AG5" s="31"/>
      <c r="AH5" s="31"/>
      <c r="AI5" s="31"/>
      <c r="AJ5" s="31"/>
      <c r="AK5" s="31"/>
      <c r="AL5" s="31"/>
      <c r="AM5" s="31"/>
      <c r="AN5" s="31"/>
      <c r="AO5" s="31"/>
      <c r="AP5" s="31"/>
      <c r="AQ5" s="31"/>
      <c r="AR5" s="31"/>
      <c r="AS5" s="31"/>
      <c r="AT5" s="31"/>
      <c r="AU5" s="31"/>
      <c r="AV5" s="31"/>
      <c r="AW5" s="31"/>
      <c r="AX5" s="31"/>
    </row>
    <row r="6" spans="1:50" s="26" customFormat="1" ht="13.5" x14ac:dyDescent="0.3">
      <c r="A6" s="62"/>
      <c r="B6" s="128" t="s">
        <v>29</v>
      </c>
      <c r="C6" s="128" t="s">
        <v>151</v>
      </c>
      <c r="D6" s="128" t="s">
        <v>72</v>
      </c>
      <c r="E6" s="128" t="s">
        <v>74</v>
      </c>
      <c r="F6" s="128" t="s">
        <v>562</v>
      </c>
      <c r="G6" s="62"/>
      <c r="H6" s="62"/>
      <c r="I6" s="62"/>
      <c r="J6" s="62"/>
      <c r="K6" s="62"/>
      <c r="L6" s="62"/>
      <c r="M6" s="62"/>
      <c r="N6" s="62"/>
      <c r="O6" s="62"/>
      <c r="P6" s="62"/>
      <c r="Q6" s="62"/>
      <c r="R6" s="62"/>
      <c r="S6" s="62"/>
      <c r="T6" s="62"/>
      <c r="U6" s="62"/>
      <c r="V6" s="62"/>
      <c r="W6" s="62"/>
      <c r="X6" s="62"/>
      <c r="Y6" s="62"/>
      <c r="Z6" s="62"/>
      <c r="AA6" s="62"/>
      <c r="AB6" s="62"/>
      <c r="AC6" s="62"/>
      <c r="AD6" s="31"/>
      <c r="AE6" s="31"/>
      <c r="AF6" s="31"/>
      <c r="AG6" s="31"/>
      <c r="AH6" s="31"/>
      <c r="AI6" s="31"/>
      <c r="AJ6" s="31"/>
      <c r="AK6" s="31"/>
      <c r="AL6" s="31"/>
      <c r="AM6" s="31"/>
      <c r="AN6" s="31"/>
      <c r="AO6" s="31"/>
      <c r="AP6" s="31"/>
      <c r="AQ6" s="31"/>
      <c r="AR6" s="31"/>
      <c r="AS6" s="31"/>
      <c r="AT6" s="31"/>
      <c r="AU6" s="31"/>
      <c r="AV6" s="31"/>
      <c r="AW6" s="31"/>
      <c r="AX6" s="31"/>
    </row>
    <row r="7" spans="1:50" s="26" customFormat="1" ht="53.4" customHeight="1" x14ac:dyDescent="0.3">
      <c r="A7" s="62"/>
      <c r="B7" s="129" t="s">
        <v>563</v>
      </c>
      <c r="C7" s="276" t="s">
        <v>564</v>
      </c>
      <c r="D7" s="56" t="s">
        <v>120</v>
      </c>
      <c r="E7" s="56" t="s">
        <v>565</v>
      </c>
      <c r="F7" s="117">
        <v>7.95</v>
      </c>
      <c r="G7" s="62"/>
      <c r="H7" s="62"/>
      <c r="I7" s="62"/>
      <c r="J7" s="62"/>
      <c r="K7" s="62"/>
      <c r="L7" s="62"/>
      <c r="M7" s="62"/>
      <c r="N7" s="62"/>
      <c r="O7" s="62"/>
      <c r="P7" s="62"/>
      <c r="Q7" s="62"/>
      <c r="R7" s="62"/>
      <c r="S7" s="62"/>
      <c r="T7" s="62"/>
      <c r="U7" s="62"/>
      <c r="V7" s="62"/>
      <c r="W7" s="62"/>
      <c r="X7" s="62"/>
      <c r="Y7" s="62"/>
      <c r="Z7" s="62"/>
      <c r="AA7" s="62"/>
      <c r="AB7" s="62"/>
      <c r="AC7" s="62"/>
      <c r="AD7" s="31"/>
      <c r="AE7" s="31"/>
      <c r="AF7" s="31"/>
      <c r="AG7" s="31"/>
      <c r="AH7" s="31"/>
      <c r="AI7" s="31"/>
      <c r="AJ7" s="31"/>
      <c r="AK7" s="31"/>
      <c r="AL7" s="31"/>
      <c r="AM7" s="31"/>
      <c r="AN7" s="31"/>
      <c r="AO7" s="31"/>
      <c r="AP7" s="31"/>
      <c r="AQ7" s="31"/>
      <c r="AR7" s="31"/>
      <c r="AS7" s="31"/>
      <c r="AT7" s="31"/>
      <c r="AU7" s="31"/>
      <c r="AV7" s="31"/>
      <c r="AW7" s="31"/>
      <c r="AX7" s="31"/>
    </row>
    <row r="8" spans="1:50" s="26" customFormat="1" ht="61.5" customHeight="1" x14ac:dyDescent="0.3">
      <c r="A8" s="62"/>
      <c r="B8" s="56" t="s">
        <v>563</v>
      </c>
      <c r="C8" s="277"/>
      <c r="D8" s="56" t="s">
        <v>130</v>
      </c>
      <c r="E8" s="56" t="s">
        <v>565</v>
      </c>
      <c r="F8" s="117">
        <v>8.9700000000000006</v>
      </c>
      <c r="G8" s="62"/>
      <c r="H8" s="62"/>
      <c r="I8" s="62"/>
      <c r="J8" s="62"/>
      <c r="K8" s="62"/>
      <c r="L8" s="62"/>
      <c r="M8" s="62"/>
      <c r="N8" s="62"/>
      <c r="O8" s="62"/>
      <c r="P8" s="62"/>
      <c r="Q8" s="62"/>
      <c r="R8" s="62"/>
      <c r="S8" s="62"/>
      <c r="T8" s="62"/>
      <c r="U8" s="62"/>
      <c r="V8" s="62"/>
      <c r="W8" s="62"/>
      <c r="X8" s="62"/>
      <c r="Y8" s="62"/>
      <c r="Z8" s="62"/>
      <c r="AA8" s="62"/>
      <c r="AB8" s="62"/>
      <c r="AC8" s="62"/>
      <c r="AD8" s="31"/>
      <c r="AE8" s="31"/>
      <c r="AF8" s="31"/>
      <c r="AG8" s="31"/>
      <c r="AH8" s="31"/>
      <c r="AI8" s="31"/>
      <c r="AJ8" s="31"/>
      <c r="AK8" s="31"/>
      <c r="AL8" s="31"/>
      <c r="AM8" s="31"/>
      <c r="AN8" s="31"/>
      <c r="AO8" s="31"/>
      <c r="AP8" s="31"/>
      <c r="AQ8" s="31"/>
      <c r="AR8" s="31"/>
      <c r="AS8" s="31"/>
      <c r="AT8" s="31"/>
      <c r="AU8" s="31"/>
      <c r="AV8" s="31"/>
      <c r="AW8" s="31"/>
      <c r="AX8" s="31"/>
    </row>
    <row r="9" spans="1:50" s="26" customFormat="1" ht="13.5" x14ac:dyDescent="0.3">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31"/>
      <c r="AE9" s="31"/>
      <c r="AF9" s="31"/>
      <c r="AG9" s="31"/>
      <c r="AH9" s="31"/>
      <c r="AI9" s="31"/>
      <c r="AJ9" s="31"/>
      <c r="AK9" s="31"/>
      <c r="AL9" s="31"/>
      <c r="AM9" s="31"/>
      <c r="AN9" s="31"/>
      <c r="AO9" s="31"/>
      <c r="AP9" s="31"/>
      <c r="AQ9" s="31"/>
      <c r="AR9" s="31"/>
      <c r="AS9" s="31"/>
      <c r="AT9" s="31"/>
      <c r="AU9" s="31"/>
      <c r="AV9" s="31"/>
      <c r="AW9" s="31"/>
      <c r="AX9" s="31"/>
    </row>
    <row r="10" spans="1:50" s="26" customFormat="1" ht="12" customHeight="1" x14ac:dyDescent="0.3">
      <c r="A10" s="62"/>
      <c r="B10" s="243" t="s">
        <v>29</v>
      </c>
      <c r="C10" s="243" t="s">
        <v>72</v>
      </c>
      <c r="D10" s="243" t="s">
        <v>74</v>
      </c>
      <c r="E10" s="247"/>
      <c r="F10" s="212" t="s">
        <v>75</v>
      </c>
      <c r="G10" s="213"/>
      <c r="H10" s="213"/>
      <c r="I10" s="214"/>
      <c r="J10" s="27"/>
      <c r="K10" s="251" t="s">
        <v>76</v>
      </c>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3"/>
      <c r="AX10" s="31"/>
    </row>
    <row r="11" spans="1:50" s="26" customFormat="1" ht="30" customHeight="1" x14ac:dyDescent="0.3">
      <c r="A11" s="62"/>
      <c r="B11" s="246"/>
      <c r="C11" s="246"/>
      <c r="D11" s="246"/>
      <c r="E11" s="247"/>
      <c r="F11" s="273" t="s">
        <v>152</v>
      </c>
      <c r="G11" s="274"/>
      <c r="H11" s="274"/>
      <c r="I11" s="275"/>
      <c r="J11" s="27"/>
      <c r="K11" s="254" t="s">
        <v>78</v>
      </c>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6"/>
      <c r="AX11" s="31"/>
    </row>
    <row r="12" spans="1:50" s="26" customFormat="1" ht="27" x14ac:dyDescent="0.3">
      <c r="A12" s="62"/>
      <c r="B12" s="246"/>
      <c r="C12" s="246"/>
      <c r="D12" s="246"/>
      <c r="E12" s="96" t="s">
        <v>153</v>
      </c>
      <c r="F12" s="76" t="s">
        <v>80</v>
      </c>
      <c r="G12" s="76" t="s">
        <v>81</v>
      </c>
      <c r="H12" s="76" t="s">
        <v>82</v>
      </c>
      <c r="I12" s="76" t="s">
        <v>83</v>
      </c>
      <c r="J12" s="27"/>
      <c r="K12" s="76" t="s">
        <v>84</v>
      </c>
      <c r="L12" s="76" t="s">
        <v>85</v>
      </c>
      <c r="M12" s="76" t="s">
        <v>86</v>
      </c>
      <c r="N12" s="76" t="s">
        <v>87</v>
      </c>
      <c r="O12" s="76" t="s">
        <v>88</v>
      </c>
      <c r="P12" s="76" t="s">
        <v>89</v>
      </c>
      <c r="Q12" s="76" t="s">
        <v>90</v>
      </c>
      <c r="R12" s="76" t="s">
        <v>91</v>
      </c>
      <c r="S12" s="76" t="s">
        <v>92</v>
      </c>
      <c r="T12" s="76" t="s">
        <v>93</v>
      </c>
      <c r="U12" s="76" t="s">
        <v>94</v>
      </c>
      <c r="V12" s="76" t="s">
        <v>597</v>
      </c>
      <c r="W12" s="76" t="s">
        <v>598</v>
      </c>
      <c r="X12" s="76" t="s">
        <v>599</v>
      </c>
      <c r="Y12" s="76" t="s">
        <v>600</v>
      </c>
      <c r="Z12" s="76" t="s">
        <v>632</v>
      </c>
      <c r="AA12" s="76" t="s">
        <v>602</v>
      </c>
      <c r="AB12" s="76" t="s">
        <v>603</v>
      </c>
      <c r="AC12" s="76" t="s">
        <v>604</v>
      </c>
      <c r="AD12" s="76" t="s">
        <v>605</v>
      </c>
      <c r="AE12" s="76" t="s">
        <v>606</v>
      </c>
      <c r="AF12" s="76" t="s">
        <v>607</v>
      </c>
      <c r="AG12" s="76" t="s">
        <v>608</v>
      </c>
      <c r="AH12" s="76" t="s">
        <v>609</v>
      </c>
      <c r="AI12" s="76" t="s">
        <v>611</v>
      </c>
      <c r="AJ12" s="76" t="s">
        <v>612</v>
      </c>
      <c r="AK12" s="76" t="s">
        <v>613</v>
      </c>
      <c r="AL12" s="76" t="s">
        <v>614</v>
      </c>
      <c r="AM12" s="76" t="s">
        <v>610</v>
      </c>
      <c r="AN12" s="76" t="s">
        <v>615</v>
      </c>
      <c r="AO12" s="76" t="s">
        <v>616</v>
      </c>
      <c r="AP12" s="76" t="s">
        <v>617</v>
      </c>
      <c r="AQ12" s="76" t="s">
        <v>618</v>
      </c>
      <c r="AR12" s="76" t="s">
        <v>619</v>
      </c>
      <c r="AS12" s="76" t="s">
        <v>620</v>
      </c>
      <c r="AT12" s="76" t="s">
        <v>621</v>
      </c>
      <c r="AU12" s="76" t="s">
        <v>622</v>
      </c>
      <c r="AV12" s="76" t="s">
        <v>623</v>
      </c>
      <c r="AW12" s="76" t="s">
        <v>624</v>
      </c>
      <c r="AX12" s="31"/>
    </row>
    <row r="13" spans="1:50" s="26" customFormat="1" ht="13.5" x14ac:dyDescent="0.3">
      <c r="A13" s="62"/>
      <c r="B13" s="246"/>
      <c r="C13" s="246"/>
      <c r="D13" s="246"/>
      <c r="E13" s="97" t="s">
        <v>95</v>
      </c>
      <c r="F13" s="78" t="s">
        <v>96</v>
      </c>
      <c r="G13" s="78" t="s">
        <v>97</v>
      </c>
      <c r="H13" s="78" t="s">
        <v>98</v>
      </c>
      <c r="I13" s="79" t="s">
        <v>99</v>
      </c>
      <c r="J13" s="27"/>
      <c r="K13" s="80" t="s">
        <v>100</v>
      </c>
      <c r="L13" s="78" t="s">
        <v>101</v>
      </c>
      <c r="M13" s="78" t="s">
        <v>102</v>
      </c>
      <c r="N13" s="78" t="s">
        <v>103</v>
      </c>
      <c r="O13" s="78" t="s">
        <v>104</v>
      </c>
      <c r="P13" s="78" t="s">
        <v>105</v>
      </c>
      <c r="Q13" s="78" t="s">
        <v>106</v>
      </c>
      <c r="R13" s="78" t="s">
        <v>107</v>
      </c>
      <c r="S13" s="80" t="s">
        <v>108</v>
      </c>
      <c r="T13" s="78" t="s">
        <v>109</v>
      </c>
      <c r="U13" s="78" t="s">
        <v>110</v>
      </c>
      <c r="V13" s="78" t="s">
        <v>110</v>
      </c>
      <c r="W13" s="78" t="s">
        <v>625</v>
      </c>
      <c r="X13" s="78" t="s">
        <v>625</v>
      </c>
      <c r="Y13" s="78" t="s">
        <v>590</v>
      </c>
      <c r="Z13" s="78" t="s">
        <v>590</v>
      </c>
      <c r="AA13" s="78" t="s">
        <v>626</v>
      </c>
      <c r="AB13" s="78" t="s">
        <v>626</v>
      </c>
      <c r="AC13" s="78" t="s">
        <v>591</v>
      </c>
      <c r="AD13" s="78" t="s">
        <v>591</v>
      </c>
      <c r="AE13" s="78" t="s">
        <v>627</v>
      </c>
      <c r="AF13" s="78" t="s">
        <v>627</v>
      </c>
      <c r="AG13" s="78" t="s">
        <v>592</v>
      </c>
      <c r="AH13" s="78" t="s">
        <v>592</v>
      </c>
      <c r="AI13" s="78" t="s">
        <v>628</v>
      </c>
      <c r="AJ13" s="78" t="s">
        <v>628</v>
      </c>
      <c r="AK13" s="78" t="s">
        <v>593</v>
      </c>
      <c r="AL13" s="78" t="s">
        <v>593</v>
      </c>
      <c r="AM13" s="78" t="s">
        <v>629</v>
      </c>
      <c r="AN13" s="78" t="s">
        <v>629</v>
      </c>
      <c r="AO13" s="78" t="s">
        <v>594</v>
      </c>
      <c r="AP13" s="78" t="s">
        <v>594</v>
      </c>
      <c r="AQ13" s="78" t="s">
        <v>630</v>
      </c>
      <c r="AR13" s="78" t="s">
        <v>630</v>
      </c>
      <c r="AS13" s="78" t="s">
        <v>595</v>
      </c>
      <c r="AT13" s="78" t="s">
        <v>595</v>
      </c>
      <c r="AU13" s="78" t="s">
        <v>631</v>
      </c>
      <c r="AV13" s="78" t="s">
        <v>631</v>
      </c>
      <c r="AW13" s="78" t="s">
        <v>596</v>
      </c>
      <c r="AX13" s="31"/>
    </row>
    <row r="14" spans="1:50" s="26" customFormat="1" ht="13.5" x14ac:dyDescent="0.3">
      <c r="A14" s="62"/>
      <c r="B14" s="246"/>
      <c r="C14" s="246"/>
      <c r="D14" s="246"/>
      <c r="E14" s="130" t="s">
        <v>111</v>
      </c>
      <c r="F14" s="92" t="s">
        <v>112</v>
      </c>
      <c r="G14" s="131" t="s">
        <v>112</v>
      </c>
      <c r="H14" s="131" t="s">
        <v>113</v>
      </c>
      <c r="I14" s="131" t="s">
        <v>113</v>
      </c>
      <c r="J14" s="27"/>
      <c r="K14" s="131" t="s">
        <v>114</v>
      </c>
      <c r="L14" s="131" t="s">
        <v>115</v>
      </c>
      <c r="M14" s="131" t="s">
        <v>115</v>
      </c>
      <c r="N14" s="131" t="s">
        <v>116</v>
      </c>
      <c r="O14" s="131" t="s">
        <v>116</v>
      </c>
      <c r="P14" s="131" t="s">
        <v>117</v>
      </c>
      <c r="Q14" s="131" t="s">
        <v>117</v>
      </c>
      <c r="R14" s="131" t="s">
        <v>118</v>
      </c>
      <c r="S14" s="131" t="s">
        <v>118</v>
      </c>
      <c r="T14" s="131" t="s">
        <v>119</v>
      </c>
      <c r="U14" s="131" t="s">
        <v>119</v>
      </c>
      <c r="V14" s="131" t="s">
        <v>119</v>
      </c>
      <c r="W14" s="131" t="s">
        <v>647</v>
      </c>
      <c r="X14" s="131" t="s">
        <v>647</v>
      </c>
      <c r="Y14" s="131" t="s">
        <v>647</v>
      </c>
      <c r="Z14" s="131" t="s">
        <v>647</v>
      </c>
      <c r="AA14" s="131" t="s">
        <v>648</v>
      </c>
      <c r="AB14" s="131" t="s">
        <v>648</v>
      </c>
      <c r="AC14" s="131" t="s">
        <v>648</v>
      </c>
      <c r="AD14" s="131" t="s">
        <v>648</v>
      </c>
      <c r="AE14" s="131" t="s">
        <v>649</v>
      </c>
      <c r="AF14" s="131" t="s">
        <v>649</v>
      </c>
      <c r="AG14" s="131" t="s">
        <v>649</v>
      </c>
      <c r="AH14" s="131" t="s">
        <v>649</v>
      </c>
      <c r="AI14" s="131" t="s">
        <v>650</v>
      </c>
      <c r="AJ14" s="131" t="s">
        <v>650</v>
      </c>
      <c r="AK14" s="131" t="s">
        <v>650</v>
      </c>
      <c r="AL14" s="131" t="s">
        <v>650</v>
      </c>
      <c r="AM14" s="131" t="s">
        <v>651</v>
      </c>
      <c r="AN14" s="131" t="s">
        <v>651</v>
      </c>
      <c r="AO14" s="131" t="s">
        <v>651</v>
      </c>
      <c r="AP14" s="131" t="s">
        <v>651</v>
      </c>
      <c r="AQ14" s="131" t="s">
        <v>652</v>
      </c>
      <c r="AR14" s="131" t="s">
        <v>652</v>
      </c>
      <c r="AS14" s="131" t="s">
        <v>652</v>
      </c>
      <c r="AT14" s="131" t="s">
        <v>652</v>
      </c>
      <c r="AU14" s="131" t="s">
        <v>653</v>
      </c>
      <c r="AV14" s="131" t="s">
        <v>653</v>
      </c>
      <c r="AW14" s="131" t="s">
        <v>653</v>
      </c>
      <c r="AX14" s="31"/>
    </row>
    <row r="15" spans="1:50" s="26" customFormat="1" ht="13.5" x14ac:dyDescent="0.3">
      <c r="A15" s="62"/>
      <c r="B15" s="56" t="s">
        <v>566</v>
      </c>
      <c r="C15" s="56" t="s">
        <v>120</v>
      </c>
      <c r="D15" s="56" t="s">
        <v>157</v>
      </c>
      <c r="E15" s="56"/>
      <c r="F15" s="132">
        <f>IFERROR($F7*'2e CPIH'!G16/'2e CPIH'!$C$9,"-")</f>
        <v>7.95</v>
      </c>
      <c r="G15" s="132">
        <f>IFERROR($F7*'2e CPIH'!H16/'2e CPIH'!$C$9,"-")</f>
        <v>8.0511252446183956</v>
      </c>
      <c r="H15" s="132">
        <f>IFERROR($F7*'2e CPIH'!I16/'2e CPIH'!$C$9,"-")</f>
        <v>8.1678082191780828</v>
      </c>
      <c r="I15" s="132">
        <f>IFERROR($F7*'2e CPIH'!J16/'2e CPIH'!$C$9,"-")</f>
        <v>8.2378180039138957</v>
      </c>
      <c r="J15" s="27"/>
      <c r="K15" s="132">
        <f>IFERROR($F7*'2e CPIH'!L16/'2e CPIH'!$C$9,"-")</f>
        <v>8.2378180039138957</v>
      </c>
      <c r="L15" s="132">
        <f>IFERROR($F7*'2e CPIH'!M16/'2e CPIH'!$C$9,"-")</f>
        <v>8.3311643835616422</v>
      </c>
      <c r="M15" s="132">
        <f>IFERROR($F7*'2e CPIH'!N16/'2e CPIH'!$C$9,"-")</f>
        <v>8.3933953033268107</v>
      </c>
      <c r="N15" s="132">
        <f>IFERROR($F7*'2e CPIH'!O16/'2e CPIH'!$C$9,"-")</f>
        <v>8.4400684931506849</v>
      </c>
      <c r="O15" s="132">
        <f>IFERROR($F7*'2e CPIH'!P16/'2e CPIH'!$C$9,"-")</f>
        <v>8.4634050880626219</v>
      </c>
      <c r="P15" s="132">
        <f>IFERROR($F7*'2e CPIH'!Q16/'2e CPIH'!$C$9,"-")</f>
        <v>8.5100782778864978</v>
      </c>
      <c r="Q15" s="132">
        <f>IFERROR($F7*'2e CPIH'!R16/'2e CPIH'!$C$9,"-")</f>
        <v>8.6656555772994146</v>
      </c>
      <c r="R15" s="132">
        <f>IFERROR($F7*'2e CPIH'!S16/'2e CPIH'!$C$9,"-")</f>
        <v>8.9223581213307241</v>
      </c>
      <c r="S15" s="132">
        <f>IFERROR($F7*'2e CPIH'!T16/'2e CPIH'!$C$9,"-")</f>
        <v>9.3735322896281801</v>
      </c>
      <c r="T15" s="132">
        <f>IFERROR($F7*'2e CPIH'!U16/'2e CPIH'!$C$9,"-")</f>
        <v>9.7469178082191785</v>
      </c>
      <c r="U15" s="132" t="str">
        <f>IFERROR($F7*'2e CPIH'!V16/'2e CPIH'!$C$9,"-")</f>
        <v>-</v>
      </c>
      <c r="V15" s="132" t="str">
        <f>IFERROR($F7*'2e CPIH'!W16/'2e CPIH'!$C$9,"-")</f>
        <v>-</v>
      </c>
      <c r="W15" s="132" t="str">
        <f>IFERROR($F7*'2e CPIH'!X16/'2e CPIH'!$C$9,"-")</f>
        <v>-</v>
      </c>
      <c r="X15" s="132" t="str">
        <f>IFERROR($F7*'2e CPIH'!Y16/'2e CPIH'!$C$9,"-")</f>
        <v>-</v>
      </c>
      <c r="Y15" s="132" t="str">
        <f>IFERROR($F7*'2e CPIH'!Z16/'2e CPIH'!$C$9,"-")</f>
        <v>-</v>
      </c>
      <c r="Z15" s="132" t="str">
        <f>IFERROR($F7*'2e CPIH'!AA16/'2e CPIH'!$C$9,"-")</f>
        <v>-</v>
      </c>
      <c r="AA15" s="132" t="str">
        <f>IFERROR($F7*'2e CPIH'!AB16/'2e CPIH'!$C$9,"-")</f>
        <v>-</v>
      </c>
      <c r="AB15" s="132" t="str">
        <f>IFERROR($F7*'2e CPIH'!AC16/'2e CPIH'!$C$9,"-")</f>
        <v>-</v>
      </c>
      <c r="AC15" s="132" t="str">
        <f>IFERROR($F7*'2e CPIH'!AD16/'2e CPIH'!$C$9,"-")</f>
        <v>-</v>
      </c>
      <c r="AD15" s="132" t="str">
        <f>IFERROR($F7*'2e CPIH'!AE16/'2e CPIH'!$C$9,"-")</f>
        <v>-</v>
      </c>
      <c r="AE15" s="132" t="str">
        <f>IFERROR($F7*'2e CPIH'!AF16/'2e CPIH'!$C$9,"-")</f>
        <v>-</v>
      </c>
      <c r="AF15" s="132" t="str">
        <f>IFERROR($F7*'2e CPIH'!AG16/'2e CPIH'!$C$9,"-")</f>
        <v>-</v>
      </c>
      <c r="AG15" s="132" t="str">
        <f>IFERROR($F7*'2e CPIH'!AH16/'2e CPIH'!$C$9,"-")</f>
        <v>-</v>
      </c>
      <c r="AH15" s="132" t="str">
        <f>IFERROR($F7*'2e CPIH'!AI16/'2e CPIH'!$C$9,"-")</f>
        <v>-</v>
      </c>
      <c r="AI15" s="132" t="str">
        <f>IFERROR($F7*'2e CPIH'!AJ16/'2e CPIH'!$C$9,"-")</f>
        <v>-</v>
      </c>
      <c r="AJ15" s="132" t="str">
        <f>IFERROR($F7*'2e CPIH'!AK16/'2e CPIH'!$C$9,"-")</f>
        <v>-</v>
      </c>
      <c r="AK15" s="132" t="str">
        <f>IFERROR($F7*'2e CPIH'!AL16/'2e CPIH'!$C$9,"-")</f>
        <v>-</v>
      </c>
      <c r="AL15" s="132" t="str">
        <f>IFERROR($F7*'2e CPIH'!AM16/'2e CPIH'!$C$9,"-")</f>
        <v>-</v>
      </c>
      <c r="AM15" s="132" t="str">
        <f>IFERROR($F7*'2e CPIH'!AN16/'2e CPIH'!$C$9,"-")</f>
        <v>-</v>
      </c>
      <c r="AN15" s="132" t="str">
        <f>IFERROR($F7*'2e CPIH'!AO16/'2e CPIH'!$C$9,"-")</f>
        <v>-</v>
      </c>
      <c r="AO15" s="132" t="str">
        <f>IFERROR($F7*'2e CPIH'!AP16/'2e CPIH'!$C$9,"-")</f>
        <v>-</v>
      </c>
      <c r="AP15" s="132" t="str">
        <f>IFERROR($F7*'2e CPIH'!AQ16/'2e CPIH'!$C$9,"-")</f>
        <v>-</v>
      </c>
      <c r="AQ15" s="132" t="str">
        <f>IFERROR($F7*'2e CPIH'!AR16/'2e CPIH'!$C$9,"-")</f>
        <v>-</v>
      </c>
      <c r="AR15" s="132" t="str">
        <f>IFERROR($F7*'2e CPIH'!AS16/'2e CPIH'!$C$9,"-")</f>
        <v>-</v>
      </c>
      <c r="AS15" s="132" t="str">
        <f>IFERROR($F7*'2e CPIH'!AT16/'2e CPIH'!$C$9,"-")</f>
        <v>-</v>
      </c>
      <c r="AT15" s="132" t="str">
        <f>IFERROR($F7*'2e CPIH'!AU16/'2e CPIH'!$C$9,"-")</f>
        <v>-</v>
      </c>
      <c r="AU15" s="132" t="str">
        <f>IFERROR($F7*'2e CPIH'!AV16/'2e CPIH'!$C$9,"-")</f>
        <v>-</v>
      </c>
      <c r="AV15" s="132" t="str">
        <f>IFERROR($F7*'2e CPIH'!AW16/'2e CPIH'!$C$9,"-")</f>
        <v>-</v>
      </c>
      <c r="AW15" s="132" t="str">
        <f>IFERROR($F7*'2e CPIH'!AX16/'2e CPIH'!$C$9,"-")</f>
        <v>-</v>
      </c>
      <c r="AX15" s="31"/>
    </row>
    <row r="16" spans="1:50" s="26" customFormat="1" ht="13.5" x14ac:dyDescent="0.3">
      <c r="A16" s="62"/>
      <c r="B16" s="56" t="s">
        <v>566</v>
      </c>
      <c r="C16" s="56" t="s">
        <v>130</v>
      </c>
      <c r="D16" s="56" t="s">
        <v>157</v>
      </c>
      <c r="E16" s="56"/>
      <c r="F16" s="132">
        <f>IFERROR($F8*'2e CPIH'!G16/'2e CPIH'!$C$9,"-")</f>
        <v>8.9700000000000006</v>
      </c>
      <c r="G16" s="132">
        <f>IFERROR($F8*'2e CPIH'!H16/'2e CPIH'!$C$9,"-")</f>
        <v>9.0840998043052839</v>
      </c>
      <c r="H16" s="132">
        <f>IFERROR($F8*'2e CPIH'!I16/'2e CPIH'!$C$9,"-")</f>
        <v>9.2157534246575334</v>
      </c>
      <c r="I16" s="132">
        <f>IFERROR($F8*'2e CPIH'!J16/'2e CPIH'!$C$9,"-")</f>
        <v>9.2947455968688857</v>
      </c>
      <c r="J16" s="27"/>
      <c r="K16" s="132">
        <f>IFERROR($F8*'2e CPIH'!L16/'2e CPIH'!$C$9,"-")</f>
        <v>9.2947455968688857</v>
      </c>
      <c r="L16" s="132">
        <f>IFERROR($F8*'2e CPIH'!M16/'2e CPIH'!$C$9,"-")</f>
        <v>9.4000684931506839</v>
      </c>
      <c r="M16" s="132">
        <f>IFERROR($F8*'2e CPIH'!N16/'2e CPIH'!$C$9,"-")</f>
        <v>9.470283757338553</v>
      </c>
      <c r="N16" s="132">
        <f>IFERROR($F8*'2e CPIH'!O16/'2e CPIH'!$C$9,"-")</f>
        <v>9.5229452054794521</v>
      </c>
      <c r="O16" s="132">
        <f>IFERROR($F8*'2e CPIH'!P16/'2e CPIH'!$C$9,"-")</f>
        <v>9.5492759295499017</v>
      </c>
      <c r="P16" s="132">
        <f>IFERROR($F8*'2e CPIH'!Q16/'2e CPIH'!$C$9,"-")</f>
        <v>9.6019373776908026</v>
      </c>
      <c r="Q16" s="132">
        <f>IFERROR($F8*'2e CPIH'!R16/'2e CPIH'!$C$9,"-")</f>
        <v>9.7774755381604717</v>
      </c>
      <c r="R16" s="132">
        <f>IFERROR($F8*'2e CPIH'!S16/'2e CPIH'!$C$9,"-")</f>
        <v>10.067113502935422</v>
      </c>
      <c r="S16" s="132">
        <f>IFERROR($F8*'2e CPIH'!T16/'2e CPIH'!$C$9,"-")</f>
        <v>10.576174168297456</v>
      </c>
      <c r="T16" s="132">
        <f>IFERROR($F8*'2e CPIH'!U16/'2e CPIH'!$C$9,"-")</f>
        <v>10.997465753424658</v>
      </c>
      <c r="U16" s="132" t="str">
        <f>IFERROR($F8*'2e CPIH'!V16/'2e CPIH'!$C$9,"-")</f>
        <v>-</v>
      </c>
      <c r="V16" s="132" t="str">
        <f>IFERROR($F8*'2e CPIH'!W16/'2e CPIH'!$C$9,"-")</f>
        <v>-</v>
      </c>
      <c r="W16" s="132" t="str">
        <f>IFERROR($F8*'2e CPIH'!X16/'2e CPIH'!$C$9,"-")</f>
        <v>-</v>
      </c>
      <c r="X16" s="132" t="str">
        <f>IFERROR($F8*'2e CPIH'!Y16/'2e CPIH'!$C$9,"-")</f>
        <v>-</v>
      </c>
      <c r="Y16" s="132" t="str">
        <f>IFERROR($F8*'2e CPIH'!Z16/'2e CPIH'!$C$9,"-")</f>
        <v>-</v>
      </c>
      <c r="Z16" s="132" t="str">
        <f>IFERROR($F8*'2e CPIH'!AA16/'2e CPIH'!$C$9,"-")</f>
        <v>-</v>
      </c>
      <c r="AA16" s="132" t="str">
        <f>IFERROR($F8*'2e CPIH'!AB16/'2e CPIH'!$C$9,"-")</f>
        <v>-</v>
      </c>
      <c r="AB16" s="132" t="str">
        <f>IFERROR($F8*'2e CPIH'!AC16/'2e CPIH'!$C$9,"-")</f>
        <v>-</v>
      </c>
      <c r="AC16" s="132" t="str">
        <f>IFERROR($F8*'2e CPIH'!AD16/'2e CPIH'!$C$9,"-")</f>
        <v>-</v>
      </c>
      <c r="AD16" s="132" t="str">
        <f>IFERROR($F8*'2e CPIH'!AE16/'2e CPIH'!$C$9,"-")</f>
        <v>-</v>
      </c>
      <c r="AE16" s="132" t="str">
        <f>IFERROR($F8*'2e CPIH'!AF16/'2e CPIH'!$C$9,"-")</f>
        <v>-</v>
      </c>
      <c r="AF16" s="132" t="str">
        <f>IFERROR($F8*'2e CPIH'!AG16/'2e CPIH'!$C$9,"-")</f>
        <v>-</v>
      </c>
      <c r="AG16" s="132" t="str">
        <f>IFERROR($F8*'2e CPIH'!AH16/'2e CPIH'!$C$9,"-")</f>
        <v>-</v>
      </c>
      <c r="AH16" s="132" t="str">
        <f>IFERROR($F8*'2e CPIH'!AI16/'2e CPIH'!$C$9,"-")</f>
        <v>-</v>
      </c>
      <c r="AI16" s="132" t="str">
        <f>IFERROR($F8*'2e CPIH'!AJ16/'2e CPIH'!$C$9,"-")</f>
        <v>-</v>
      </c>
      <c r="AJ16" s="132" t="str">
        <f>IFERROR($F8*'2e CPIH'!AK16/'2e CPIH'!$C$9,"-")</f>
        <v>-</v>
      </c>
      <c r="AK16" s="132" t="str">
        <f>IFERROR($F8*'2e CPIH'!AL16/'2e CPIH'!$C$9,"-")</f>
        <v>-</v>
      </c>
      <c r="AL16" s="132" t="str">
        <f>IFERROR($F8*'2e CPIH'!AM16/'2e CPIH'!$C$9,"-")</f>
        <v>-</v>
      </c>
      <c r="AM16" s="132" t="str">
        <f>IFERROR($F8*'2e CPIH'!AN16/'2e CPIH'!$C$9,"-")</f>
        <v>-</v>
      </c>
      <c r="AN16" s="132" t="str">
        <f>IFERROR($F8*'2e CPIH'!AO16/'2e CPIH'!$C$9,"-")</f>
        <v>-</v>
      </c>
      <c r="AO16" s="132" t="str">
        <f>IFERROR($F8*'2e CPIH'!AP16/'2e CPIH'!$C$9,"-")</f>
        <v>-</v>
      </c>
      <c r="AP16" s="132" t="str">
        <f>IFERROR($F8*'2e CPIH'!AQ16/'2e CPIH'!$C$9,"-")</f>
        <v>-</v>
      </c>
      <c r="AQ16" s="132" t="str">
        <f>IFERROR($F8*'2e CPIH'!AR16/'2e CPIH'!$C$9,"-")</f>
        <v>-</v>
      </c>
      <c r="AR16" s="132" t="str">
        <f>IFERROR($F8*'2e CPIH'!AS16/'2e CPIH'!$C$9,"-")</f>
        <v>-</v>
      </c>
      <c r="AS16" s="132" t="str">
        <f>IFERROR($F8*'2e CPIH'!AT16/'2e CPIH'!$C$9,"-")</f>
        <v>-</v>
      </c>
      <c r="AT16" s="132" t="str">
        <f>IFERROR($F8*'2e CPIH'!AU16/'2e CPIH'!$C$9,"-")</f>
        <v>-</v>
      </c>
      <c r="AU16" s="132" t="str">
        <f>IFERROR($F8*'2e CPIH'!AV16/'2e CPIH'!$C$9,"-")</f>
        <v>-</v>
      </c>
      <c r="AV16" s="132" t="str">
        <f>IFERROR($F8*'2e CPIH'!AW16/'2e CPIH'!$C$9,"-")</f>
        <v>-</v>
      </c>
      <c r="AW16" s="132" t="str">
        <f>IFERROR($F8*'2e CPIH'!AX16/'2e CPIH'!$C$9,"-")</f>
        <v>-</v>
      </c>
      <c r="AX16" s="31"/>
    </row>
    <row r="17" ht="64.650000000000006" customHeight="1" x14ac:dyDescent="0.3"/>
    <row r="18" ht="31.5" hidden="1" customHeight="1" x14ac:dyDescent="0.3"/>
    <row r="19" ht="17.25" hidden="1" customHeight="1" x14ac:dyDescent="0.3"/>
    <row r="20" ht="54" hidden="1" customHeight="1" x14ac:dyDescent="0.3"/>
  </sheetData>
  <mergeCells count="10">
    <mergeCell ref="K10:AW10"/>
    <mergeCell ref="K11:AW11"/>
    <mergeCell ref="F11:I11"/>
    <mergeCell ref="B3:E3"/>
    <mergeCell ref="B10:B14"/>
    <mergeCell ref="C10:C14"/>
    <mergeCell ref="D10:D14"/>
    <mergeCell ref="E10:E11"/>
    <mergeCell ref="F10:I10"/>
    <mergeCell ref="C7:C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autoPageBreaks="0"/>
  </sheetPr>
  <dimension ref="A1"/>
  <sheetViews>
    <sheetView workbookViewId="0"/>
  </sheetViews>
  <sheetFormatPr defaultRowHeight="14.5" x14ac:dyDescent="0.35"/>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5050"/>
    <pageSetUpPr autoPageBreaks="0"/>
  </sheetPr>
  <dimension ref="A1:AA41"/>
  <sheetViews>
    <sheetView workbookViewId="0"/>
  </sheetViews>
  <sheetFormatPr defaultRowHeight="14.5" x14ac:dyDescent="0.35"/>
  <cols>
    <col min="2" max="2" width="25.453125" bestFit="1" customWidth="1"/>
    <col min="3" max="4" width="20.90625" customWidth="1"/>
  </cols>
  <sheetData>
    <row r="1" spans="1:27" s="9" customFormat="1" ht="13.5" x14ac:dyDescent="0.3">
      <c r="A1" s="177"/>
    </row>
    <row r="2" spans="1:27" s="9" customFormat="1" ht="17.5" x14ac:dyDescent="0.35">
      <c r="B2" s="10" t="s">
        <v>567</v>
      </c>
      <c r="C2" s="10"/>
      <c r="D2" s="10"/>
      <c r="E2" s="10"/>
      <c r="F2" s="10"/>
      <c r="G2" s="10"/>
      <c r="H2" s="10"/>
      <c r="I2" s="10"/>
      <c r="Q2" s="10"/>
    </row>
    <row r="3" spans="1:27" s="9" customFormat="1" ht="12.75" customHeight="1" x14ac:dyDescent="0.3">
      <c r="B3" s="264" t="s">
        <v>568</v>
      </c>
      <c r="C3" s="265"/>
      <c r="D3" s="265"/>
      <c r="E3" s="265"/>
      <c r="F3" s="265"/>
      <c r="G3" s="265"/>
      <c r="H3" s="265"/>
      <c r="I3" s="265"/>
      <c r="J3" s="265"/>
      <c r="K3" s="265"/>
      <c r="L3" s="265"/>
      <c r="M3" s="265"/>
      <c r="N3" s="265"/>
      <c r="O3" s="265"/>
      <c r="P3" s="265"/>
      <c r="Q3" s="265"/>
      <c r="R3" s="265"/>
      <c r="S3" s="11"/>
      <c r="T3" s="11"/>
      <c r="U3" s="11"/>
      <c r="V3" s="11"/>
      <c r="W3" s="11"/>
      <c r="X3" s="11"/>
      <c r="Y3" s="11"/>
      <c r="Z3" s="11"/>
      <c r="AA3" s="11"/>
    </row>
    <row r="4" spans="1:27" s="9" customFormat="1" ht="13.5" x14ac:dyDescent="0.3"/>
    <row r="5" spans="1:27" s="4" customFormat="1" x14ac:dyDescent="0.35">
      <c r="A5" s="133"/>
      <c r="B5" s="8" t="s">
        <v>569</v>
      </c>
      <c r="C5" s="133"/>
      <c r="D5" s="133"/>
      <c r="E5" s="133"/>
    </row>
    <row r="6" spans="1:27" x14ac:dyDescent="0.35">
      <c r="A6" s="61"/>
      <c r="B6" s="61"/>
      <c r="C6" s="61"/>
      <c r="D6" s="61"/>
      <c r="E6" s="61"/>
    </row>
    <row r="7" spans="1:27" x14ac:dyDescent="0.35">
      <c r="A7" s="61"/>
      <c r="B7" s="61"/>
      <c r="C7" s="134" t="s">
        <v>570</v>
      </c>
      <c r="D7" s="135" t="s">
        <v>571</v>
      </c>
      <c r="E7" s="61"/>
    </row>
    <row r="8" spans="1:27" ht="27" x14ac:dyDescent="0.35">
      <c r="A8" s="61"/>
      <c r="B8" s="61"/>
      <c r="C8" s="136" t="s">
        <v>84</v>
      </c>
      <c r="D8" s="137" t="s">
        <v>85</v>
      </c>
      <c r="E8" s="61"/>
    </row>
    <row r="9" spans="1:27" x14ac:dyDescent="0.35">
      <c r="A9" s="61"/>
      <c r="B9" s="28"/>
      <c r="C9" s="61"/>
      <c r="D9" s="61"/>
      <c r="E9" s="61"/>
    </row>
    <row r="10" spans="1:27" x14ac:dyDescent="0.35">
      <c r="A10" s="61"/>
      <c r="B10" s="61" t="s">
        <v>572</v>
      </c>
      <c r="C10" s="61">
        <v>441.7</v>
      </c>
      <c r="D10" s="61">
        <v>617</v>
      </c>
      <c r="E10" s="61"/>
    </row>
    <row r="11" spans="1:27" x14ac:dyDescent="0.35">
      <c r="A11" s="61"/>
      <c r="B11" s="42" t="s">
        <v>573</v>
      </c>
      <c r="C11" s="61" t="e">
        <f>NA()</f>
        <v>#N/A</v>
      </c>
      <c r="D11" s="138">
        <f>(D10-C10)/C10</f>
        <v>0.3968757074937741</v>
      </c>
      <c r="E11" s="61"/>
    </row>
    <row r="12" spans="1:27" x14ac:dyDescent="0.35">
      <c r="A12" s="61"/>
      <c r="B12" s="61" t="s">
        <v>574</v>
      </c>
      <c r="C12" s="139">
        <f>'2c DCC'!K54</f>
        <v>8.5516161549312244</v>
      </c>
      <c r="D12" s="139">
        <f>C12*(1+D$11)</f>
        <v>11.945544866634743</v>
      </c>
      <c r="E12" s="61"/>
    </row>
    <row r="13" spans="1:27" x14ac:dyDescent="0.35">
      <c r="A13" s="61"/>
      <c r="B13" s="61" t="s">
        <v>575</v>
      </c>
      <c r="C13" s="139">
        <f>'2c DCC'!K55</f>
        <v>6.6215397542612262</v>
      </c>
      <c r="D13" s="139">
        <f>C13*(1+D$11)</f>
        <v>9.2494680289318012</v>
      </c>
      <c r="E13" s="61"/>
    </row>
    <row r="14" spans="1:27" x14ac:dyDescent="0.35">
      <c r="A14" s="61"/>
      <c r="B14" s="140" t="s">
        <v>181</v>
      </c>
      <c r="C14" s="141">
        <f>SUM(C12:C13)</f>
        <v>15.173155909192451</v>
      </c>
      <c r="D14" s="141">
        <f>SUM(D12:D13)</f>
        <v>21.195012895566542</v>
      </c>
      <c r="E14" s="61"/>
    </row>
    <row r="15" spans="1:27" x14ac:dyDescent="0.35">
      <c r="A15" s="61"/>
      <c r="B15" s="61"/>
      <c r="C15" s="61"/>
      <c r="D15" s="61"/>
      <c r="E15" s="61"/>
    </row>
    <row r="16" spans="1:27" x14ac:dyDescent="0.35">
      <c r="A16" s="61"/>
      <c r="B16" s="61"/>
      <c r="C16" s="61"/>
      <c r="D16" s="61"/>
      <c r="E16" s="61"/>
    </row>
    <row r="17" spans="1:10" x14ac:dyDescent="0.35">
      <c r="A17" s="61"/>
      <c r="B17" s="61"/>
      <c r="C17" s="61"/>
      <c r="D17" s="61"/>
      <c r="E17" s="61"/>
    </row>
    <row r="18" spans="1:10" s="4" customFormat="1" x14ac:dyDescent="0.35">
      <c r="A18" s="133"/>
      <c r="B18" s="8" t="s">
        <v>576</v>
      </c>
      <c r="C18" s="133"/>
      <c r="D18" s="133"/>
      <c r="E18" s="133"/>
    </row>
    <row r="19" spans="1:10" x14ac:dyDescent="0.35">
      <c r="A19" s="61"/>
      <c r="B19" s="61"/>
      <c r="C19" s="61"/>
      <c r="D19" s="61"/>
      <c r="E19" s="61"/>
    </row>
    <row r="20" spans="1:10" x14ac:dyDescent="0.35">
      <c r="A20" s="61"/>
      <c r="B20" s="61"/>
      <c r="C20" s="134" t="s">
        <v>570</v>
      </c>
      <c r="D20" s="135" t="s">
        <v>571</v>
      </c>
      <c r="E20" s="61"/>
    </row>
    <row r="21" spans="1:10" ht="27" x14ac:dyDescent="0.35">
      <c r="A21" s="61"/>
      <c r="B21" s="61"/>
      <c r="C21" s="136" t="s">
        <v>84</v>
      </c>
      <c r="D21" s="137" t="s">
        <v>85</v>
      </c>
      <c r="E21" s="61"/>
    </row>
    <row r="22" spans="1:10" x14ac:dyDescent="0.35">
      <c r="A22" s="61"/>
      <c r="B22" s="61" t="s">
        <v>577</v>
      </c>
      <c r="C22" s="61">
        <v>106</v>
      </c>
      <c r="D22" s="61">
        <v>107</v>
      </c>
      <c r="E22" s="61"/>
    </row>
    <row r="23" spans="1:10" x14ac:dyDescent="0.35">
      <c r="A23" s="61"/>
      <c r="B23" s="42" t="s">
        <v>578</v>
      </c>
      <c r="C23" s="61" t="e">
        <f>NA()</f>
        <v>#N/A</v>
      </c>
      <c r="D23" s="138">
        <f>1-(C22/D22)</f>
        <v>9.3457943925233655E-3</v>
      </c>
      <c r="E23" s="61"/>
    </row>
    <row r="24" spans="1:10" x14ac:dyDescent="0.35">
      <c r="A24" s="61"/>
      <c r="B24" s="61" t="s">
        <v>574</v>
      </c>
      <c r="C24" s="139">
        <f>'2b SEGB'!K33</f>
        <v>1.0458017167360125</v>
      </c>
      <c r="D24" s="139">
        <f>C24*(1+D$23)</f>
        <v>1.0555755645559755</v>
      </c>
      <c r="E24" s="61"/>
    </row>
    <row r="25" spans="1:10" x14ac:dyDescent="0.35">
      <c r="A25" s="61"/>
      <c r="B25" s="61" t="s">
        <v>575</v>
      </c>
      <c r="C25" s="139">
        <f>'2b SEGB'!K34</f>
        <v>1.0458017167360125</v>
      </c>
      <c r="D25" s="139">
        <f>C25*(1+D$23)</f>
        <v>1.0555755645559755</v>
      </c>
      <c r="E25" s="61"/>
    </row>
    <row r="26" spans="1:10" x14ac:dyDescent="0.35">
      <c r="A26" s="61"/>
      <c r="B26" s="140" t="s">
        <v>181</v>
      </c>
      <c r="C26" s="141">
        <f>SUM(C24:C25)</f>
        <v>2.091603433472025</v>
      </c>
      <c r="D26" s="141">
        <f>SUM(D24:D25)</f>
        <v>2.1111511291119509</v>
      </c>
      <c r="E26" s="61"/>
      <c r="J26" s="45"/>
    </row>
    <row r="27" spans="1:10" x14ac:dyDescent="0.35">
      <c r="A27" s="61"/>
      <c r="B27" s="61"/>
      <c r="C27" s="61"/>
      <c r="D27" s="61"/>
      <c r="E27" s="61"/>
    </row>
    <row r="28" spans="1:10" x14ac:dyDescent="0.35">
      <c r="A28" s="61"/>
      <c r="B28" s="61"/>
      <c r="C28" s="61"/>
      <c r="D28" s="61"/>
      <c r="E28" s="61"/>
    </row>
    <row r="29" spans="1:10" x14ac:dyDescent="0.35">
      <c r="A29" s="61"/>
      <c r="B29" s="61"/>
      <c r="C29" s="61"/>
      <c r="D29" s="61"/>
      <c r="E29" s="61"/>
    </row>
    <row r="30" spans="1:10" x14ac:dyDescent="0.35">
      <c r="A30" s="61"/>
      <c r="B30" s="61"/>
      <c r="C30" s="61"/>
      <c r="D30" s="61"/>
      <c r="E30" s="61"/>
    </row>
    <row r="31" spans="1:10" x14ac:dyDescent="0.35">
      <c r="A31" s="61"/>
      <c r="B31" s="61"/>
      <c r="C31" s="61"/>
      <c r="D31" s="61"/>
      <c r="E31" s="61"/>
    </row>
    <row r="32" spans="1:10" s="4" customFormat="1" x14ac:dyDescent="0.35">
      <c r="A32" s="133"/>
      <c r="B32" s="8" t="s">
        <v>579</v>
      </c>
      <c r="C32" s="133"/>
      <c r="D32" s="133"/>
      <c r="E32" s="133"/>
    </row>
    <row r="33" spans="1:5" x14ac:dyDescent="0.35">
      <c r="A33" s="61"/>
      <c r="B33" s="61"/>
      <c r="C33" s="61"/>
      <c r="D33" s="61"/>
      <c r="E33" s="61"/>
    </row>
    <row r="34" spans="1:5" x14ac:dyDescent="0.35">
      <c r="A34" s="61"/>
      <c r="B34" s="61"/>
      <c r="C34" s="134" t="s">
        <v>570</v>
      </c>
      <c r="D34" s="135" t="s">
        <v>571</v>
      </c>
      <c r="E34" s="61"/>
    </row>
    <row r="35" spans="1:5" ht="27" x14ac:dyDescent="0.35">
      <c r="A35" s="61"/>
      <c r="B35" s="61"/>
      <c r="C35" s="136" t="s">
        <v>84</v>
      </c>
      <c r="D35" s="137" t="s">
        <v>85</v>
      </c>
      <c r="E35" s="61"/>
    </row>
    <row r="36" spans="1:5" x14ac:dyDescent="0.35">
      <c r="A36" s="61"/>
      <c r="B36" s="61" t="s">
        <v>577</v>
      </c>
      <c r="C36" s="61">
        <v>106</v>
      </c>
      <c r="D36" s="61">
        <v>107</v>
      </c>
      <c r="E36" s="61"/>
    </row>
    <row r="37" spans="1:5" x14ac:dyDescent="0.35">
      <c r="A37" s="61"/>
      <c r="B37" s="42" t="s">
        <v>578</v>
      </c>
      <c r="C37" s="61" t="e">
        <f>NA()</f>
        <v>#N/A</v>
      </c>
      <c r="D37" s="138">
        <f>1-(C36/D36)</f>
        <v>9.3457943925233655E-3</v>
      </c>
      <c r="E37" s="61"/>
    </row>
    <row r="38" spans="1:5" x14ac:dyDescent="0.35">
      <c r="A38" s="61"/>
      <c r="B38" s="61" t="s">
        <v>574</v>
      </c>
      <c r="C38" s="142">
        <f>'2d SMICoP'!K18</f>
        <v>4.8255095738109948E-3</v>
      </c>
      <c r="D38" s="139">
        <f>C38*(1+D$37)</f>
        <v>4.8706077941269863E-3</v>
      </c>
      <c r="E38" s="61"/>
    </row>
    <row r="39" spans="1:5" x14ac:dyDescent="0.35">
      <c r="A39" s="61"/>
      <c r="B39" s="61" t="s">
        <v>575</v>
      </c>
      <c r="C39" s="142">
        <f>'2d SMICoP'!K19</f>
        <v>4.8255095738109948E-3</v>
      </c>
      <c r="D39" s="139">
        <f>C39*(1+D$37)</f>
        <v>4.8706077941269863E-3</v>
      </c>
      <c r="E39" s="61"/>
    </row>
    <row r="40" spans="1:5" x14ac:dyDescent="0.35">
      <c r="A40" s="61"/>
      <c r="B40" s="140" t="s">
        <v>181</v>
      </c>
      <c r="C40" s="141">
        <f>SUM(C38:C39)</f>
        <v>9.6510191476219895E-3</v>
      </c>
      <c r="D40" s="141">
        <f>SUM(D38:D39)</f>
        <v>9.7412155882539726E-3</v>
      </c>
      <c r="E40" s="61"/>
    </row>
    <row r="41" spans="1:5" x14ac:dyDescent="0.35">
      <c r="A41" s="61"/>
      <c r="B41" s="61"/>
      <c r="C41" s="61"/>
      <c r="D41" s="61"/>
      <c r="E41" s="61"/>
    </row>
  </sheetData>
  <mergeCells count="1">
    <mergeCell ref="B3:R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autoPageBreaks="0"/>
  </sheetPr>
  <dimension ref="B2:J36"/>
  <sheetViews>
    <sheetView workbookViewId="0"/>
  </sheetViews>
  <sheetFormatPr defaultRowHeight="14.5" x14ac:dyDescent="0.35"/>
  <cols>
    <col min="2" max="2" width="26.453125" customWidth="1"/>
    <col min="3" max="3" width="21.08984375" customWidth="1"/>
    <col min="4" max="4" width="87.54296875" customWidth="1"/>
  </cols>
  <sheetData>
    <row r="2" spans="2:7" s="8" customFormat="1" ht="13.5" x14ac:dyDescent="0.3">
      <c r="B2" s="8" t="s">
        <v>29</v>
      </c>
    </row>
    <row r="3" spans="2:7" s="47" customFormat="1" ht="13.5" x14ac:dyDescent="0.3">
      <c r="B3" s="61"/>
      <c r="C3" s="61"/>
      <c r="D3" s="61"/>
      <c r="E3" s="61"/>
      <c r="F3" s="61"/>
      <c r="G3" s="61"/>
    </row>
    <row r="4" spans="2:7" s="47" customFormat="1" ht="13.5" x14ac:dyDescent="0.3">
      <c r="B4" s="61" t="s">
        <v>30</v>
      </c>
      <c r="C4" s="61"/>
      <c r="D4" s="61"/>
      <c r="E4" s="61"/>
      <c r="F4" s="61"/>
      <c r="G4" s="61"/>
    </row>
    <row r="5" spans="2:7" s="47" customFormat="1" ht="13.5" x14ac:dyDescent="0.3">
      <c r="B5" s="61"/>
      <c r="C5" s="61"/>
      <c r="D5" s="61"/>
      <c r="E5" s="61"/>
      <c r="F5" s="61"/>
      <c r="G5" s="61"/>
    </row>
    <row r="6" spans="2:7" s="47" customFormat="1" ht="13.5" x14ac:dyDescent="0.3">
      <c r="B6" s="61" t="s">
        <v>31</v>
      </c>
      <c r="C6" s="61"/>
      <c r="D6" s="61"/>
      <c r="E6" s="61"/>
      <c r="F6" s="61"/>
      <c r="G6" s="61"/>
    </row>
    <row r="7" spans="2:7" s="47" customFormat="1" ht="13.5" x14ac:dyDescent="0.3">
      <c r="B7" s="61"/>
      <c r="C7" s="61"/>
      <c r="D7" s="61"/>
      <c r="E7" s="61"/>
      <c r="F7" s="61"/>
      <c r="G7" s="61"/>
    </row>
    <row r="8" spans="2:7" s="47" customFormat="1" ht="12.75" customHeight="1" x14ac:dyDescent="0.3">
      <c r="B8" s="61"/>
      <c r="C8" s="61"/>
      <c r="D8" s="61"/>
      <c r="E8" s="61"/>
      <c r="F8" s="61"/>
      <c r="G8" s="61"/>
    </row>
    <row r="9" spans="2:7" s="47" customFormat="1" ht="13.5" x14ac:dyDescent="0.3">
      <c r="B9" s="63"/>
      <c r="C9" s="64" t="s">
        <v>32</v>
      </c>
      <c r="D9" s="65"/>
      <c r="E9" s="61"/>
      <c r="F9" s="61"/>
      <c r="G9" s="61"/>
    </row>
    <row r="10" spans="2:7" s="47" customFormat="1" ht="13.5" x14ac:dyDescent="0.3">
      <c r="B10" s="66"/>
      <c r="C10" s="64" t="s">
        <v>33</v>
      </c>
      <c r="D10" s="65"/>
      <c r="E10" s="62"/>
      <c r="F10" s="62"/>
      <c r="G10" s="62"/>
    </row>
    <row r="11" spans="2:7" s="47" customFormat="1" ht="13.5" x14ac:dyDescent="0.3">
      <c r="B11" s="62"/>
      <c r="C11" s="62"/>
      <c r="D11" s="62"/>
      <c r="E11" s="62"/>
      <c r="F11" s="62"/>
      <c r="G11" s="62"/>
    </row>
    <row r="12" spans="2:7" s="47" customFormat="1" ht="13.5" x14ac:dyDescent="0.3">
      <c r="B12" s="62" t="s">
        <v>34</v>
      </c>
      <c r="C12" s="67"/>
      <c r="D12" s="67"/>
      <c r="E12" s="62"/>
      <c r="F12" s="62"/>
      <c r="G12" s="62"/>
    </row>
    <row r="13" spans="2:7" s="47" customFormat="1" ht="13.5" x14ac:dyDescent="0.3">
      <c r="B13" s="61"/>
      <c r="C13" s="61"/>
      <c r="D13" s="61"/>
      <c r="E13" s="61"/>
      <c r="F13" s="61"/>
      <c r="G13" s="61"/>
    </row>
    <row r="14" spans="2:7" s="8" customFormat="1" ht="13.5" x14ac:dyDescent="0.3">
      <c r="B14" s="8" t="s">
        <v>35</v>
      </c>
    </row>
    <row r="15" spans="2:7" s="47" customFormat="1" ht="13.5" x14ac:dyDescent="0.3">
      <c r="B15" s="61"/>
      <c r="C15" s="61"/>
      <c r="D15" s="61"/>
      <c r="E15" s="61"/>
      <c r="F15" s="61"/>
      <c r="G15" s="61"/>
    </row>
    <row r="16" spans="2:7" s="47" customFormat="1" ht="13.5" x14ac:dyDescent="0.3">
      <c r="B16" s="68" t="s">
        <v>36</v>
      </c>
      <c r="C16" s="68" t="s">
        <v>37</v>
      </c>
      <c r="D16" s="68" t="s">
        <v>29</v>
      </c>
      <c r="E16" s="61"/>
      <c r="F16" s="61"/>
      <c r="G16" s="61"/>
    </row>
    <row r="17" spans="2:4" s="47" customFormat="1" ht="13.5" x14ac:dyDescent="0.3">
      <c r="B17" s="69" t="s">
        <v>38</v>
      </c>
      <c r="C17" s="69" t="s">
        <v>39</v>
      </c>
      <c r="D17" s="70" t="s">
        <v>40</v>
      </c>
    </row>
    <row r="18" spans="2:4" s="47" customFormat="1" ht="13.5" x14ac:dyDescent="0.3">
      <c r="B18" s="69" t="s">
        <v>41</v>
      </c>
      <c r="C18" s="69" t="s">
        <v>39</v>
      </c>
      <c r="D18" s="70" t="s">
        <v>42</v>
      </c>
    </row>
    <row r="19" spans="2:4" s="47" customFormat="1" ht="13.5" x14ac:dyDescent="0.3">
      <c r="B19" s="189" t="s">
        <v>43</v>
      </c>
      <c r="C19" s="190"/>
      <c r="D19" s="191"/>
    </row>
    <row r="20" spans="2:4" s="47" customFormat="1" ht="13.5" x14ac:dyDescent="0.3">
      <c r="B20" s="69" t="s">
        <v>44</v>
      </c>
      <c r="C20" s="69" t="s">
        <v>45</v>
      </c>
      <c r="D20" s="70" t="s">
        <v>46</v>
      </c>
    </row>
    <row r="21" spans="2:4" s="47" customFormat="1" ht="13.5" x14ac:dyDescent="0.3">
      <c r="B21" s="189" t="s">
        <v>47</v>
      </c>
      <c r="C21" s="190"/>
      <c r="D21" s="191"/>
    </row>
    <row r="22" spans="2:4" s="47" customFormat="1" ht="27" x14ac:dyDescent="0.3">
      <c r="B22" s="69" t="s">
        <v>48</v>
      </c>
      <c r="C22" s="69" t="s">
        <v>49</v>
      </c>
      <c r="D22" s="69" t="s">
        <v>50</v>
      </c>
    </row>
    <row r="23" spans="2:4" s="47" customFormat="1" ht="27" x14ac:dyDescent="0.3">
      <c r="B23" s="69" t="s">
        <v>51</v>
      </c>
      <c r="C23" s="69" t="s">
        <v>49</v>
      </c>
      <c r="D23" s="70" t="s">
        <v>52</v>
      </c>
    </row>
    <row r="24" spans="2:4" s="47" customFormat="1" ht="27" x14ac:dyDescent="0.3">
      <c r="B24" s="69" t="s">
        <v>53</v>
      </c>
      <c r="C24" s="69" t="s">
        <v>49</v>
      </c>
      <c r="D24" s="70" t="s">
        <v>54</v>
      </c>
    </row>
    <row r="25" spans="2:4" s="47" customFormat="1" ht="27" x14ac:dyDescent="0.3">
      <c r="B25" s="69" t="s">
        <v>55</v>
      </c>
      <c r="C25" s="69" t="s">
        <v>49</v>
      </c>
      <c r="D25" s="70" t="s">
        <v>56</v>
      </c>
    </row>
    <row r="26" spans="2:4" s="47" customFormat="1" ht="27" x14ac:dyDescent="0.3">
      <c r="B26" s="71" t="s">
        <v>57</v>
      </c>
      <c r="C26" s="69" t="s">
        <v>49</v>
      </c>
      <c r="D26" s="72" t="s">
        <v>58</v>
      </c>
    </row>
    <row r="27" spans="2:4" s="47" customFormat="1" ht="27" x14ac:dyDescent="0.3">
      <c r="B27" s="71" t="s">
        <v>59</v>
      </c>
      <c r="C27" s="69" t="s">
        <v>49</v>
      </c>
      <c r="D27" s="72" t="s">
        <v>60</v>
      </c>
    </row>
    <row r="28" spans="2:4" s="47" customFormat="1" ht="27" x14ac:dyDescent="0.3">
      <c r="B28" s="70" t="s">
        <v>61</v>
      </c>
      <c r="C28" s="70" t="s">
        <v>49</v>
      </c>
      <c r="D28" s="70" t="s">
        <v>62</v>
      </c>
    </row>
    <row r="29" spans="2:4" s="47" customFormat="1" ht="13.5" x14ac:dyDescent="0.3">
      <c r="B29" s="189" t="s">
        <v>63</v>
      </c>
      <c r="C29" s="190"/>
      <c r="D29" s="191"/>
    </row>
    <row r="30" spans="2:4" s="47" customFormat="1" ht="27" x14ac:dyDescent="0.3">
      <c r="B30" s="69" t="s">
        <v>64</v>
      </c>
      <c r="C30" s="69" t="s">
        <v>49</v>
      </c>
      <c r="D30" s="70" t="s">
        <v>65</v>
      </c>
    </row>
    <row r="31" spans="2:4" s="47" customFormat="1" ht="13.5" x14ac:dyDescent="0.3">
      <c r="B31" s="61"/>
      <c r="C31" s="61"/>
      <c r="D31" s="61"/>
    </row>
    <row r="32" spans="2:4" s="8" customFormat="1" ht="13.5" x14ac:dyDescent="0.3">
      <c r="B32" s="8" t="s">
        <v>66</v>
      </c>
    </row>
    <row r="33" spans="2:10" s="47" customFormat="1" ht="13.5" x14ac:dyDescent="0.3">
      <c r="B33" s="61"/>
      <c r="C33" s="61"/>
      <c r="D33" s="61"/>
      <c r="E33" s="61"/>
      <c r="F33" s="61"/>
      <c r="G33" s="61"/>
      <c r="H33" s="61"/>
      <c r="I33" s="61"/>
      <c r="J33" s="61"/>
    </row>
    <row r="34" spans="2:10" s="47" customFormat="1" ht="53.25" customHeight="1" x14ac:dyDescent="0.3">
      <c r="B34" s="192" t="s">
        <v>67</v>
      </c>
      <c r="C34" s="192"/>
      <c r="D34" s="192"/>
      <c r="E34" s="192"/>
      <c r="F34" s="192"/>
      <c r="G34" s="192"/>
      <c r="H34" s="192"/>
      <c r="I34" s="192"/>
      <c r="J34" s="192"/>
    </row>
    <row r="36" spans="2:10" s="8" customFormat="1" ht="13.5" x14ac:dyDescent="0.3">
      <c r="B36" s="8" t="s">
        <v>68</v>
      </c>
    </row>
  </sheetData>
  <mergeCells count="4">
    <mergeCell ref="B21:D21"/>
    <mergeCell ref="B19:D19"/>
    <mergeCell ref="B29:D29"/>
    <mergeCell ref="B34:J34"/>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autoPageBreaks="0"/>
  </sheetPr>
  <dimension ref="A1"/>
  <sheetViews>
    <sheetView workbookViewId="0"/>
  </sheetViews>
  <sheetFormatPr defaultRowHeight="14.5" x14ac:dyDescent="0.3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pageSetUpPr autoPageBreaks="0"/>
  </sheetPr>
  <dimension ref="A1:BC62"/>
  <sheetViews>
    <sheetView topLeftCell="AH3" zoomScale="70" zoomScaleNormal="70" workbookViewId="0">
      <selection activeCell="AH12" sqref="AH12"/>
    </sheetView>
  </sheetViews>
  <sheetFormatPr defaultColWidth="0" defaultRowHeight="14" zeroHeight="1" x14ac:dyDescent="0.3"/>
  <cols>
    <col min="1" max="1" width="9" style="169" customWidth="1"/>
    <col min="2" max="2" width="20" style="169" customWidth="1"/>
    <col min="3" max="3" width="46.54296875" style="169" bestFit="1" customWidth="1"/>
    <col min="4" max="4" width="48.54296875" style="169" customWidth="1"/>
    <col min="5" max="5" width="28.08984375" style="169" customWidth="1"/>
    <col min="6" max="6" width="32.08984375" style="169" customWidth="1"/>
    <col min="7" max="10" width="16.54296875" style="169" customWidth="1"/>
    <col min="11" max="11" width="1.08984375" style="169" customWidth="1"/>
    <col min="12" max="22" width="19" style="31" customWidth="1"/>
    <col min="23" max="50" width="19" style="24" customWidth="1"/>
    <col min="51" max="51" width="9" style="62" customWidth="1"/>
    <col min="52" max="52" width="0" style="26" hidden="1" customWidth="1"/>
    <col min="53" max="55" width="0" style="24" hidden="1" customWidth="1"/>
    <col min="56" max="16384" width="9" style="24" hidden="1"/>
  </cols>
  <sheetData>
    <row r="1" spans="1:55" s="22" customFormat="1" ht="12.75" customHeight="1" x14ac:dyDescent="0.3">
      <c r="L1" s="73"/>
      <c r="M1" s="73"/>
      <c r="N1" s="73"/>
      <c r="O1" s="73"/>
      <c r="P1" s="73"/>
      <c r="Q1" s="73"/>
      <c r="R1" s="73"/>
      <c r="S1" s="73"/>
      <c r="T1" s="73"/>
      <c r="U1" s="73"/>
      <c r="V1" s="73"/>
    </row>
    <row r="2" spans="1:55" s="22" customFormat="1" ht="18.75" customHeight="1" x14ac:dyDescent="0.35">
      <c r="B2" s="5" t="s">
        <v>69</v>
      </c>
      <c r="C2" s="5"/>
      <c r="D2" s="5"/>
      <c r="E2" s="5"/>
      <c r="F2" s="5"/>
      <c r="G2" s="5"/>
      <c r="H2" s="5"/>
      <c r="I2" s="5"/>
      <c r="J2" s="5"/>
      <c r="K2" s="5"/>
      <c r="L2" s="73"/>
      <c r="M2" s="73"/>
      <c r="N2" s="73"/>
      <c r="O2" s="73"/>
      <c r="P2" s="73"/>
      <c r="Q2" s="73"/>
      <c r="R2" s="73"/>
      <c r="S2" s="30"/>
      <c r="T2" s="73"/>
      <c r="U2" s="73"/>
      <c r="V2" s="73"/>
    </row>
    <row r="3" spans="1:55" s="25" customFormat="1" ht="51" customHeight="1" x14ac:dyDescent="0.3">
      <c r="B3" s="211" t="s">
        <v>70</v>
      </c>
      <c r="C3" s="211"/>
      <c r="D3" s="211"/>
      <c r="E3" s="211"/>
      <c r="F3" s="211"/>
      <c r="G3" s="211"/>
      <c r="H3" s="211"/>
      <c r="I3" s="211"/>
      <c r="J3" s="211"/>
      <c r="K3" s="211"/>
      <c r="L3" s="211"/>
      <c r="M3" s="211"/>
      <c r="N3" s="74"/>
      <c r="O3" s="74"/>
      <c r="P3" s="74"/>
      <c r="Q3" s="74"/>
      <c r="R3" s="74"/>
      <c r="S3" s="74"/>
      <c r="T3" s="74"/>
      <c r="U3" s="74"/>
      <c r="V3" s="74"/>
      <c r="W3" s="74"/>
      <c r="X3" s="74"/>
      <c r="Y3" s="74"/>
      <c r="Z3" s="74"/>
      <c r="AA3" s="74"/>
      <c r="AB3" s="74"/>
      <c r="AC3" s="74"/>
    </row>
    <row r="4" spans="1:55" s="25" customFormat="1" ht="12.75" customHeight="1" x14ac:dyDescent="0.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row>
    <row r="5" spans="1:55" s="26" customFormat="1" ht="12.75" customHeight="1" x14ac:dyDescent="0.3">
      <c r="A5" s="3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row>
    <row r="6" spans="1:55" s="26" customFormat="1" ht="12.75" customHeight="1" x14ac:dyDescent="0.3">
      <c r="A6" s="31"/>
      <c r="B6" s="43" t="s">
        <v>71</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row>
    <row r="7" spans="1:55" s="26" customFormat="1" ht="13.5" x14ac:dyDescent="0.3">
      <c r="A7" s="3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row>
    <row r="8" spans="1:55" s="26" customFormat="1" ht="12" customHeight="1" x14ac:dyDescent="0.35">
      <c r="A8" s="31"/>
      <c r="B8" s="224" t="s">
        <v>72</v>
      </c>
      <c r="C8" s="221" t="s">
        <v>73</v>
      </c>
      <c r="D8" s="224" t="s">
        <v>29</v>
      </c>
      <c r="E8" s="218" t="s">
        <v>74</v>
      </c>
      <c r="F8" s="202"/>
      <c r="G8" s="212" t="s">
        <v>75</v>
      </c>
      <c r="H8" s="213"/>
      <c r="I8" s="213"/>
      <c r="J8" s="214"/>
      <c r="K8" s="27"/>
      <c r="L8" s="225" t="s">
        <v>76</v>
      </c>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7"/>
      <c r="AY8" s="62"/>
      <c r="BA8"/>
      <c r="BB8"/>
      <c r="BC8"/>
    </row>
    <row r="9" spans="1:55" s="26" customFormat="1" ht="54.75" customHeight="1" x14ac:dyDescent="0.3">
      <c r="A9" s="31"/>
      <c r="B9" s="224"/>
      <c r="C9" s="222"/>
      <c r="D9" s="224"/>
      <c r="E9" s="219"/>
      <c r="F9" s="202"/>
      <c r="G9" s="215" t="s">
        <v>77</v>
      </c>
      <c r="H9" s="216"/>
      <c r="I9" s="216"/>
      <c r="J9" s="217"/>
      <c r="K9" s="27"/>
      <c r="L9" s="228" t="s">
        <v>78</v>
      </c>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30"/>
      <c r="AY9" s="62"/>
      <c r="AZ9" s="62"/>
    </row>
    <row r="10" spans="1:55" s="29" customFormat="1" ht="36.75" customHeight="1" x14ac:dyDescent="0.3">
      <c r="A10" s="168"/>
      <c r="B10" s="224"/>
      <c r="C10" s="222"/>
      <c r="D10" s="224"/>
      <c r="E10" s="219"/>
      <c r="F10" s="75" t="s">
        <v>79</v>
      </c>
      <c r="G10" s="76" t="s">
        <v>80</v>
      </c>
      <c r="H10" s="76" t="s">
        <v>81</v>
      </c>
      <c r="I10" s="76" t="s">
        <v>82</v>
      </c>
      <c r="J10" s="76" t="s">
        <v>83</v>
      </c>
      <c r="K10" s="27"/>
      <c r="L10" s="76" t="s">
        <v>84</v>
      </c>
      <c r="M10" s="76" t="s">
        <v>85</v>
      </c>
      <c r="N10" s="76" t="s">
        <v>86</v>
      </c>
      <c r="O10" s="76" t="s">
        <v>87</v>
      </c>
      <c r="P10" s="76" t="s">
        <v>88</v>
      </c>
      <c r="Q10" s="76" t="s">
        <v>89</v>
      </c>
      <c r="R10" s="76" t="s">
        <v>90</v>
      </c>
      <c r="S10" s="76" t="s">
        <v>91</v>
      </c>
      <c r="T10" s="76" t="s">
        <v>92</v>
      </c>
      <c r="U10" s="76" t="s">
        <v>93</v>
      </c>
      <c r="V10" s="76" t="s">
        <v>94</v>
      </c>
      <c r="W10" s="76" t="s">
        <v>597</v>
      </c>
      <c r="X10" s="76" t="s">
        <v>598</v>
      </c>
      <c r="Y10" s="76" t="s">
        <v>599</v>
      </c>
      <c r="Z10" s="76" t="s">
        <v>600</v>
      </c>
      <c r="AA10" s="76" t="s">
        <v>632</v>
      </c>
      <c r="AB10" s="76" t="s">
        <v>602</v>
      </c>
      <c r="AC10" s="76" t="s">
        <v>603</v>
      </c>
      <c r="AD10" s="76" t="s">
        <v>604</v>
      </c>
      <c r="AE10" s="76" t="s">
        <v>605</v>
      </c>
      <c r="AF10" s="76" t="s">
        <v>606</v>
      </c>
      <c r="AG10" s="76" t="s">
        <v>607</v>
      </c>
      <c r="AH10" s="76" t="s">
        <v>608</v>
      </c>
      <c r="AI10" s="76" t="s">
        <v>609</v>
      </c>
      <c r="AJ10" s="76" t="s">
        <v>611</v>
      </c>
      <c r="AK10" s="76" t="s">
        <v>612</v>
      </c>
      <c r="AL10" s="76" t="s">
        <v>613</v>
      </c>
      <c r="AM10" s="76" t="s">
        <v>614</v>
      </c>
      <c r="AN10" s="76" t="s">
        <v>610</v>
      </c>
      <c r="AO10" s="76" t="s">
        <v>615</v>
      </c>
      <c r="AP10" s="76" t="s">
        <v>616</v>
      </c>
      <c r="AQ10" s="76" t="s">
        <v>617</v>
      </c>
      <c r="AR10" s="76" t="s">
        <v>618</v>
      </c>
      <c r="AS10" s="76" t="s">
        <v>619</v>
      </c>
      <c r="AT10" s="76" t="s">
        <v>620</v>
      </c>
      <c r="AU10" s="76" t="s">
        <v>621</v>
      </c>
      <c r="AV10" s="76" t="s">
        <v>622</v>
      </c>
      <c r="AW10" s="76" t="s">
        <v>623</v>
      </c>
      <c r="AX10" s="76" t="s">
        <v>624</v>
      </c>
      <c r="AY10" s="62"/>
      <c r="AZ10" s="62"/>
    </row>
    <row r="11" spans="1:55" s="26" customFormat="1" ht="17.25" customHeight="1" x14ac:dyDescent="0.3">
      <c r="A11" s="31"/>
      <c r="B11" s="224"/>
      <c r="C11" s="222"/>
      <c r="D11" s="224"/>
      <c r="E11" s="219"/>
      <c r="F11" s="77" t="s">
        <v>95</v>
      </c>
      <c r="G11" s="78" t="s">
        <v>96</v>
      </c>
      <c r="H11" s="78" t="s">
        <v>97</v>
      </c>
      <c r="I11" s="78" t="s">
        <v>98</v>
      </c>
      <c r="J11" s="79" t="s">
        <v>99</v>
      </c>
      <c r="K11" s="27"/>
      <c r="L11" s="80" t="s">
        <v>100</v>
      </c>
      <c r="M11" s="78" t="s">
        <v>101</v>
      </c>
      <c r="N11" s="78" t="s">
        <v>102</v>
      </c>
      <c r="O11" s="78" t="s">
        <v>103</v>
      </c>
      <c r="P11" s="78" t="s">
        <v>104</v>
      </c>
      <c r="Q11" s="78" t="s">
        <v>105</v>
      </c>
      <c r="R11" s="78" t="s">
        <v>106</v>
      </c>
      <c r="S11" s="80" t="s">
        <v>107</v>
      </c>
      <c r="T11" s="78" t="s">
        <v>108</v>
      </c>
      <c r="U11" s="78" t="s">
        <v>109</v>
      </c>
      <c r="V11" s="78" t="s">
        <v>110</v>
      </c>
      <c r="W11" s="78" t="s">
        <v>110</v>
      </c>
      <c r="X11" s="78" t="s">
        <v>625</v>
      </c>
      <c r="Y11" s="78" t="s">
        <v>625</v>
      </c>
      <c r="Z11" s="78" t="s">
        <v>590</v>
      </c>
      <c r="AA11" s="78" t="s">
        <v>590</v>
      </c>
      <c r="AB11" s="78" t="s">
        <v>626</v>
      </c>
      <c r="AC11" s="78" t="s">
        <v>626</v>
      </c>
      <c r="AD11" s="78" t="s">
        <v>591</v>
      </c>
      <c r="AE11" s="78" t="s">
        <v>591</v>
      </c>
      <c r="AF11" s="78" t="s">
        <v>627</v>
      </c>
      <c r="AG11" s="78" t="s">
        <v>627</v>
      </c>
      <c r="AH11" s="78" t="s">
        <v>592</v>
      </c>
      <c r="AI11" s="78" t="s">
        <v>592</v>
      </c>
      <c r="AJ11" s="78" t="s">
        <v>628</v>
      </c>
      <c r="AK11" s="78" t="s">
        <v>628</v>
      </c>
      <c r="AL11" s="78" t="s">
        <v>593</v>
      </c>
      <c r="AM11" s="78" t="s">
        <v>593</v>
      </c>
      <c r="AN11" s="78" t="s">
        <v>629</v>
      </c>
      <c r="AO11" s="78" t="s">
        <v>629</v>
      </c>
      <c r="AP11" s="78" t="s">
        <v>594</v>
      </c>
      <c r="AQ11" s="78" t="s">
        <v>594</v>
      </c>
      <c r="AR11" s="78" t="s">
        <v>630</v>
      </c>
      <c r="AS11" s="78" t="s">
        <v>630</v>
      </c>
      <c r="AT11" s="78" t="s">
        <v>595</v>
      </c>
      <c r="AU11" s="78" t="s">
        <v>595</v>
      </c>
      <c r="AV11" s="78" t="s">
        <v>631</v>
      </c>
      <c r="AW11" s="78" t="s">
        <v>631</v>
      </c>
      <c r="AX11" s="78" t="s">
        <v>596</v>
      </c>
      <c r="AY11" s="62"/>
      <c r="AZ11" s="62"/>
    </row>
    <row r="12" spans="1:55" s="26" customFormat="1" ht="19.5" customHeight="1" x14ac:dyDescent="0.3">
      <c r="A12" s="31"/>
      <c r="B12" s="224"/>
      <c r="C12" s="223"/>
      <c r="D12" s="224"/>
      <c r="E12" s="220"/>
      <c r="F12" s="77" t="s">
        <v>111</v>
      </c>
      <c r="G12" s="81" t="s">
        <v>112</v>
      </c>
      <c r="H12" s="78" t="s">
        <v>112</v>
      </c>
      <c r="I12" s="78" t="s">
        <v>113</v>
      </c>
      <c r="J12" s="78" t="s">
        <v>113</v>
      </c>
      <c r="K12" s="27"/>
      <c r="L12" s="78" t="s">
        <v>114</v>
      </c>
      <c r="M12" s="78" t="s">
        <v>115</v>
      </c>
      <c r="N12" s="78" t="s">
        <v>115</v>
      </c>
      <c r="O12" s="78" t="s">
        <v>116</v>
      </c>
      <c r="P12" s="78" t="s">
        <v>116</v>
      </c>
      <c r="Q12" s="78" t="s">
        <v>117</v>
      </c>
      <c r="R12" s="78" t="s">
        <v>117</v>
      </c>
      <c r="S12" s="78" t="s">
        <v>118</v>
      </c>
      <c r="T12" s="78" t="s">
        <v>118</v>
      </c>
      <c r="U12" s="78" t="s">
        <v>119</v>
      </c>
      <c r="V12" s="78" t="s">
        <v>119</v>
      </c>
      <c r="W12" s="78" t="s">
        <v>119</v>
      </c>
      <c r="X12" s="78" t="s">
        <v>647</v>
      </c>
      <c r="Y12" s="78" t="s">
        <v>647</v>
      </c>
      <c r="Z12" s="78" t="s">
        <v>647</v>
      </c>
      <c r="AA12" s="78" t="s">
        <v>647</v>
      </c>
      <c r="AB12" s="78" t="s">
        <v>648</v>
      </c>
      <c r="AC12" s="78" t="s">
        <v>648</v>
      </c>
      <c r="AD12" s="78" t="s">
        <v>648</v>
      </c>
      <c r="AE12" s="78" t="s">
        <v>648</v>
      </c>
      <c r="AF12" s="78" t="s">
        <v>649</v>
      </c>
      <c r="AG12" s="78" t="s">
        <v>649</v>
      </c>
      <c r="AH12" s="78" t="s">
        <v>649</v>
      </c>
      <c r="AI12" s="78" t="s">
        <v>649</v>
      </c>
      <c r="AJ12" s="78" t="s">
        <v>650</v>
      </c>
      <c r="AK12" s="78" t="s">
        <v>650</v>
      </c>
      <c r="AL12" s="78" t="s">
        <v>650</v>
      </c>
      <c r="AM12" s="78" t="s">
        <v>650</v>
      </c>
      <c r="AN12" s="78" t="s">
        <v>651</v>
      </c>
      <c r="AO12" s="78" t="s">
        <v>651</v>
      </c>
      <c r="AP12" s="78" t="s">
        <v>651</v>
      </c>
      <c r="AQ12" s="78" t="s">
        <v>651</v>
      </c>
      <c r="AR12" s="78" t="s">
        <v>652</v>
      </c>
      <c r="AS12" s="78" t="s">
        <v>652</v>
      </c>
      <c r="AT12" s="78" t="s">
        <v>652</v>
      </c>
      <c r="AU12" s="78" t="s">
        <v>652</v>
      </c>
      <c r="AV12" s="78" t="s">
        <v>653</v>
      </c>
      <c r="AW12" s="78" t="s">
        <v>653</v>
      </c>
      <c r="AX12" s="78" t="s">
        <v>653</v>
      </c>
      <c r="AY12" s="62"/>
      <c r="AZ12" s="62"/>
    </row>
    <row r="13" spans="1:55" s="26" customFormat="1" ht="13.5" x14ac:dyDescent="0.3">
      <c r="A13" s="31"/>
      <c r="B13" s="203" t="s">
        <v>120</v>
      </c>
      <c r="C13" s="232" t="s">
        <v>121</v>
      </c>
      <c r="D13" s="56" t="s">
        <v>122</v>
      </c>
      <c r="E13" s="56" t="s">
        <v>123</v>
      </c>
      <c r="F13" s="209"/>
      <c r="G13" s="82">
        <f>IF('2c DCC'!F54=0,"-",'2c DCC'!F54)</f>
        <v>5.9060216182828906</v>
      </c>
      <c r="H13" s="82">
        <f>IF('2c DCC'!G54=0,"-",'2c DCC'!G54)</f>
        <v>5.7860216182828905</v>
      </c>
      <c r="I13" s="82">
        <f>IF('2c DCC'!H54=0,"-",'2c DCC'!H54)</f>
        <v>8.4153693638048175</v>
      </c>
      <c r="J13" s="82">
        <f>IF('2c DCC'!I54=0,"-",'2c DCC'!I54)</f>
        <v>8.5516161549312244</v>
      </c>
      <c r="K13" s="27"/>
      <c r="L13" s="82">
        <f>IF('2c DCC'!K54=0,"-",'2c DCC'!K54)</f>
        <v>8.5516161549312244</v>
      </c>
      <c r="M13" s="82">
        <f>IF('2c DCC'!L54=0,"-",'2c DCC'!L54)</f>
        <v>11.104851878142561</v>
      </c>
      <c r="N13" s="82">
        <f>IF('2c DCC'!M54=0,"-",'2c DCC'!M54)</f>
        <v>11.012800642584216</v>
      </c>
      <c r="O13" s="82">
        <f>IF('2c DCC'!N54=0,"-",'2c DCC'!N54)</f>
        <v>13.662374482953824</v>
      </c>
      <c r="P13" s="82">
        <f>IF('2c DCC'!O54=0,"-",'2c DCC'!O54)</f>
        <v>12.80454002319885</v>
      </c>
      <c r="Q13" s="82">
        <f>IF('2c DCC'!P54=0,"-",'2c DCC'!P54)</f>
        <v>12.478066292981234</v>
      </c>
      <c r="R13" s="82">
        <f>IF('2c DCC'!Q54=0,"-",'2c DCC'!Q54)</f>
        <v>13.030059643111718</v>
      </c>
      <c r="S13" s="82">
        <f>IF('2c DCC'!R54=0,"-",'2c DCC'!R54)</f>
        <v>13.114425773024294</v>
      </c>
      <c r="T13" s="82">
        <f>IF('2c DCC'!S54=0,"-",'2c DCC'!S54)</f>
        <v>13.286100625381531</v>
      </c>
      <c r="U13" s="82">
        <f>IF('2c DCC'!T54=0,"-",'2c DCC'!T54)</f>
        <v>14.484088178454057</v>
      </c>
      <c r="V13" s="82" t="str">
        <f>IF('2c DCC'!U54=0,"-",'2c DCC'!U54)</f>
        <v>-</v>
      </c>
      <c r="W13" s="82" t="str">
        <f>IF('2c DCC'!V54=0,"-",'2c DCC'!V54)</f>
        <v>-</v>
      </c>
      <c r="X13" s="82" t="str">
        <f>IF('2c DCC'!W54=0,"-",'2c DCC'!W54)</f>
        <v>-</v>
      </c>
      <c r="Y13" s="82" t="str">
        <f>IF('2c DCC'!X54=0,"-",'2c DCC'!X54)</f>
        <v>-</v>
      </c>
      <c r="Z13" s="82" t="str">
        <f>IF('2c DCC'!Y54=0,"-",'2c DCC'!Y54)</f>
        <v>-</v>
      </c>
      <c r="AA13" s="82" t="str">
        <f>IF('2c DCC'!Z54=0,"-",'2c DCC'!Z54)</f>
        <v>-</v>
      </c>
      <c r="AB13" s="82" t="str">
        <f>IF('2c DCC'!AA54=0,"-",'2c DCC'!AA54)</f>
        <v>-</v>
      </c>
      <c r="AC13" s="82" t="str">
        <f>IF('2c DCC'!AB54=0,"-",'2c DCC'!AB54)</f>
        <v>-</v>
      </c>
      <c r="AD13" s="82" t="str">
        <f>IF('2c DCC'!AC54=0,"-",'2c DCC'!AC54)</f>
        <v>-</v>
      </c>
      <c r="AE13" s="82" t="str">
        <f>IF('2c DCC'!AD54=0,"-",'2c DCC'!AD54)</f>
        <v>-</v>
      </c>
      <c r="AF13" s="82" t="str">
        <f>IF('2c DCC'!AE54=0,"-",'2c DCC'!AE54)</f>
        <v>-</v>
      </c>
      <c r="AG13" s="82" t="str">
        <f>IF('2c DCC'!AF54=0,"-",'2c DCC'!AF54)</f>
        <v>-</v>
      </c>
      <c r="AH13" s="82" t="str">
        <f>IF('2c DCC'!AG54=0,"-",'2c DCC'!AG54)</f>
        <v>-</v>
      </c>
      <c r="AI13" s="82" t="str">
        <f>IF('2c DCC'!AH54=0,"-",'2c DCC'!AH54)</f>
        <v>-</v>
      </c>
      <c r="AJ13" s="82" t="str">
        <f>IF('2c DCC'!AI54=0,"-",'2c DCC'!AI54)</f>
        <v>-</v>
      </c>
      <c r="AK13" s="82" t="str">
        <f>IF('2c DCC'!AJ54=0,"-",'2c DCC'!AJ54)</f>
        <v>-</v>
      </c>
      <c r="AL13" s="82" t="str">
        <f>IF('2c DCC'!AK54=0,"-",'2c DCC'!AK54)</f>
        <v>-</v>
      </c>
      <c r="AM13" s="82" t="str">
        <f>IF('2c DCC'!AL54=0,"-",'2c DCC'!AL54)</f>
        <v>-</v>
      </c>
      <c r="AN13" s="82" t="str">
        <f>IF('2c DCC'!AM54=0,"-",'2c DCC'!AM54)</f>
        <v>-</v>
      </c>
      <c r="AO13" s="82" t="str">
        <f>IF('2c DCC'!AN54=0,"-",'2c DCC'!AN54)</f>
        <v>-</v>
      </c>
      <c r="AP13" s="82" t="str">
        <f>IF('2c DCC'!AO54=0,"-",'2c DCC'!AO54)</f>
        <v>-</v>
      </c>
      <c r="AQ13" s="82" t="str">
        <f>IF('2c DCC'!AP54=0,"-",'2c DCC'!AP54)</f>
        <v>-</v>
      </c>
      <c r="AR13" s="82" t="str">
        <f>IF('2c DCC'!AQ54=0,"-",'2c DCC'!AQ54)</f>
        <v>-</v>
      </c>
      <c r="AS13" s="82" t="str">
        <f>IF('2c DCC'!AR54=0,"-",'2c DCC'!AR54)</f>
        <v>-</v>
      </c>
      <c r="AT13" s="82" t="str">
        <f>IF('2c DCC'!AS54=0,"-",'2c DCC'!AS54)</f>
        <v>-</v>
      </c>
      <c r="AU13" s="82" t="str">
        <f>IF('2c DCC'!AT54=0,"-",'2c DCC'!AT54)</f>
        <v>-</v>
      </c>
      <c r="AV13" s="82" t="str">
        <f>IF('2c DCC'!AU54=0,"-",'2c DCC'!AU54)</f>
        <v>-</v>
      </c>
      <c r="AW13" s="82" t="str">
        <f>IF('2c DCC'!AV54=0,"-",'2c DCC'!AV54)</f>
        <v>-</v>
      </c>
      <c r="AX13" s="82" t="str">
        <f>IF('2c DCC'!AW54=0,"-",'2c DCC'!AW54)</f>
        <v>-</v>
      </c>
      <c r="AY13" s="62"/>
      <c r="AZ13" s="62"/>
    </row>
    <row r="14" spans="1:55" s="26" customFormat="1" ht="13.5" x14ac:dyDescent="0.3">
      <c r="A14" s="31"/>
      <c r="B14" s="231"/>
      <c r="C14" s="233"/>
      <c r="D14" s="56" t="s">
        <v>124</v>
      </c>
      <c r="E14" s="56" t="s">
        <v>123</v>
      </c>
      <c r="F14" s="235"/>
      <c r="G14" s="82">
        <f>IF('2b SEGB'!F33=0,"-",'2b SEGB'!F33)</f>
        <v>0.9765661704349663</v>
      </c>
      <c r="H14" s="82">
        <f>IF('2b SEGB'!G33=0,"-",'2b SEGB'!G33)</f>
        <v>0.99422403336222409</v>
      </c>
      <c r="I14" s="82">
        <f>IF('2b SEGB'!H33=0,"-",'2b SEGB'!H33)</f>
        <v>1.0458017167360125</v>
      </c>
      <c r="J14" s="82">
        <f>IF('2b SEGB'!I33=0,"-",'2b SEGB'!I33)</f>
        <v>1.0458017167360125</v>
      </c>
      <c r="K14" s="27"/>
      <c r="L14" s="82">
        <f>IF('2b SEGB'!K33=0,"-",'2b SEGB'!K33)</f>
        <v>1.0458017167360125</v>
      </c>
      <c r="M14" s="82">
        <f>IF('2b SEGB'!L33=0,"-",'2b SEGB'!L33)</f>
        <v>0.99308334451494196</v>
      </c>
      <c r="N14" s="82">
        <f>IF('2b SEGB'!M33=0,"-",'2b SEGB'!M33)</f>
        <v>1.0019685420102336</v>
      </c>
      <c r="O14" s="82">
        <f>IF('2b SEGB'!N33=0,"-",'2b SEGB'!N33)</f>
        <v>0.73849263586365788</v>
      </c>
      <c r="P14" s="82">
        <f>IF('2b SEGB'!O33=0,"-",'2b SEGB'!O33)</f>
        <v>0.73849263586365788</v>
      </c>
      <c r="Q14" s="82">
        <f>IF('2b SEGB'!P33=0,"-",'2b SEGB'!P33)</f>
        <v>0.73579134800364232</v>
      </c>
      <c r="R14" s="82">
        <f>IF('2b SEGB'!Q33=0,"-",'2b SEGB'!Q33)</f>
        <v>0.74230732827042012</v>
      </c>
      <c r="S14" s="82">
        <f>IF('2b SEGB'!R33=0,"-",'2b SEGB'!R33)</f>
        <v>0.6999312704421663</v>
      </c>
      <c r="T14" s="82">
        <f>IF('2b SEGB'!S33=0,"-",'2b SEGB'!S33)</f>
        <v>0.73248732532298766</v>
      </c>
      <c r="U14" s="82">
        <f>IF('2b SEGB'!T33=0,"-",'2b SEGB'!T33)</f>
        <v>0.72666378413833999</v>
      </c>
      <c r="V14" s="82" t="str">
        <f>IF('2b SEGB'!U33=0,"-",'2b SEGB'!U33)</f>
        <v>-</v>
      </c>
      <c r="W14" s="82" t="str">
        <f>IF('2b SEGB'!V33=0,"-",'2b SEGB'!V33)</f>
        <v>-</v>
      </c>
      <c r="X14" s="82" t="str">
        <f>IF('2b SEGB'!W33=0,"-",'2b SEGB'!W33)</f>
        <v>-</v>
      </c>
      <c r="Y14" s="82" t="str">
        <f>IF('2b SEGB'!X33=0,"-",'2b SEGB'!X33)</f>
        <v>-</v>
      </c>
      <c r="Z14" s="82" t="str">
        <f>IF('2b SEGB'!Y33=0,"-",'2b SEGB'!Y33)</f>
        <v>-</v>
      </c>
      <c r="AA14" s="82" t="str">
        <f>IF('2b SEGB'!Z33=0,"-",'2b SEGB'!Z33)</f>
        <v>-</v>
      </c>
      <c r="AB14" s="82" t="str">
        <f>IF('2b SEGB'!AA33=0,"-",'2b SEGB'!AA33)</f>
        <v>-</v>
      </c>
      <c r="AC14" s="82" t="str">
        <f>IF('2b SEGB'!AB33=0,"-",'2b SEGB'!AB33)</f>
        <v>-</v>
      </c>
      <c r="AD14" s="82" t="str">
        <f>IF('2b SEGB'!AC33=0,"-",'2b SEGB'!AC33)</f>
        <v>-</v>
      </c>
      <c r="AE14" s="82" t="str">
        <f>IF('2b SEGB'!AD33=0,"-",'2b SEGB'!AD33)</f>
        <v>-</v>
      </c>
      <c r="AF14" s="82" t="str">
        <f>IF('2b SEGB'!AE33=0,"-",'2b SEGB'!AE33)</f>
        <v>-</v>
      </c>
      <c r="AG14" s="82" t="str">
        <f>IF('2b SEGB'!AF33=0,"-",'2b SEGB'!AF33)</f>
        <v>-</v>
      </c>
      <c r="AH14" s="82" t="str">
        <f>IF('2b SEGB'!AG33=0,"-",'2b SEGB'!AG33)</f>
        <v>-</v>
      </c>
      <c r="AI14" s="82" t="str">
        <f>IF('2b SEGB'!AH33=0,"-",'2b SEGB'!AH33)</f>
        <v>-</v>
      </c>
      <c r="AJ14" s="82" t="str">
        <f>IF('2b SEGB'!AI33=0,"-",'2b SEGB'!AI33)</f>
        <v>-</v>
      </c>
      <c r="AK14" s="82" t="str">
        <f>IF('2b SEGB'!AJ33=0,"-",'2b SEGB'!AJ33)</f>
        <v>-</v>
      </c>
      <c r="AL14" s="82" t="str">
        <f>IF('2b SEGB'!AK33=0,"-",'2b SEGB'!AK33)</f>
        <v>-</v>
      </c>
      <c r="AM14" s="82" t="str">
        <f>IF('2b SEGB'!AL33=0,"-",'2b SEGB'!AL33)</f>
        <v>-</v>
      </c>
      <c r="AN14" s="82" t="str">
        <f>IF('2b SEGB'!AM33=0,"-",'2b SEGB'!AM33)</f>
        <v>-</v>
      </c>
      <c r="AO14" s="82" t="str">
        <f>IF('2b SEGB'!AN33=0,"-",'2b SEGB'!AN33)</f>
        <v>-</v>
      </c>
      <c r="AP14" s="82" t="str">
        <f>IF('2b SEGB'!AO33=0,"-",'2b SEGB'!AO33)</f>
        <v>-</v>
      </c>
      <c r="AQ14" s="82" t="str">
        <f>IF('2b SEGB'!AP33=0,"-",'2b SEGB'!AP33)</f>
        <v>-</v>
      </c>
      <c r="AR14" s="82" t="str">
        <f>IF('2b SEGB'!AQ33=0,"-",'2b SEGB'!AQ33)</f>
        <v>-</v>
      </c>
      <c r="AS14" s="82" t="str">
        <f>IF('2b SEGB'!AR33=0,"-",'2b SEGB'!AR33)</f>
        <v>-</v>
      </c>
      <c r="AT14" s="82" t="str">
        <f>IF('2b SEGB'!AS33=0,"-",'2b SEGB'!AS33)</f>
        <v>-</v>
      </c>
      <c r="AU14" s="82" t="str">
        <f>IF('2b SEGB'!AT33=0,"-",'2b SEGB'!AT33)</f>
        <v>-</v>
      </c>
      <c r="AV14" s="82" t="str">
        <f>IF('2b SEGB'!AU33=0,"-",'2b SEGB'!AU33)</f>
        <v>-</v>
      </c>
      <c r="AW14" s="82" t="str">
        <f>IF('2b SEGB'!AV33=0,"-",'2b SEGB'!AV33)</f>
        <v>-</v>
      </c>
      <c r="AX14" s="82" t="str">
        <f>IF('2b SEGB'!AW33=0,"-",'2b SEGB'!AW33)</f>
        <v>-</v>
      </c>
      <c r="AY14" s="62"/>
      <c r="AZ14" s="62"/>
    </row>
    <row r="15" spans="1:55" s="26" customFormat="1" ht="13.5" x14ac:dyDescent="0.3">
      <c r="A15" s="31"/>
      <c r="B15" s="231"/>
      <c r="C15" s="233"/>
      <c r="D15" s="56" t="s">
        <v>125</v>
      </c>
      <c r="E15" s="56" t="s">
        <v>123</v>
      </c>
      <c r="F15" s="235"/>
      <c r="G15" s="82">
        <f>IF('2d SMICoP'!F18=0,"-",'2d SMICoP'!F18)</f>
        <v>4.8255095738109948E-3</v>
      </c>
      <c r="H15" s="82">
        <f>IF('2d SMICoP'!G18=0,"-",'2d SMICoP'!G18)</f>
        <v>4.8255095738109948E-3</v>
      </c>
      <c r="I15" s="82">
        <f>IF('2d SMICoP'!H18=0,"-",'2d SMICoP'!H18)</f>
        <v>4.8255095738109948E-3</v>
      </c>
      <c r="J15" s="82">
        <f>IF('2d SMICoP'!I18=0,"-",'2d SMICoP'!I18)</f>
        <v>4.8255095738109948E-3</v>
      </c>
      <c r="K15" s="27"/>
      <c r="L15" s="82">
        <f>IF('2d SMICoP'!K18=0,"-",'2d SMICoP'!K18)</f>
        <v>4.8255095738109948E-3</v>
      </c>
      <c r="M15" s="82">
        <f>IF('2d SMICoP'!L18=0,"-",'2d SMICoP'!L18)</f>
        <v>4.792117924437885E-3</v>
      </c>
      <c r="N15" s="82">
        <f>IF('2d SMICoP'!M18=0,"-",'2d SMICoP'!M18)</f>
        <v>4.792117924437885E-3</v>
      </c>
      <c r="O15" s="82">
        <f>IF('2d SMICoP'!N18=0,"-",'2d SMICoP'!N18)</f>
        <v>4.7547499952452499E-3</v>
      </c>
      <c r="P15" s="82">
        <f>IF('2d SMICoP'!O18=0,"-",'2d SMICoP'!O18)</f>
        <v>4.7547499952452499E-3</v>
      </c>
      <c r="Q15" s="82">
        <f>IF('2d SMICoP'!P18=0,"-",'2d SMICoP'!P18)</f>
        <v>4.7341311922435986E-3</v>
      </c>
      <c r="R15" s="82">
        <f>IF('2d SMICoP'!Q18=0,"-",'2d SMICoP'!Q18)</f>
        <v>4.7341311922435986E-3</v>
      </c>
      <c r="S15" s="82">
        <f>IF('2d SMICoP'!R18=0,"-",'2d SMICoP'!R18)</f>
        <v>4.7082752646050701E-3</v>
      </c>
      <c r="T15" s="82">
        <f>IF('2d SMICoP'!S18=0,"-",'2d SMICoP'!S18)</f>
        <v>4.7082752646050701E-3</v>
      </c>
      <c r="U15" s="82">
        <f>IF('2d SMICoP'!T18=0,"-",'2d SMICoP'!T18)</f>
        <v>4.6715874054003553E-3</v>
      </c>
      <c r="V15" s="82" t="str">
        <f>IF('2d SMICoP'!U18=0,"-",'2d SMICoP'!U18)</f>
        <v>-</v>
      </c>
      <c r="W15" s="82" t="str">
        <f>IF('2d SMICoP'!V18=0,"-",'2d SMICoP'!V18)</f>
        <v>-</v>
      </c>
      <c r="X15" s="82" t="str">
        <f>IF('2d SMICoP'!W18=0,"-",'2d SMICoP'!W18)</f>
        <v>-</v>
      </c>
      <c r="Y15" s="82" t="str">
        <f>IF('2d SMICoP'!X18=0,"-",'2d SMICoP'!X18)</f>
        <v>-</v>
      </c>
      <c r="Z15" s="82" t="str">
        <f>IF('2d SMICoP'!Y18=0,"-",'2d SMICoP'!Y18)</f>
        <v>-</v>
      </c>
      <c r="AA15" s="82" t="str">
        <f>IF('2d SMICoP'!Z18=0,"-",'2d SMICoP'!Z18)</f>
        <v>-</v>
      </c>
      <c r="AB15" s="82" t="str">
        <f>IF('2d SMICoP'!AA18=0,"-",'2d SMICoP'!AA18)</f>
        <v>-</v>
      </c>
      <c r="AC15" s="82" t="str">
        <f>IF('2d SMICoP'!AB18=0,"-",'2d SMICoP'!AB18)</f>
        <v>-</v>
      </c>
      <c r="AD15" s="82" t="str">
        <f>IF('2d SMICoP'!AC18=0,"-",'2d SMICoP'!AC18)</f>
        <v>-</v>
      </c>
      <c r="AE15" s="82" t="str">
        <f>IF('2d SMICoP'!AD18=0,"-",'2d SMICoP'!AD18)</f>
        <v>-</v>
      </c>
      <c r="AF15" s="82" t="str">
        <f>IF('2d SMICoP'!AE18=0,"-",'2d SMICoP'!AE18)</f>
        <v>-</v>
      </c>
      <c r="AG15" s="82" t="str">
        <f>IF('2d SMICoP'!AF18=0,"-",'2d SMICoP'!AF18)</f>
        <v>-</v>
      </c>
      <c r="AH15" s="82" t="str">
        <f>IF('2d SMICoP'!AG18=0,"-",'2d SMICoP'!AG18)</f>
        <v>-</v>
      </c>
      <c r="AI15" s="82" t="str">
        <f>IF('2d SMICoP'!AH18=0,"-",'2d SMICoP'!AH18)</f>
        <v>-</v>
      </c>
      <c r="AJ15" s="82" t="str">
        <f>IF('2d SMICoP'!AI18=0,"-",'2d SMICoP'!AI18)</f>
        <v>-</v>
      </c>
      <c r="AK15" s="82" t="str">
        <f>IF('2d SMICoP'!AJ18=0,"-",'2d SMICoP'!AJ18)</f>
        <v>-</v>
      </c>
      <c r="AL15" s="82" t="str">
        <f>IF('2d SMICoP'!AK18=0,"-",'2d SMICoP'!AK18)</f>
        <v>-</v>
      </c>
      <c r="AM15" s="82" t="str">
        <f>IF('2d SMICoP'!AL18=0,"-",'2d SMICoP'!AL18)</f>
        <v>-</v>
      </c>
      <c r="AN15" s="82" t="str">
        <f>IF('2d SMICoP'!AM18=0,"-",'2d SMICoP'!AM18)</f>
        <v>-</v>
      </c>
      <c r="AO15" s="82" t="str">
        <f>IF('2d SMICoP'!AN18=0,"-",'2d SMICoP'!AN18)</f>
        <v>-</v>
      </c>
      <c r="AP15" s="82" t="str">
        <f>IF('2d SMICoP'!AO18=0,"-",'2d SMICoP'!AO18)</f>
        <v>-</v>
      </c>
      <c r="AQ15" s="82" t="str">
        <f>IF('2d SMICoP'!AP18=0,"-",'2d SMICoP'!AP18)</f>
        <v>-</v>
      </c>
      <c r="AR15" s="82" t="str">
        <f>IF('2d SMICoP'!AQ18=0,"-",'2d SMICoP'!AQ18)</f>
        <v>-</v>
      </c>
      <c r="AS15" s="82" t="str">
        <f>IF('2d SMICoP'!AR18=0,"-",'2d SMICoP'!AR18)</f>
        <v>-</v>
      </c>
      <c r="AT15" s="82" t="str">
        <f>IF('2d SMICoP'!AS18=0,"-",'2d SMICoP'!AS18)</f>
        <v>-</v>
      </c>
      <c r="AU15" s="82" t="str">
        <f>IF('2d SMICoP'!AT18=0,"-",'2d SMICoP'!AT18)</f>
        <v>-</v>
      </c>
      <c r="AV15" s="82" t="str">
        <f>IF('2d SMICoP'!AU18=0,"-",'2d SMICoP'!AU18)</f>
        <v>-</v>
      </c>
      <c r="AW15" s="82" t="str">
        <f>IF('2d SMICoP'!AV18=0,"-",'2d SMICoP'!AV18)</f>
        <v>-</v>
      </c>
      <c r="AX15" s="82" t="str">
        <f>IF('2d SMICoP'!AW18=0,"-",'2d SMICoP'!AW18)</f>
        <v>-</v>
      </c>
      <c r="AY15" s="62"/>
      <c r="AZ15" s="62"/>
    </row>
    <row r="16" spans="1:55" s="26" customFormat="1" ht="13.5" x14ac:dyDescent="0.3">
      <c r="A16" s="31"/>
      <c r="B16" s="231"/>
      <c r="C16" s="233"/>
      <c r="D16" s="56" t="s">
        <v>126</v>
      </c>
      <c r="E16" s="56" t="s">
        <v>123</v>
      </c>
      <c r="F16" s="235"/>
      <c r="G16" s="82">
        <f>IF(G13="-","-",SUM(G13:G15))</f>
        <v>6.8874132982916683</v>
      </c>
      <c r="H16" s="82">
        <f>IF(H13="-","-",SUM(H13:H15))</f>
        <v>6.7850711612189256</v>
      </c>
      <c r="I16" s="82">
        <f>IF(I13="-","-",SUM(I13:I15))</f>
        <v>9.4659965901146403</v>
      </c>
      <c r="J16" s="82">
        <f>IF(J13="-","-",SUM(J13:J15))</f>
        <v>9.6022433812410473</v>
      </c>
      <c r="K16" s="27"/>
      <c r="L16" s="82">
        <f t="shared" ref="L16:U16" si="0">IF(L13="-","-",SUM(L13:L15))</f>
        <v>9.6022433812410473</v>
      </c>
      <c r="M16" s="82">
        <f t="shared" si="0"/>
        <v>12.102727340581941</v>
      </c>
      <c r="N16" s="82">
        <f t="shared" si="0"/>
        <v>12.019561302518888</v>
      </c>
      <c r="O16" s="82">
        <f>IF(O13="-","-",SUM(O13:O15))</f>
        <v>14.405621868812727</v>
      </c>
      <c r="P16" s="82">
        <f t="shared" si="0"/>
        <v>13.547787409057753</v>
      </c>
      <c r="Q16" s="82">
        <f t="shared" si="0"/>
        <v>13.21859177217712</v>
      </c>
      <c r="R16" s="82">
        <f t="shared" si="0"/>
        <v>13.777101102574383</v>
      </c>
      <c r="S16" s="82">
        <f t="shared" si="0"/>
        <v>13.819065318731065</v>
      </c>
      <c r="T16" s="82">
        <f t="shared" si="0"/>
        <v>14.023296225969123</v>
      </c>
      <c r="U16" s="82">
        <f t="shared" si="0"/>
        <v>15.215423549997798</v>
      </c>
      <c r="V16" s="82" t="str">
        <f t="shared" ref="V16:AX16" si="1">IF(V13="-","-",SUM(V13:V15))</f>
        <v>-</v>
      </c>
      <c r="W16" s="82" t="str">
        <f t="shared" si="1"/>
        <v>-</v>
      </c>
      <c r="X16" s="82" t="str">
        <f t="shared" si="1"/>
        <v>-</v>
      </c>
      <c r="Y16" s="82" t="str">
        <f t="shared" si="1"/>
        <v>-</v>
      </c>
      <c r="Z16" s="82" t="str">
        <f t="shared" si="1"/>
        <v>-</v>
      </c>
      <c r="AA16" s="82" t="str">
        <f t="shared" si="1"/>
        <v>-</v>
      </c>
      <c r="AB16" s="82" t="str">
        <f t="shared" si="1"/>
        <v>-</v>
      </c>
      <c r="AC16" s="82" t="str">
        <f t="shared" si="1"/>
        <v>-</v>
      </c>
      <c r="AD16" s="82" t="str">
        <f t="shared" si="1"/>
        <v>-</v>
      </c>
      <c r="AE16" s="82" t="str">
        <f t="shared" si="1"/>
        <v>-</v>
      </c>
      <c r="AF16" s="82" t="str">
        <f t="shared" si="1"/>
        <v>-</v>
      </c>
      <c r="AG16" s="82" t="str">
        <f t="shared" si="1"/>
        <v>-</v>
      </c>
      <c r="AH16" s="82" t="str">
        <f t="shared" si="1"/>
        <v>-</v>
      </c>
      <c r="AI16" s="82" t="str">
        <f t="shared" si="1"/>
        <v>-</v>
      </c>
      <c r="AJ16" s="82" t="str">
        <f t="shared" si="1"/>
        <v>-</v>
      </c>
      <c r="AK16" s="82" t="str">
        <f t="shared" si="1"/>
        <v>-</v>
      </c>
      <c r="AL16" s="82" t="str">
        <f t="shared" si="1"/>
        <v>-</v>
      </c>
      <c r="AM16" s="82" t="str">
        <f t="shared" si="1"/>
        <v>-</v>
      </c>
      <c r="AN16" s="82" t="str">
        <f t="shared" si="1"/>
        <v>-</v>
      </c>
      <c r="AO16" s="82" t="str">
        <f t="shared" si="1"/>
        <v>-</v>
      </c>
      <c r="AP16" s="82" t="str">
        <f t="shared" si="1"/>
        <v>-</v>
      </c>
      <c r="AQ16" s="82" t="str">
        <f t="shared" si="1"/>
        <v>-</v>
      </c>
      <c r="AR16" s="82" t="str">
        <f t="shared" si="1"/>
        <v>-</v>
      </c>
      <c r="AS16" s="82" t="str">
        <f t="shared" si="1"/>
        <v>-</v>
      </c>
      <c r="AT16" s="82" t="str">
        <f t="shared" si="1"/>
        <v>-</v>
      </c>
      <c r="AU16" s="82" t="str">
        <f t="shared" si="1"/>
        <v>-</v>
      </c>
      <c r="AV16" s="82" t="str">
        <f t="shared" si="1"/>
        <v>-</v>
      </c>
      <c r="AW16" s="82" t="str">
        <f t="shared" si="1"/>
        <v>-</v>
      </c>
      <c r="AX16" s="82" t="str">
        <f t="shared" si="1"/>
        <v>-</v>
      </c>
      <c r="AY16" s="62"/>
      <c r="AZ16" s="62"/>
    </row>
    <row r="17" spans="1:52" s="26" customFormat="1" ht="13.5" x14ac:dyDescent="0.3">
      <c r="A17" s="31"/>
      <c r="B17" s="231"/>
      <c r="C17" s="233"/>
      <c r="D17" s="56" t="s">
        <v>127</v>
      </c>
      <c r="E17" s="56" t="s">
        <v>128</v>
      </c>
      <c r="F17" s="235"/>
      <c r="G17" s="82">
        <f>IFERROR('2e CPIH'!G16/'2e CPIH'!$C$9,"-")</f>
        <v>1</v>
      </c>
      <c r="H17" s="82">
        <f>IFERROR('2e CPIH'!H16/'2e CPIH'!$C$9,"-")</f>
        <v>1.0127201565557731</v>
      </c>
      <c r="I17" s="82">
        <f>IFERROR('2e CPIH'!I16/'2e CPIH'!$C$9,"-")</f>
        <v>1.0273972602739725</v>
      </c>
      <c r="J17" s="82">
        <f>IFERROR('2e CPIH'!J16/'2e CPIH'!$C$9,"-")</f>
        <v>1.0362035225048924</v>
      </c>
      <c r="K17" s="27"/>
      <c r="L17" s="82">
        <f>IFERROR('2e CPIH'!L16/'2e CPIH'!$C$9,"-")</f>
        <v>1.0362035225048924</v>
      </c>
      <c r="M17" s="82">
        <f>IFERROR('2e CPIH'!M16/'2e CPIH'!$C$9,"-")</f>
        <v>1.047945205479452</v>
      </c>
      <c r="N17" s="82">
        <f>IFERROR('2e CPIH'!N16/'2e CPIH'!$C$9,"-")</f>
        <v>1.0557729941291585</v>
      </c>
      <c r="O17" s="82">
        <f>IFERROR('2e CPIH'!O16/'2e CPIH'!$C$9,"-")</f>
        <v>1.0616438356164384</v>
      </c>
      <c r="P17" s="82">
        <f>IFERROR('2e CPIH'!P16/'2e CPIH'!$C$9,"-")</f>
        <v>1.0645792563600782</v>
      </c>
      <c r="Q17" s="82">
        <f>IFERROR('2e CPIH'!Q16/'2e CPIH'!$C$9,"-")</f>
        <v>1.0704500978473581</v>
      </c>
      <c r="R17" s="82">
        <f>IFERROR('2e CPIH'!R16/'2e CPIH'!$C$9,"-")</f>
        <v>1.0900195694716244</v>
      </c>
      <c r="S17" s="82">
        <f>IFERROR('2e CPIH'!S16/'2e CPIH'!$C$9,"-")</f>
        <v>1.1223091976516635</v>
      </c>
      <c r="T17" s="82">
        <f>IFERROR('2e CPIH'!T16/'2e CPIH'!$C$9,"-")</f>
        <v>1.1790606653620352</v>
      </c>
      <c r="U17" s="82">
        <f>IFERROR('2e CPIH'!U16/'2e CPIH'!$C$9,"-")</f>
        <v>1.226027397260274</v>
      </c>
      <c r="V17" s="82" t="str">
        <f>IFERROR('2e CPIH'!V16/'2e CPIH'!$C$9,"-")</f>
        <v>-</v>
      </c>
      <c r="W17" s="82" t="str">
        <f>IFERROR('2e CPIH'!W16/'2e CPIH'!$C$9,"-")</f>
        <v>-</v>
      </c>
      <c r="X17" s="82" t="str">
        <f>IFERROR('2e CPIH'!X16/'2e CPIH'!$C$9,"-")</f>
        <v>-</v>
      </c>
      <c r="Y17" s="82" t="str">
        <f>IFERROR('2e CPIH'!Y16/'2e CPIH'!$C$9,"-")</f>
        <v>-</v>
      </c>
      <c r="Z17" s="82" t="str">
        <f>IFERROR('2e CPIH'!Z16/'2e CPIH'!$C$9,"-")</f>
        <v>-</v>
      </c>
      <c r="AA17" s="82" t="str">
        <f>IFERROR('2e CPIH'!AA16/'2e CPIH'!$C$9,"-")</f>
        <v>-</v>
      </c>
      <c r="AB17" s="82" t="str">
        <f>IFERROR('2e CPIH'!AB16/'2e CPIH'!$C$9,"-")</f>
        <v>-</v>
      </c>
      <c r="AC17" s="82" t="str">
        <f>IFERROR('2e CPIH'!AC16/'2e CPIH'!$C$9,"-")</f>
        <v>-</v>
      </c>
      <c r="AD17" s="82" t="str">
        <f>IFERROR('2e CPIH'!AD16/'2e CPIH'!$C$9,"-")</f>
        <v>-</v>
      </c>
      <c r="AE17" s="82" t="str">
        <f>IFERROR('2e CPIH'!AE16/'2e CPIH'!$C$9,"-")</f>
        <v>-</v>
      </c>
      <c r="AF17" s="82" t="str">
        <f>IFERROR('2e CPIH'!AF16/'2e CPIH'!$C$9,"-")</f>
        <v>-</v>
      </c>
      <c r="AG17" s="82" t="str">
        <f>IFERROR('2e CPIH'!AG16/'2e CPIH'!$C$9,"-")</f>
        <v>-</v>
      </c>
      <c r="AH17" s="82" t="str">
        <f>IFERROR('2e CPIH'!AH16/'2e CPIH'!$C$9,"-")</f>
        <v>-</v>
      </c>
      <c r="AI17" s="82" t="str">
        <f>IFERROR('2e CPIH'!AI16/'2e CPIH'!$C$9,"-")</f>
        <v>-</v>
      </c>
      <c r="AJ17" s="82" t="str">
        <f>IFERROR('2e CPIH'!AJ16/'2e CPIH'!$C$9,"-")</f>
        <v>-</v>
      </c>
      <c r="AK17" s="82" t="str">
        <f>IFERROR('2e CPIH'!AK16/'2e CPIH'!$C$9,"-")</f>
        <v>-</v>
      </c>
      <c r="AL17" s="82" t="str">
        <f>IFERROR('2e CPIH'!AL16/'2e CPIH'!$C$9,"-")</f>
        <v>-</v>
      </c>
      <c r="AM17" s="82" t="str">
        <f>IFERROR('2e CPIH'!AM16/'2e CPIH'!$C$9,"-")</f>
        <v>-</v>
      </c>
      <c r="AN17" s="82" t="str">
        <f>IFERROR('2e CPIH'!AN16/'2e CPIH'!$C$9,"-")</f>
        <v>-</v>
      </c>
      <c r="AO17" s="82" t="str">
        <f>IFERROR('2e CPIH'!AO16/'2e CPIH'!$C$9,"-")</f>
        <v>-</v>
      </c>
      <c r="AP17" s="82" t="str">
        <f>IFERROR('2e CPIH'!AP16/'2e CPIH'!$C$9,"-")</f>
        <v>-</v>
      </c>
      <c r="AQ17" s="82" t="str">
        <f>IFERROR('2e CPIH'!AQ16/'2e CPIH'!$C$9,"-")</f>
        <v>-</v>
      </c>
      <c r="AR17" s="82" t="str">
        <f>IFERROR('2e CPIH'!AR16/'2e CPIH'!$C$9,"-")</f>
        <v>-</v>
      </c>
      <c r="AS17" s="82" t="str">
        <f>IFERROR('2e CPIH'!AS16/'2e CPIH'!$C$9,"-")</f>
        <v>-</v>
      </c>
      <c r="AT17" s="82" t="str">
        <f>IFERROR('2e CPIH'!AT16/'2e CPIH'!$C$9,"-")</f>
        <v>-</v>
      </c>
      <c r="AU17" s="82" t="str">
        <f>IFERROR('2e CPIH'!AU16/'2e CPIH'!$C$9,"-")</f>
        <v>-</v>
      </c>
      <c r="AV17" s="82" t="str">
        <f>IFERROR('2e CPIH'!AV16/'2e CPIH'!$C$9,"-")</f>
        <v>-</v>
      </c>
      <c r="AW17" s="82" t="str">
        <f>IFERROR('2e CPIH'!AW16/'2e CPIH'!$C$9,"-")</f>
        <v>-</v>
      </c>
      <c r="AX17" s="82" t="str">
        <f>IFERROR('2e CPIH'!AX16/'2e CPIH'!$C$9,"-")</f>
        <v>-</v>
      </c>
      <c r="AY17" s="62"/>
      <c r="AZ17" s="62"/>
    </row>
    <row r="18" spans="1:52" s="26" customFormat="1" ht="13.5" x14ac:dyDescent="0.3">
      <c r="A18" s="31"/>
      <c r="B18" s="204"/>
      <c r="C18" s="234"/>
      <c r="D18" s="56" t="s">
        <v>129</v>
      </c>
      <c r="E18" s="56" t="s">
        <v>123</v>
      </c>
      <c r="F18" s="235"/>
      <c r="G18" s="82">
        <f>IF(G16="-","-",G16-($G$16*G17))</f>
        <v>0</v>
      </c>
      <c r="H18" s="82">
        <f t="shared" ref="H18:L18" si="2">IF(H16="-","-",H16-($G$16*H17))</f>
        <v>-0.18995111249132623</v>
      </c>
      <c r="I18" s="82">
        <f t="shared" si="2"/>
        <v>2.3898870370752556</v>
      </c>
      <c r="J18" s="82">
        <f t="shared" si="2"/>
        <v>2.4654814606041811</v>
      </c>
      <c r="K18" s="27"/>
      <c r="L18" s="82">
        <f t="shared" si="2"/>
        <v>2.4654814606041811</v>
      </c>
      <c r="M18" s="82">
        <f t="shared" ref="M18" si="3">IF(M16="-","-",M16-($G$16*M17))</f>
        <v>4.8850955964817686</v>
      </c>
      <c r="N18" s="82">
        <f t="shared" ref="N18" si="4">IF(N16="-","-",N16-($G$16*N17))</f>
        <v>4.7480163427765101</v>
      </c>
      <c r="O18" s="82">
        <f>IF(O16="-","-",O16-($G$16*O17))</f>
        <v>7.093641997338695</v>
      </c>
      <c r="P18" s="82">
        <f t="shared" ref="P18" si="5">IF(P16="-","-",P16-($G$16*P17))</f>
        <v>6.2155900817178944</v>
      </c>
      <c r="Q18" s="82">
        <f t="shared" ref="Q18" si="6">IF(Q16="-","-",Q16-($G$16*Q17))</f>
        <v>5.8459595331056082</v>
      </c>
      <c r="R18" s="82">
        <f t="shared" ref="R18" si="7">IF(R16="-","-",R16-($G$16*R17))</f>
        <v>6.2696858243973583</v>
      </c>
      <c r="S18" s="82">
        <f t="shared" ref="S18" si="8">IF(S16="-","-",S16-($G$16*S17))</f>
        <v>6.0892580260299454</v>
      </c>
      <c r="T18" s="82">
        <f t="shared" ref="T18" si="9">IF(T16="-","-",T16-($G$16*T17))</f>
        <v>5.9026181198620193</v>
      </c>
      <c r="U18" s="82">
        <f t="shared" ref="U18" si="10">IF(U16="-","-",U16-($G$16*U17))</f>
        <v>6.771266150037464</v>
      </c>
      <c r="V18" s="82" t="str">
        <f t="shared" ref="V18:AX18" si="11">IF(V16="-","-",V16-($G$16*V17))</f>
        <v>-</v>
      </c>
      <c r="W18" s="82" t="str">
        <f t="shared" si="11"/>
        <v>-</v>
      </c>
      <c r="X18" s="82" t="str">
        <f t="shared" si="11"/>
        <v>-</v>
      </c>
      <c r="Y18" s="82" t="str">
        <f t="shared" si="11"/>
        <v>-</v>
      </c>
      <c r="Z18" s="82" t="str">
        <f t="shared" si="11"/>
        <v>-</v>
      </c>
      <c r="AA18" s="82" t="str">
        <f t="shared" si="11"/>
        <v>-</v>
      </c>
      <c r="AB18" s="82" t="str">
        <f t="shared" si="11"/>
        <v>-</v>
      </c>
      <c r="AC18" s="82" t="str">
        <f t="shared" si="11"/>
        <v>-</v>
      </c>
      <c r="AD18" s="82" t="str">
        <f t="shared" si="11"/>
        <v>-</v>
      </c>
      <c r="AE18" s="82" t="str">
        <f t="shared" si="11"/>
        <v>-</v>
      </c>
      <c r="AF18" s="82" t="str">
        <f t="shared" si="11"/>
        <v>-</v>
      </c>
      <c r="AG18" s="82" t="str">
        <f t="shared" si="11"/>
        <v>-</v>
      </c>
      <c r="AH18" s="82" t="str">
        <f t="shared" si="11"/>
        <v>-</v>
      </c>
      <c r="AI18" s="82" t="str">
        <f t="shared" si="11"/>
        <v>-</v>
      </c>
      <c r="AJ18" s="82" t="str">
        <f t="shared" si="11"/>
        <v>-</v>
      </c>
      <c r="AK18" s="82" t="str">
        <f t="shared" si="11"/>
        <v>-</v>
      </c>
      <c r="AL18" s="82" t="str">
        <f t="shared" si="11"/>
        <v>-</v>
      </c>
      <c r="AM18" s="82" t="str">
        <f t="shared" si="11"/>
        <v>-</v>
      </c>
      <c r="AN18" s="82" t="str">
        <f t="shared" si="11"/>
        <v>-</v>
      </c>
      <c r="AO18" s="82" t="str">
        <f t="shared" si="11"/>
        <v>-</v>
      </c>
      <c r="AP18" s="82" t="str">
        <f t="shared" si="11"/>
        <v>-</v>
      </c>
      <c r="AQ18" s="82" t="str">
        <f t="shared" si="11"/>
        <v>-</v>
      </c>
      <c r="AR18" s="82" t="str">
        <f t="shared" si="11"/>
        <v>-</v>
      </c>
      <c r="AS18" s="82" t="str">
        <f t="shared" si="11"/>
        <v>-</v>
      </c>
      <c r="AT18" s="82" t="str">
        <f t="shared" si="11"/>
        <v>-</v>
      </c>
      <c r="AU18" s="82" t="str">
        <f t="shared" si="11"/>
        <v>-</v>
      </c>
      <c r="AV18" s="82" t="str">
        <f t="shared" si="11"/>
        <v>-</v>
      </c>
      <c r="AW18" s="82" t="str">
        <f t="shared" si="11"/>
        <v>-</v>
      </c>
      <c r="AX18" s="82" t="str">
        <f t="shared" si="11"/>
        <v>-</v>
      </c>
      <c r="AY18" s="62"/>
      <c r="AZ18" s="62"/>
    </row>
    <row r="19" spans="1:52" s="26" customFormat="1" ht="13.5" x14ac:dyDescent="0.3">
      <c r="A19" s="31"/>
      <c r="B19" s="203" t="s">
        <v>130</v>
      </c>
      <c r="C19" s="232" t="s">
        <v>121</v>
      </c>
      <c r="D19" s="56" t="s">
        <v>122</v>
      </c>
      <c r="E19" s="56" t="s">
        <v>123</v>
      </c>
      <c r="F19" s="235"/>
      <c r="G19" s="82">
        <f>IF('2c DCC'!F55=0,"-",'2c DCC'!F55)</f>
        <v>4.5260216182828907</v>
      </c>
      <c r="H19" s="82">
        <f>IF('2c DCC'!G55=0,"-",'2c DCC'!G55)</f>
        <v>4.4300216182828898</v>
      </c>
      <c r="I19" s="82">
        <f>IF('2c DCC'!H55=0,"-",'2c DCC'!H55)</f>
        <v>6.5073693638048171</v>
      </c>
      <c r="J19" s="82">
        <f>IF('2c DCC'!I55=0,"-",'2c DCC'!I55)</f>
        <v>6.6215397542612262</v>
      </c>
      <c r="K19" s="27"/>
      <c r="L19" s="82">
        <f>IF('2c DCC'!K55=0,"-",'2c DCC'!K55)</f>
        <v>6.6215397542612262</v>
      </c>
      <c r="M19" s="82">
        <f>IF('2c DCC'!L55=0,"-",'2c DCC'!L55)</f>
        <v>8.705416394354847</v>
      </c>
      <c r="N19" s="82">
        <f>IF('2c DCC'!M55=0,"-",'2c DCC'!M55)</f>
        <v>8.4956047001320023</v>
      </c>
      <c r="O19" s="82">
        <f>IF('2c DCC'!N55=0,"-",'2c DCC'!N55)</f>
        <v>10.500573436950896</v>
      </c>
      <c r="P19" s="82">
        <f>IF('2c DCC'!O55=0,"-",'2c DCC'!O55)</f>
        <v>9.8035943577862135</v>
      </c>
      <c r="Q19" s="82">
        <f>IF('2c DCC'!P55=0,"-",'2c DCC'!P55)</f>
        <v>9.5737808938045479</v>
      </c>
      <c r="R19" s="82">
        <f>IF('2c DCC'!Q55=0,"-",'2c DCC'!Q55)</f>
        <v>9.9029095394177755</v>
      </c>
      <c r="S19" s="82">
        <f>IF('2c DCC'!R55=0,"-",'2c DCC'!R55)</f>
        <v>9.8990111467388058</v>
      </c>
      <c r="T19" s="82">
        <f>IF('2c DCC'!S55=0,"-",'2c DCC'!S55)</f>
        <v>10.018665782600447</v>
      </c>
      <c r="U19" s="82">
        <f>IF('2c DCC'!T55=0,"-",'2c DCC'!T55)</f>
        <v>10.923303669691526</v>
      </c>
      <c r="V19" s="82" t="str">
        <f>IF('2c DCC'!U55=0,"-",'2c DCC'!U55)</f>
        <v>-</v>
      </c>
      <c r="W19" s="82" t="str">
        <f>IF('2c DCC'!V55=0,"-",'2c DCC'!V55)</f>
        <v>-</v>
      </c>
      <c r="X19" s="82" t="str">
        <f>IF('2c DCC'!W55=0,"-",'2c DCC'!W55)</f>
        <v>-</v>
      </c>
      <c r="Y19" s="82" t="str">
        <f>IF('2c DCC'!X55=0,"-",'2c DCC'!X55)</f>
        <v>-</v>
      </c>
      <c r="Z19" s="82" t="str">
        <f>IF('2c DCC'!Y55=0,"-",'2c DCC'!Y55)</f>
        <v>-</v>
      </c>
      <c r="AA19" s="82" t="str">
        <f>IF('2c DCC'!Z55=0,"-",'2c DCC'!Z55)</f>
        <v>-</v>
      </c>
      <c r="AB19" s="82" t="str">
        <f>IF('2c DCC'!AA55=0,"-",'2c DCC'!AA55)</f>
        <v>-</v>
      </c>
      <c r="AC19" s="82" t="str">
        <f>IF('2c DCC'!AB55=0,"-",'2c DCC'!AB55)</f>
        <v>-</v>
      </c>
      <c r="AD19" s="82" t="str">
        <f>IF('2c DCC'!AC55=0,"-",'2c DCC'!AC55)</f>
        <v>-</v>
      </c>
      <c r="AE19" s="82" t="str">
        <f>IF('2c DCC'!AD55=0,"-",'2c DCC'!AD55)</f>
        <v>-</v>
      </c>
      <c r="AF19" s="82" t="str">
        <f>IF('2c DCC'!AE55=0,"-",'2c DCC'!AE55)</f>
        <v>-</v>
      </c>
      <c r="AG19" s="82" t="str">
        <f>IF('2c DCC'!AF55=0,"-",'2c DCC'!AF55)</f>
        <v>-</v>
      </c>
      <c r="AH19" s="82" t="str">
        <f>IF('2c DCC'!AG55=0,"-",'2c DCC'!AG55)</f>
        <v>-</v>
      </c>
      <c r="AI19" s="82" t="str">
        <f>IF('2c DCC'!AH55=0,"-",'2c DCC'!AH55)</f>
        <v>-</v>
      </c>
      <c r="AJ19" s="82" t="str">
        <f>IF('2c DCC'!AI55=0,"-",'2c DCC'!AI55)</f>
        <v>-</v>
      </c>
      <c r="AK19" s="82" t="str">
        <f>IF('2c DCC'!AJ55=0,"-",'2c DCC'!AJ55)</f>
        <v>-</v>
      </c>
      <c r="AL19" s="82" t="str">
        <f>IF('2c DCC'!AK55=0,"-",'2c DCC'!AK55)</f>
        <v>-</v>
      </c>
      <c r="AM19" s="82" t="str">
        <f>IF('2c DCC'!AL55=0,"-",'2c DCC'!AL55)</f>
        <v>-</v>
      </c>
      <c r="AN19" s="82" t="str">
        <f>IF('2c DCC'!AM55=0,"-",'2c DCC'!AM55)</f>
        <v>-</v>
      </c>
      <c r="AO19" s="82" t="str">
        <f>IF('2c DCC'!AN55=0,"-",'2c DCC'!AN55)</f>
        <v>-</v>
      </c>
      <c r="AP19" s="82" t="str">
        <f>IF('2c DCC'!AO55=0,"-",'2c DCC'!AO55)</f>
        <v>-</v>
      </c>
      <c r="AQ19" s="82" t="str">
        <f>IF('2c DCC'!AP55=0,"-",'2c DCC'!AP55)</f>
        <v>-</v>
      </c>
      <c r="AR19" s="82" t="str">
        <f>IF('2c DCC'!AQ55=0,"-",'2c DCC'!AQ55)</f>
        <v>-</v>
      </c>
      <c r="AS19" s="82" t="str">
        <f>IF('2c DCC'!AR55=0,"-",'2c DCC'!AR55)</f>
        <v>-</v>
      </c>
      <c r="AT19" s="82" t="str">
        <f>IF('2c DCC'!AS55=0,"-",'2c DCC'!AS55)</f>
        <v>-</v>
      </c>
      <c r="AU19" s="82" t="str">
        <f>IF('2c DCC'!AT55=0,"-",'2c DCC'!AT55)</f>
        <v>-</v>
      </c>
      <c r="AV19" s="82" t="str">
        <f>IF('2c DCC'!AU55=0,"-",'2c DCC'!AU55)</f>
        <v>-</v>
      </c>
      <c r="AW19" s="82" t="str">
        <f>IF('2c DCC'!AV55=0,"-",'2c DCC'!AV55)</f>
        <v>-</v>
      </c>
      <c r="AX19" s="82" t="str">
        <f>IF('2c DCC'!AW55=0,"-",'2c DCC'!AW55)</f>
        <v>-</v>
      </c>
      <c r="AY19" s="62"/>
      <c r="AZ19" s="62"/>
    </row>
    <row r="20" spans="1:52" s="26" customFormat="1" ht="13.5" x14ac:dyDescent="0.3">
      <c r="A20" s="31"/>
      <c r="B20" s="231"/>
      <c r="C20" s="233"/>
      <c r="D20" s="56" t="s">
        <v>124</v>
      </c>
      <c r="E20" s="56" t="s">
        <v>123</v>
      </c>
      <c r="F20" s="235"/>
      <c r="G20" s="82">
        <f>IF('2b SEGB'!F34=0,"-",'2b SEGB'!F34)</f>
        <v>0.9765661704349663</v>
      </c>
      <c r="H20" s="82">
        <f>IF('2b SEGB'!G34=0,"-",'2b SEGB'!G34)</f>
        <v>0.9942240333622242</v>
      </c>
      <c r="I20" s="82">
        <f>IF('2b SEGB'!H34=0,"-",'2b SEGB'!H34)</f>
        <v>1.0458017167360125</v>
      </c>
      <c r="J20" s="82">
        <f>IF('2b SEGB'!I34=0,"-",'2b SEGB'!I34)</f>
        <v>1.0458017167360125</v>
      </c>
      <c r="K20" s="27"/>
      <c r="L20" s="82">
        <f>IF('2b SEGB'!K34=0,"-",'2b SEGB'!K34)</f>
        <v>1.0458017167360125</v>
      </c>
      <c r="M20" s="82">
        <f>IF('2b SEGB'!L34=0,"-",'2b SEGB'!L34)</f>
        <v>1.0019685420102333</v>
      </c>
      <c r="N20" s="82">
        <f>IF('2b SEGB'!M34=0,"-",'2b SEGB'!M34)</f>
        <v>1.0019685420102333</v>
      </c>
      <c r="O20" s="82">
        <f>IF('2b SEGB'!N34=0,"-",'2b SEGB'!N34)</f>
        <v>0.73849263586365799</v>
      </c>
      <c r="P20" s="82">
        <f>IF('2b SEGB'!O34=0,"-",'2b SEGB'!O34)</f>
        <v>0.73849263586365799</v>
      </c>
      <c r="Q20" s="82">
        <f>IF('2b SEGB'!P34=0,"-",'2b SEGB'!P34)</f>
        <v>0.73579134800364243</v>
      </c>
      <c r="R20" s="82">
        <f>IF('2b SEGB'!Q34=0,"-",'2b SEGB'!Q34)</f>
        <v>0.74230732827042023</v>
      </c>
      <c r="S20" s="82">
        <f>IF('2b SEGB'!R34=0,"-",'2b SEGB'!R34)</f>
        <v>0.69993127044216641</v>
      </c>
      <c r="T20" s="82">
        <f>IF('2b SEGB'!S34=0,"-",'2b SEGB'!S34)</f>
        <v>0.72651257157053983</v>
      </c>
      <c r="U20" s="82">
        <f>IF('2b SEGB'!T34=0,"-",'2b SEGB'!T34)</f>
        <v>0.7207878387726655</v>
      </c>
      <c r="V20" s="82" t="str">
        <f>IF('2b SEGB'!U34=0,"-",'2b SEGB'!U34)</f>
        <v>-</v>
      </c>
      <c r="W20" s="82" t="str">
        <f>IF('2b SEGB'!V34=0,"-",'2b SEGB'!V34)</f>
        <v>-</v>
      </c>
      <c r="X20" s="82" t="str">
        <f>IF('2b SEGB'!W34=0,"-",'2b SEGB'!W34)</f>
        <v>-</v>
      </c>
      <c r="Y20" s="82" t="str">
        <f>IF('2b SEGB'!X34=0,"-",'2b SEGB'!X34)</f>
        <v>-</v>
      </c>
      <c r="Z20" s="82" t="str">
        <f>IF('2b SEGB'!Y34=0,"-",'2b SEGB'!Y34)</f>
        <v>-</v>
      </c>
      <c r="AA20" s="82" t="str">
        <f>IF('2b SEGB'!Z34=0,"-",'2b SEGB'!Z34)</f>
        <v>-</v>
      </c>
      <c r="AB20" s="82" t="str">
        <f>IF('2b SEGB'!AA34=0,"-",'2b SEGB'!AA34)</f>
        <v>-</v>
      </c>
      <c r="AC20" s="82" t="str">
        <f>IF('2b SEGB'!AB34=0,"-",'2b SEGB'!AB34)</f>
        <v>-</v>
      </c>
      <c r="AD20" s="82" t="str">
        <f>IF('2b SEGB'!AC34=0,"-",'2b SEGB'!AC34)</f>
        <v>-</v>
      </c>
      <c r="AE20" s="82" t="str">
        <f>IF('2b SEGB'!AD34=0,"-",'2b SEGB'!AD34)</f>
        <v>-</v>
      </c>
      <c r="AF20" s="82" t="str">
        <f>IF('2b SEGB'!AE34=0,"-",'2b SEGB'!AE34)</f>
        <v>-</v>
      </c>
      <c r="AG20" s="82" t="str">
        <f>IF('2b SEGB'!AF34=0,"-",'2b SEGB'!AF34)</f>
        <v>-</v>
      </c>
      <c r="AH20" s="82" t="str">
        <f>IF('2b SEGB'!AG34=0,"-",'2b SEGB'!AG34)</f>
        <v>-</v>
      </c>
      <c r="AI20" s="82" t="str">
        <f>IF('2b SEGB'!AH34=0,"-",'2b SEGB'!AH34)</f>
        <v>-</v>
      </c>
      <c r="AJ20" s="82" t="str">
        <f>IF('2b SEGB'!AI34=0,"-",'2b SEGB'!AI34)</f>
        <v>-</v>
      </c>
      <c r="AK20" s="82" t="str">
        <f>IF('2b SEGB'!AJ34=0,"-",'2b SEGB'!AJ34)</f>
        <v>-</v>
      </c>
      <c r="AL20" s="82" t="str">
        <f>IF('2b SEGB'!AK34=0,"-",'2b SEGB'!AK34)</f>
        <v>-</v>
      </c>
      <c r="AM20" s="82" t="str">
        <f>IF('2b SEGB'!AL34=0,"-",'2b SEGB'!AL34)</f>
        <v>-</v>
      </c>
      <c r="AN20" s="82" t="str">
        <f>IF('2b SEGB'!AM34=0,"-",'2b SEGB'!AM34)</f>
        <v>-</v>
      </c>
      <c r="AO20" s="82" t="str">
        <f>IF('2b SEGB'!AN34=0,"-",'2b SEGB'!AN34)</f>
        <v>-</v>
      </c>
      <c r="AP20" s="82" t="str">
        <f>IF('2b SEGB'!AO34=0,"-",'2b SEGB'!AO34)</f>
        <v>-</v>
      </c>
      <c r="AQ20" s="82" t="str">
        <f>IF('2b SEGB'!AP34=0,"-",'2b SEGB'!AP34)</f>
        <v>-</v>
      </c>
      <c r="AR20" s="82" t="str">
        <f>IF('2b SEGB'!AQ34=0,"-",'2b SEGB'!AQ34)</f>
        <v>-</v>
      </c>
      <c r="AS20" s="82" t="str">
        <f>IF('2b SEGB'!AR34=0,"-",'2b SEGB'!AR34)</f>
        <v>-</v>
      </c>
      <c r="AT20" s="82" t="str">
        <f>IF('2b SEGB'!AS34=0,"-",'2b SEGB'!AS34)</f>
        <v>-</v>
      </c>
      <c r="AU20" s="82" t="str">
        <f>IF('2b SEGB'!AT34=0,"-",'2b SEGB'!AT34)</f>
        <v>-</v>
      </c>
      <c r="AV20" s="82" t="str">
        <f>IF('2b SEGB'!AU34=0,"-",'2b SEGB'!AU34)</f>
        <v>-</v>
      </c>
      <c r="AW20" s="82" t="str">
        <f>IF('2b SEGB'!AV34=0,"-",'2b SEGB'!AV34)</f>
        <v>-</v>
      </c>
      <c r="AX20" s="82" t="str">
        <f>IF('2b SEGB'!AW34=0,"-",'2b SEGB'!AW34)</f>
        <v>-</v>
      </c>
      <c r="AY20" s="62"/>
      <c r="AZ20" s="62"/>
    </row>
    <row r="21" spans="1:52" s="26" customFormat="1" ht="13.5" x14ac:dyDescent="0.3">
      <c r="A21" s="31"/>
      <c r="B21" s="231"/>
      <c r="C21" s="233"/>
      <c r="D21" s="56" t="s">
        <v>125</v>
      </c>
      <c r="E21" s="56" t="s">
        <v>123</v>
      </c>
      <c r="F21" s="235"/>
      <c r="G21" s="82">
        <f>IF('2d SMICoP'!F19=0,"-",'2d SMICoP'!F19)</f>
        <v>4.8255095738109948E-3</v>
      </c>
      <c r="H21" s="82">
        <f>IF('2d SMICoP'!G19=0,"-",'2d SMICoP'!G19)</f>
        <v>4.8255095738109948E-3</v>
      </c>
      <c r="I21" s="82">
        <f>IF('2d SMICoP'!H19=0,"-",'2d SMICoP'!H19)</f>
        <v>4.8255095738109948E-3</v>
      </c>
      <c r="J21" s="82">
        <f>IF('2d SMICoP'!I19=0,"-",'2d SMICoP'!I19)</f>
        <v>4.8255095738109948E-3</v>
      </c>
      <c r="K21" s="27"/>
      <c r="L21" s="82">
        <f>IF('2d SMICoP'!K19=0,"-",'2d SMICoP'!K19)</f>
        <v>4.8255095738109948E-3</v>
      </c>
      <c r="M21" s="82">
        <f>IF('2d SMICoP'!L19=0,"-",'2d SMICoP'!L19)</f>
        <v>4.792117924437885E-3</v>
      </c>
      <c r="N21" s="82">
        <f>IF('2d SMICoP'!M19=0,"-",'2d SMICoP'!M19)</f>
        <v>4.792117924437885E-3</v>
      </c>
      <c r="O21" s="82">
        <f>IF('2d SMICoP'!N19=0,"-",'2d SMICoP'!N19)</f>
        <v>4.7547499952452499E-3</v>
      </c>
      <c r="P21" s="82">
        <f>IF('2d SMICoP'!O19=0,"-",'2d SMICoP'!O19)</f>
        <v>4.7547499952452499E-3</v>
      </c>
      <c r="Q21" s="82">
        <f>IF('2d SMICoP'!P19=0,"-",'2d SMICoP'!P19)</f>
        <v>4.7341311922435994E-3</v>
      </c>
      <c r="R21" s="82">
        <f>IF('2d SMICoP'!Q19=0,"-",'2d SMICoP'!Q19)</f>
        <v>4.7341311922435994E-3</v>
      </c>
      <c r="S21" s="82">
        <f>IF('2d SMICoP'!R19=0,"-",'2d SMICoP'!R19)</f>
        <v>4.7082752646050701E-3</v>
      </c>
      <c r="T21" s="82">
        <f>IF('2d SMICoP'!S19=0,"-",'2d SMICoP'!S19)</f>
        <v>4.7082752646050701E-3</v>
      </c>
      <c r="U21" s="82">
        <f>IF('2d SMICoP'!T19=0,"-",'2d SMICoP'!T19)</f>
        <v>4.6715874054003553E-3</v>
      </c>
      <c r="V21" s="82" t="str">
        <f>IF('2d SMICoP'!U19=0,"-",'2d SMICoP'!U19)</f>
        <v>-</v>
      </c>
      <c r="W21" s="82" t="str">
        <f>IF('2d SMICoP'!V19=0,"-",'2d SMICoP'!V19)</f>
        <v>-</v>
      </c>
      <c r="X21" s="82" t="str">
        <f>IF('2d SMICoP'!W19=0,"-",'2d SMICoP'!W19)</f>
        <v>-</v>
      </c>
      <c r="Y21" s="82" t="str">
        <f>IF('2d SMICoP'!X19=0,"-",'2d SMICoP'!X19)</f>
        <v>-</v>
      </c>
      <c r="Z21" s="82" t="str">
        <f>IF('2d SMICoP'!Y19=0,"-",'2d SMICoP'!Y19)</f>
        <v>-</v>
      </c>
      <c r="AA21" s="82" t="str">
        <f>IF('2d SMICoP'!Z19=0,"-",'2d SMICoP'!Z19)</f>
        <v>-</v>
      </c>
      <c r="AB21" s="82" t="str">
        <f>IF('2d SMICoP'!AA19=0,"-",'2d SMICoP'!AA19)</f>
        <v>-</v>
      </c>
      <c r="AC21" s="82" t="str">
        <f>IF('2d SMICoP'!AB19=0,"-",'2d SMICoP'!AB19)</f>
        <v>-</v>
      </c>
      <c r="AD21" s="82" t="str">
        <f>IF('2d SMICoP'!AC19=0,"-",'2d SMICoP'!AC19)</f>
        <v>-</v>
      </c>
      <c r="AE21" s="82" t="str">
        <f>IF('2d SMICoP'!AD19=0,"-",'2d SMICoP'!AD19)</f>
        <v>-</v>
      </c>
      <c r="AF21" s="82" t="str">
        <f>IF('2d SMICoP'!AE19=0,"-",'2d SMICoP'!AE19)</f>
        <v>-</v>
      </c>
      <c r="AG21" s="82" t="str">
        <f>IF('2d SMICoP'!AF19=0,"-",'2d SMICoP'!AF19)</f>
        <v>-</v>
      </c>
      <c r="AH21" s="82" t="str">
        <f>IF('2d SMICoP'!AG19=0,"-",'2d SMICoP'!AG19)</f>
        <v>-</v>
      </c>
      <c r="AI21" s="82" t="str">
        <f>IF('2d SMICoP'!AH19=0,"-",'2d SMICoP'!AH19)</f>
        <v>-</v>
      </c>
      <c r="AJ21" s="82" t="str">
        <f>IF('2d SMICoP'!AI19=0,"-",'2d SMICoP'!AI19)</f>
        <v>-</v>
      </c>
      <c r="AK21" s="82" t="str">
        <f>IF('2d SMICoP'!AJ19=0,"-",'2d SMICoP'!AJ19)</f>
        <v>-</v>
      </c>
      <c r="AL21" s="82" t="str">
        <f>IF('2d SMICoP'!AK19=0,"-",'2d SMICoP'!AK19)</f>
        <v>-</v>
      </c>
      <c r="AM21" s="82" t="str">
        <f>IF('2d SMICoP'!AL19=0,"-",'2d SMICoP'!AL19)</f>
        <v>-</v>
      </c>
      <c r="AN21" s="82" t="str">
        <f>IF('2d SMICoP'!AM19=0,"-",'2d SMICoP'!AM19)</f>
        <v>-</v>
      </c>
      <c r="AO21" s="82" t="str">
        <f>IF('2d SMICoP'!AN19=0,"-",'2d SMICoP'!AN19)</f>
        <v>-</v>
      </c>
      <c r="AP21" s="82" t="str">
        <f>IF('2d SMICoP'!AO19=0,"-",'2d SMICoP'!AO19)</f>
        <v>-</v>
      </c>
      <c r="AQ21" s="82" t="str">
        <f>IF('2d SMICoP'!AP19=0,"-",'2d SMICoP'!AP19)</f>
        <v>-</v>
      </c>
      <c r="AR21" s="82" t="str">
        <f>IF('2d SMICoP'!AQ19=0,"-",'2d SMICoP'!AQ19)</f>
        <v>-</v>
      </c>
      <c r="AS21" s="82" t="str">
        <f>IF('2d SMICoP'!AR19=0,"-",'2d SMICoP'!AR19)</f>
        <v>-</v>
      </c>
      <c r="AT21" s="82" t="str">
        <f>IF('2d SMICoP'!AS19=0,"-",'2d SMICoP'!AS19)</f>
        <v>-</v>
      </c>
      <c r="AU21" s="82" t="str">
        <f>IF('2d SMICoP'!AT19=0,"-",'2d SMICoP'!AT19)</f>
        <v>-</v>
      </c>
      <c r="AV21" s="82" t="str">
        <f>IF('2d SMICoP'!AU19=0,"-",'2d SMICoP'!AU19)</f>
        <v>-</v>
      </c>
      <c r="AW21" s="82" t="str">
        <f>IF('2d SMICoP'!AV19=0,"-",'2d SMICoP'!AV19)</f>
        <v>-</v>
      </c>
      <c r="AX21" s="82" t="str">
        <f>IF('2d SMICoP'!AW19=0,"-",'2d SMICoP'!AW19)</f>
        <v>-</v>
      </c>
      <c r="AY21" s="62"/>
      <c r="AZ21" s="62"/>
    </row>
    <row r="22" spans="1:52" s="26" customFormat="1" ht="13.5" x14ac:dyDescent="0.3">
      <c r="A22" s="31"/>
      <c r="B22" s="231"/>
      <c r="C22" s="233"/>
      <c r="D22" s="56" t="s">
        <v>126</v>
      </c>
      <c r="E22" s="56" t="s">
        <v>123</v>
      </c>
      <c r="F22" s="235"/>
      <c r="G22" s="82">
        <f>IF(SUM(G19:G21)=0,"-",SUM(G19:G21))</f>
        <v>5.5074132982916684</v>
      </c>
      <c r="H22" s="82">
        <f t="shared" ref="H22:L22" si="12">IF(SUM(H19:H21)=0,"-",SUM(H19:H21))</f>
        <v>5.4290711612189249</v>
      </c>
      <c r="I22" s="82">
        <f t="shared" si="12"/>
        <v>7.5579965901146409</v>
      </c>
      <c r="J22" s="82">
        <f t="shared" si="12"/>
        <v>7.67216698057105</v>
      </c>
      <c r="K22" s="27"/>
      <c r="L22" s="82">
        <f t="shared" si="12"/>
        <v>7.67216698057105</v>
      </c>
      <c r="M22" s="82">
        <f t="shared" ref="M22" si="13">IF(SUM(M19:M21)=0,"-",SUM(M19:M21))</f>
        <v>9.7121770542895192</v>
      </c>
      <c r="N22" s="82">
        <f t="shared" ref="N22" si="14">IF(SUM(N19:N21)=0,"-",SUM(N19:N21))</f>
        <v>9.5023653600666744</v>
      </c>
      <c r="O22" s="82">
        <f>IF(SUM(O19:O21)=0,"-",SUM(O19:O21))</f>
        <v>11.243820822809798</v>
      </c>
      <c r="P22" s="82">
        <f t="shared" ref="P22" si="15">IF(SUM(P19:P21)=0,"-",SUM(P19:P21))</f>
        <v>10.546841743645116</v>
      </c>
      <c r="Q22" s="82">
        <f t="shared" ref="Q22" si="16">IF(SUM(Q19:Q21)=0,"-",SUM(Q19:Q21))</f>
        <v>10.314306373000434</v>
      </c>
      <c r="R22" s="82">
        <f t="shared" ref="R22" si="17">IF(SUM(R19:R21)=0,"-",SUM(R19:R21))</f>
        <v>10.64995099888044</v>
      </c>
      <c r="S22" s="82">
        <f t="shared" ref="S22" si="18">IF(SUM(S19:S21)=0,"-",SUM(S19:S21))</f>
        <v>10.603650692445576</v>
      </c>
      <c r="T22" s="82">
        <f t="shared" ref="T22" si="19">IF(SUM(T19:T21)=0,"-",SUM(T19:T21))</f>
        <v>10.749886629435592</v>
      </c>
      <c r="U22" s="82">
        <f t="shared" ref="U22" si="20">IF(SUM(U19:U21)=0,"-",SUM(U19:U21))</f>
        <v>11.648763095869592</v>
      </c>
      <c r="V22" s="82" t="str">
        <f t="shared" ref="V22:AX22" si="21">IF(SUM(V19:V21)=0,"-",SUM(V19:V21))</f>
        <v>-</v>
      </c>
      <c r="W22" s="82" t="str">
        <f t="shared" si="21"/>
        <v>-</v>
      </c>
      <c r="X22" s="82" t="str">
        <f t="shared" si="21"/>
        <v>-</v>
      </c>
      <c r="Y22" s="82" t="str">
        <f t="shared" si="21"/>
        <v>-</v>
      </c>
      <c r="Z22" s="82" t="str">
        <f t="shared" si="21"/>
        <v>-</v>
      </c>
      <c r="AA22" s="82" t="str">
        <f t="shared" si="21"/>
        <v>-</v>
      </c>
      <c r="AB22" s="82" t="str">
        <f t="shared" si="21"/>
        <v>-</v>
      </c>
      <c r="AC22" s="82" t="str">
        <f t="shared" si="21"/>
        <v>-</v>
      </c>
      <c r="AD22" s="82" t="str">
        <f t="shared" si="21"/>
        <v>-</v>
      </c>
      <c r="AE22" s="82" t="str">
        <f t="shared" si="21"/>
        <v>-</v>
      </c>
      <c r="AF22" s="82" t="str">
        <f t="shared" si="21"/>
        <v>-</v>
      </c>
      <c r="AG22" s="82" t="str">
        <f t="shared" si="21"/>
        <v>-</v>
      </c>
      <c r="AH22" s="82" t="str">
        <f t="shared" si="21"/>
        <v>-</v>
      </c>
      <c r="AI22" s="82" t="str">
        <f t="shared" si="21"/>
        <v>-</v>
      </c>
      <c r="AJ22" s="82" t="str">
        <f t="shared" si="21"/>
        <v>-</v>
      </c>
      <c r="AK22" s="82" t="str">
        <f t="shared" si="21"/>
        <v>-</v>
      </c>
      <c r="AL22" s="82" t="str">
        <f t="shared" si="21"/>
        <v>-</v>
      </c>
      <c r="AM22" s="82" t="str">
        <f t="shared" si="21"/>
        <v>-</v>
      </c>
      <c r="AN22" s="82" t="str">
        <f t="shared" si="21"/>
        <v>-</v>
      </c>
      <c r="AO22" s="82" t="str">
        <f t="shared" si="21"/>
        <v>-</v>
      </c>
      <c r="AP22" s="82" t="str">
        <f t="shared" si="21"/>
        <v>-</v>
      </c>
      <c r="AQ22" s="82" t="str">
        <f t="shared" si="21"/>
        <v>-</v>
      </c>
      <c r="AR22" s="82" t="str">
        <f t="shared" si="21"/>
        <v>-</v>
      </c>
      <c r="AS22" s="82" t="str">
        <f t="shared" si="21"/>
        <v>-</v>
      </c>
      <c r="AT22" s="82" t="str">
        <f t="shared" si="21"/>
        <v>-</v>
      </c>
      <c r="AU22" s="82" t="str">
        <f t="shared" si="21"/>
        <v>-</v>
      </c>
      <c r="AV22" s="82" t="str">
        <f t="shared" si="21"/>
        <v>-</v>
      </c>
      <c r="AW22" s="82" t="str">
        <f t="shared" si="21"/>
        <v>-</v>
      </c>
      <c r="AX22" s="82" t="str">
        <f t="shared" si="21"/>
        <v>-</v>
      </c>
      <c r="AY22" s="62"/>
      <c r="AZ22" s="62"/>
    </row>
    <row r="23" spans="1:52" s="26" customFormat="1" ht="13.5" x14ac:dyDescent="0.3">
      <c r="A23" s="31"/>
      <c r="B23" s="231"/>
      <c r="C23" s="233"/>
      <c r="D23" s="56" t="s">
        <v>127</v>
      </c>
      <c r="E23" s="56" t="s">
        <v>128</v>
      </c>
      <c r="F23" s="235"/>
      <c r="G23" s="82">
        <f>G17</f>
        <v>1</v>
      </c>
      <c r="H23" s="82">
        <f t="shared" ref="H23:U23" si="22">H17</f>
        <v>1.0127201565557731</v>
      </c>
      <c r="I23" s="82">
        <f t="shared" si="22"/>
        <v>1.0273972602739725</v>
      </c>
      <c r="J23" s="82">
        <f t="shared" si="22"/>
        <v>1.0362035225048924</v>
      </c>
      <c r="K23" s="27"/>
      <c r="L23" s="82">
        <f t="shared" si="22"/>
        <v>1.0362035225048924</v>
      </c>
      <c r="M23" s="82">
        <f t="shared" si="22"/>
        <v>1.047945205479452</v>
      </c>
      <c r="N23" s="82">
        <f t="shared" si="22"/>
        <v>1.0557729941291585</v>
      </c>
      <c r="O23" s="82">
        <f>O17</f>
        <v>1.0616438356164384</v>
      </c>
      <c r="P23" s="82">
        <f t="shared" si="22"/>
        <v>1.0645792563600782</v>
      </c>
      <c r="Q23" s="82">
        <f t="shared" si="22"/>
        <v>1.0704500978473581</v>
      </c>
      <c r="R23" s="82">
        <f t="shared" si="22"/>
        <v>1.0900195694716244</v>
      </c>
      <c r="S23" s="82">
        <f t="shared" si="22"/>
        <v>1.1223091976516635</v>
      </c>
      <c r="T23" s="82">
        <f t="shared" si="22"/>
        <v>1.1790606653620352</v>
      </c>
      <c r="U23" s="82">
        <f t="shared" si="22"/>
        <v>1.226027397260274</v>
      </c>
      <c r="V23" s="82" t="str">
        <f t="shared" ref="V23:AX23" si="23">V17</f>
        <v>-</v>
      </c>
      <c r="W23" s="82" t="str">
        <f t="shared" si="23"/>
        <v>-</v>
      </c>
      <c r="X23" s="82" t="str">
        <f t="shared" si="23"/>
        <v>-</v>
      </c>
      <c r="Y23" s="82" t="str">
        <f t="shared" si="23"/>
        <v>-</v>
      </c>
      <c r="Z23" s="82" t="str">
        <f t="shared" si="23"/>
        <v>-</v>
      </c>
      <c r="AA23" s="82" t="str">
        <f t="shared" si="23"/>
        <v>-</v>
      </c>
      <c r="AB23" s="82" t="str">
        <f t="shared" si="23"/>
        <v>-</v>
      </c>
      <c r="AC23" s="82" t="str">
        <f t="shared" si="23"/>
        <v>-</v>
      </c>
      <c r="AD23" s="82" t="str">
        <f t="shared" si="23"/>
        <v>-</v>
      </c>
      <c r="AE23" s="82" t="str">
        <f t="shared" si="23"/>
        <v>-</v>
      </c>
      <c r="AF23" s="82" t="str">
        <f t="shared" si="23"/>
        <v>-</v>
      </c>
      <c r="AG23" s="82" t="str">
        <f t="shared" si="23"/>
        <v>-</v>
      </c>
      <c r="AH23" s="82" t="str">
        <f t="shared" si="23"/>
        <v>-</v>
      </c>
      <c r="AI23" s="82" t="str">
        <f t="shared" si="23"/>
        <v>-</v>
      </c>
      <c r="AJ23" s="82" t="str">
        <f t="shared" si="23"/>
        <v>-</v>
      </c>
      <c r="AK23" s="82" t="str">
        <f t="shared" si="23"/>
        <v>-</v>
      </c>
      <c r="AL23" s="82" t="str">
        <f t="shared" si="23"/>
        <v>-</v>
      </c>
      <c r="AM23" s="82" t="str">
        <f t="shared" si="23"/>
        <v>-</v>
      </c>
      <c r="AN23" s="82" t="str">
        <f t="shared" si="23"/>
        <v>-</v>
      </c>
      <c r="AO23" s="82" t="str">
        <f t="shared" si="23"/>
        <v>-</v>
      </c>
      <c r="AP23" s="82" t="str">
        <f t="shared" si="23"/>
        <v>-</v>
      </c>
      <c r="AQ23" s="82" t="str">
        <f t="shared" si="23"/>
        <v>-</v>
      </c>
      <c r="AR23" s="82" t="str">
        <f t="shared" si="23"/>
        <v>-</v>
      </c>
      <c r="AS23" s="82" t="str">
        <f t="shared" si="23"/>
        <v>-</v>
      </c>
      <c r="AT23" s="82" t="str">
        <f t="shared" si="23"/>
        <v>-</v>
      </c>
      <c r="AU23" s="82" t="str">
        <f t="shared" si="23"/>
        <v>-</v>
      </c>
      <c r="AV23" s="82" t="str">
        <f t="shared" si="23"/>
        <v>-</v>
      </c>
      <c r="AW23" s="82" t="str">
        <f t="shared" si="23"/>
        <v>-</v>
      </c>
      <c r="AX23" s="82" t="str">
        <f t="shared" si="23"/>
        <v>-</v>
      </c>
      <c r="AY23" s="62"/>
      <c r="AZ23" s="62"/>
    </row>
    <row r="24" spans="1:52" s="26" customFormat="1" ht="13.5" x14ac:dyDescent="0.3">
      <c r="A24" s="31"/>
      <c r="B24" s="204"/>
      <c r="C24" s="234"/>
      <c r="D24" s="56" t="s">
        <v>129</v>
      </c>
      <c r="E24" s="56" t="s">
        <v>123</v>
      </c>
      <c r="F24" s="210"/>
      <c r="G24" s="82">
        <f>IF(G22="-","-",G22-($G$22*G23))</f>
        <v>0</v>
      </c>
      <c r="H24" s="82">
        <f t="shared" ref="H24:J24" si="24">IF(H22="-","-",H22-($G$22*H23))</f>
        <v>-0.14839729644435984</v>
      </c>
      <c r="I24" s="82">
        <f t="shared" si="24"/>
        <v>1.899695256253338</v>
      </c>
      <c r="J24" s="82">
        <f t="shared" si="24"/>
        <v>1.9653659209909353</v>
      </c>
      <c r="K24" s="27"/>
      <c r="L24" s="82">
        <f>IF(L22="-","-",L22-($G$22*L23))</f>
        <v>1.9653659209909353</v>
      </c>
      <c r="M24" s="82">
        <f t="shared" ref="M24" si="25">IF(M22="-","-",M22-($G$22*M23))</f>
        <v>3.94070969375099</v>
      </c>
      <c r="N24" s="82">
        <f t="shared" ref="N24" si="26">IF(N22="-","-",N22-($G$22*N23))</f>
        <v>3.6877871322225353</v>
      </c>
      <c r="O24" s="82">
        <f>IF(O22="-","-",O22-($G$22*O23))</f>
        <v>5.396909444486452</v>
      </c>
      <c r="P24" s="82">
        <f t="shared" ref="P24" si="27">IF(P22="-","-",P22-($G$22*P23))</f>
        <v>4.6837637900821658</v>
      </c>
      <c r="Q24" s="82">
        <f t="shared" ref="Q24" si="28">IF(Q22="-","-",Q22-($G$22*Q23))</f>
        <v>4.418895268958277</v>
      </c>
      <c r="R24" s="82">
        <f t="shared" ref="R24" si="29">IF(R22="-","-",R22-($G$22*R23))</f>
        <v>4.6467627265742566</v>
      </c>
      <c r="S24" s="82">
        <f t="shared" ref="S24" si="30">IF(S22="-","-",S22-($G$22*S23))</f>
        <v>4.4226300925037529</v>
      </c>
      <c r="T24" s="82">
        <f>IF(T22="-","-",T22-($G$22*T23))</f>
        <v>4.2563122415280965</v>
      </c>
      <c r="U24" s="82">
        <f t="shared" ref="U24" si="31">IF(U22="-","-",U22-($G$22*U23))</f>
        <v>4.896523504128437</v>
      </c>
      <c r="V24" s="82" t="str">
        <f t="shared" ref="V24:AX24" si="32">IF(V22="-","-",V22-($G$22*V23))</f>
        <v>-</v>
      </c>
      <c r="W24" s="82" t="str">
        <f t="shared" si="32"/>
        <v>-</v>
      </c>
      <c r="X24" s="82" t="str">
        <f t="shared" si="32"/>
        <v>-</v>
      </c>
      <c r="Y24" s="82" t="str">
        <f t="shared" si="32"/>
        <v>-</v>
      </c>
      <c r="Z24" s="82" t="str">
        <f t="shared" si="32"/>
        <v>-</v>
      </c>
      <c r="AA24" s="82" t="str">
        <f t="shared" si="32"/>
        <v>-</v>
      </c>
      <c r="AB24" s="82" t="str">
        <f t="shared" si="32"/>
        <v>-</v>
      </c>
      <c r="AC24" s="82" t="str">
        <f t="shared" si="32"/>
        <v>-</v>
      </c>
      <c r="AD24" s="82" t="str">
        <f t="shared" si="32"/>
        <v>-</v>
      </c>
      <c r="AE24" s="82" t="str">
        <f t="shared" si="32"/>
        <v>-</v>
      </c>
      <c r="AF24" s="82" t="str">
        <f t="shared" si="32"/>
        <v>-</v>
      </c>
      <c r="AG24" s="82" t="str">
        <f t="shared" si="32"/>
        <v>-</v>
      </c>
      <c r="AH24" s="82" t="str">
        <f t="shared" si="32"/>
        <v>-</v>
      </c>
      <c r="AI24" s="82" t="str">
        <f t="shared" si="32"/>
        <v>-</v>
      </c>
      <c r="AJ24" s="82" t="str">
        <f t="shared" si="32"/>
        <v>-</v>
      </c>
      <c r="AK24" s="82" t="str">
        <f t="shared" si="32"/>
        <v>-</v>
      </c>
      <c r="AL24" s="82" t="str">
        <f t="shared" si="32"/>
        <v>-</v>
      </c>
      <c r="AM24" s="82" t="str">
        <f t="shared" si="32"/>
        <v>-</v>
      </c>
      <c r="AN24" s="82" t="str">
        <f t="shared" si="32"/>
        <v>-</v>
      </c>
      <c r="AO24" s="82" t="str">
        <f t="shared" si="32"/>
        <v>-</v>
      </c>
      <c r="AP24" s="82" t="str">
        <f t="shared" si="32"/>
        <v>-</v>
      </c>
      <c r="AQ24" s="82" t="str">
        <f t="shared" si="32"/>
        <v>-</v>
      </c>
      <c r="AR24" s="82" t="str">
        <f t="shared" si="32"/>
        <v>-</v>
      </c>
      <c r="AS24" s="82" t="str">
        <f t="shared" si="32"/>
        <v>-</v>
      </c>
      <c r="AT24" s="82" t="str">
        <f t="shared" si="32"/>
        <v>-</v>
      </c>
      <c r="AU24" s="82" t="str">
        <f t="shared" si="32"/>
        <v>-</v>
      </c>
      <c r="AV24" s="82" t="str">
        <f t="shared" si="32"/>
        <v>-</v>
      </c>
      <c r="AW24" s="82" t="str">
        <f t="shared" si="32"/>
        <v>-</v>
      </c>
      <c r="AX24" s="82" t="str">
        <f t="shared" si="32"/>
        <v>-</v>
      </c>
      <c r="AY24" s="62"/>
      <c r="AZ24" s="62"/>
    </row>
    <row r="25" spans="1:52" s="26" customFormat="1" ht="13.5" x14ac:dyDescent="0.3">
      <c r="A25" s="31"/>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row>
    <row r="26" spans="1:52" s="26" customFormat="1" ht="13.5" x14ac:dyDescent="0.3">
      <c r="A26" s="31"/>
      <c r="B26" s="43" t="s">
        <v>131</v>
      </c>
      <c r="C26" s="43"/>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row>
    <row r="27" spans="1:52" s="26" customFormat="1" ht="13.5" x14ac:dyDescent="0.3">
      <c r="A27" s="31"/>
      <c r="B27" s="43"/>
      <c r="C27" s="43"/>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row>
    <row r="28" spans="1:52" s="26" customFormat="1" ht="25.5" customHeight="1" x14ac:dyDescent="0.3">
      <c r="A28" s="31"/>
      <c r="B28" s="83" t="s">
        <v>72</v>
      </c>
      <c r="C28" s="50" t="s">
        <v>73</v>
      </c>
      <c r="D28" s="83" t="s">
        <v>29</v>
      </c>
      <c r="E28" s="83" t="s">
        <v>74</v>
      </c>
      <c r="F28" s="83" t="s">
        <v>79</v>
      </c>
      <c r="G28" s="193"/>
      <c r="H28" s="194"/>
      <c r="I28" s="195"/>
      <c r="J28" s="81" t="s">
        <v>83</v>
      </c>
      <c r="K28" s="27"/>
      <c r="L28" s="81" t="s">
        <v>84</v>
      </c>
      <c r="M28" s="81" t="s">
        <v>85</v>
      </c>
      <c r="N28" s="81" t="s">
        <v>86</v>
      </c>
      <c r="O28" s="81" t="s">
        <v>87</v>
      </c>
      <c r="P28" s="81" t="s">
        <v>88</v>
      </c>
      <c r="Q28" s="81" t="s">
        <v>89</v>
      </c>
      <c r="R28" s="81" t="s">
        <v>90</v>
      </c>
      <c r="S28" s="81" t="s">
        <v>91</v>
      </c>
      <c r="T28" s="81" t="s">
        <v>92</v>
      </c>
      <c r="U28" s="81" t="s">
        <v>93</v>
      </c>
      <c r="V28" s="81" t="s">
        <v>94</v>
      </c>
      <c r="W28" s="81" t="s">
        <v>597</v>
      </c>
      <c r="X28" s="81" t="s">
        <v>598</v>
      </c>
      <c r="Y28" s="81" t="s">
        <v>599</v>
      </c>
      <c r="Z28" s="81" t="s">
        <v>600</v>
      </c>
      <c r="AA28" s="81" t="s">
        <v>601</v>
      </c>
      <c r="AB28" s="81" t="s">
        <v>602</v>
      </c>
      <c r="AC28" s="81" t="s">
        <v>603</v>
      </c>
      <c r="AD28" s="81" t="s">
        <v>604</v>
      </c>
      <c r="AE28" s="81" t="s">
        <v>605</v>
      </c>
      <c r="AF28" s="81" t="s">
        <v>606</v>
      </c>
      <c r="AG28" s="81" t="s">
        <v>607</v>
      </c>
      <c r="AH28" s="81" t="s">
        <v>608</v>
      </c>
      <c r="AI28" s="81" t="s">
        <v>609</v>
      </c>
      <c r="AJ28" s="81" t="s">
        <v>611</v>
      </c>
      <c r="AK28" s="81" t="s">
        <v>612</v>
      </c>
      <c r="AL28" s="81" t="s">
        <v>613</v>
      </c>
      <c r="AM28" s="81" t="s">
        <v>614</v>
      </c>
      <c r="AN28" s="81" t="s">
        <v>610</v>
      </c>
      <c r="AO28" s="81" t="s">
        <v>615</v>
      </c>
      <c r="AP28" s="81" t="s">
        <v>616</v>
      </c>
      <c r="AQ28" s="81" t="s">
        <v>617</v>
      </c>
      <c r="AR28" s="81" t="s">
        <v>618</v>
      </c>
      <c r="AS28" s="81" t="s">
        <v>619</v>
      </c>
      <c r="AT28" s="81" t="s">
        <v>620</v>
      </c>
      <c r="AU28" s="81" t="s">
        <v>621</v>
      </c>
      <c r="AV28" s="81" t="s">
        <v>622</v>
      </c>
      <c r="AW28" s="81" t="s">
        <v>623</v>
      </c>
      <c r="AX28" s="81" t="s">
        <v>624</v>
      </c>
      <c r="AY28" s="62"/>
      <c r="AZ28" s="62"/>
    </row>
    <row r="29" spans="1:52" s="26" customFormat="1" ht="13.5" x14ac:dyDescent="0.3">
      <c r="A29" s="31"/>
      <c r="B29" s="56" t="s">
        <v>120</v>
      </c>
      <c r="C29" s="205" t="s">
        <v>132</v>
      </c>
      <c r="D29" s="203" t="s">
        <v>133</v>
      </c>
      <c r="E29" s="203" t="s">
        <v>123</v>
      </c>
      <c r="F29" s="209"/>
      <c r="G29" s="196"/>
      <c r="H29" s="197"/>
      <c r="I29" s="198"/>
      <c r="J29" s="84">
        <f>IF('2a Non pass-through costs'!G8="","-",'2a Non pass-through costs'!G8)</f>
        <v>9.02</v>
      </c>
      <c r="K29" s="27"/>
      <c r="L29" s="84">
        <f>IF('2a Non pass-through costs'!I8="","-",'2a Non pass-through costs'!I8)</f>
        <v>9.02</v>
      </c>
      <c r="M29" s="84">
        <f>IF('2a Non pass-through costs'!J8="","-",'2a Non pass-through costs'!J8)</f>
        <v>9.02</v>
      </c>
      <c r="N29" s="84">
        <f>IF('2a Non pass-through costs'!K8="","-",'2a Non pass-through costs'!K8)</f>
        <v>9.26</v>
      </c>
      <c r="O29" s="84">
        <f>IF('2a Non pass-through costs'!L8="","-",'2a Non pass-through costs'!L8)</f>
        <v>9.4986124349857892</v>
      </c>
      <c r="P29" s="84">
        <f>IF('2a Non pass-through costs'!M8="","-",'2a Non pass-through costs'!M8)</f>
        <v>10.64014630951915</v>
      </c>
      <c r="Q29" s="84">
        <f>IF('2a Non pass-through costs'!N8="","-",'2a Non pass-through costs'!N8)</f>
        <v>10.64014630951915</v>
      </c>
      <c r="R29" s="84">
        <f>IF('2a Non pass-through costs'!O8="","-",'2a Non pass-through costs'!O8)</f>
        <v>10.26</v>
      </c>
      <c r="S29" s="84">
        <f>IF('2a Non pass-through costs'!P8="","-",'2a Non pass-through costs'!P8)</f>
        <v>9.06</v>
      </c>
      <c r="T29" s="84">
        <f>IF('2a Non pass-through costs'!Q8="","-",'2a Non pass-through costs'!Q8)</f>
        <v>10.17</v>
      </c>
      <c r="U29" s="84">
        <f>IF('2a Non pass-through costs'!R8="","-",'2a Non pass-through costs'!R8)</f>
        <v>10.55</v>
      </c>
      <c r="V29" s="84">
        <f>IF('2a Non pass-through costs'!S8="","-",'2a Non pass-through costs'!S8)</f>
        <v>10.55</v>
      </c>
      <c r="W29" s="84" t="str">
        <f>IF('2a Non pass-through costs'!T8="","-",'2a Non pass-through costs'!T8)</f>
        <v>-</v>
      </c>
      <c r="X29" s="84" t="str">
        <f>IF('2a Non pass-through costs'!U8="","-",'2a Non pass-through costs'!U8)</f>
        <v>-</v>
      </c>
      <c r="Y29" s="84" t="str">
        <f>IF('2a Non pass-through costs'!V8="","-",'2a Non pass-through costs'!V8)</f>
        <v>-</v>
      </c>
      <c r="Z29" s="84" t="str">
        <f>IF('2a Non pass-through costs'!W8="","-",'2a Non pass-through costs'!W8)</f>
        <v>-</v>
      </c>
      <c r="AA29" s="84" t="str">
        <f>IF('2a Non pass-through costs'!X8="","-",'2a Non pass-through costs'!X8)</f>
        <v>-</v>
      </c>
      <c r="AB29" s="84" t="str">
        <f>IF('2a Non pass-through costs'!Y8="","-",'2a Non pass-through costs'!Y8)</f>
        <v>-</v>
      </c>
      <c r="AC29" s="84" t="str">
        <f>IF('2a Non pass-through costs'!Z8="","-",'2a Non pass-through costs'!Z8)</f>
        <v>-</v>
      </c>
      <c r="AD29" s="84" t="str">
        <f>IF('2a Non pass-through costs'!AA8="","-",'2a Non pass-through costs'!AA8)</f>
        <v>-</v>
      </c>
      <c r="AE29" s="84" t="str">
        <f>IF('2a Non pass-through costs'!AB8="","-",'2a Non pass-through costs'!AB8)</f>
        <v>-</v>
      </c>
      <c r="AF29" s="84" t="str">
        <f>IF('2a Non pass-through costs'!AC8="","-",'2a Non pass-through costs'!AC8)</f>
        <v>-</v>
      </c>
      <c r="AG29" s="84" t="str">
        <f>IF('2a Non pass-through costs'!AD8="","-",'2a Non pass-through costs'!AD8)</f>
        <v>-</v>
      </c>
      <c r="AH29" s="84" t="str">
        <f>IF('2a Non pass-through costs'!AE8="","-",'2a Non pass-through costs'!AE8)</f>
        <v>-</v>
      </c>
      <c r="AI29" s="84" t="str">
        <f>IF('2a Non pass-through costs'!AF8="","-",'2a Non pass-through costs'!AF8)</f>
        <v>-</v>
      </c>
      <c r="AJ29" s="84" t="str">
        <f>IF('2a Non pass-through costs'!AG8="","-",'2a Non pass-through costs'!AG8)</f>
        <v>-</v>
      </c>
      <c r="AK29" s="84" t="str">
        <f>IF('2a Non pass-through costs'!AH8="","-",'2a Non pass-through costs'!AH8)</f>
        <v>-</v>
      </c>
      <c r="AL29" s="84" t="str">
        <f>IF('2a Non pass-through costs'!AI8="","-",'2a Non pass-through costs'!AI8)</f>
        <v>-</v>
      </c>
      <c r="AM29" s="84" t="str">
        <f>IF('2a Non pass-through costs'!AJ8="","-",'2a Non pass-through costs'!AJ8)</f>
        <v>-</v>
      </c>
      <c r="AN29" s="84" t="str">
        <f>IF('2a Non pass-through costs'!AK8="","-",'2a Non pass-through costs'!AK8)</f>
        <v>-</v>
      </c>
      <c r="AO29" s="84" t="str">
        <f>IF('2a Non pass-through costs'!AL8="","-",'2a Non pass-through costs'!AL8)</f>
        <v>-</v>
      </c>
      <c r="AP29" s="84" t="str">
        <f>IF('2a Non pass-through costs'!AM8="","-",'2a Non pass-through costs'!AM8)</f>
        <v>-</v>
      </c>
      <c r="AQ29" s="84" t="str">
        <f>IF('2a Non pass-through costs'!AN8="","-",'2a Non pass-through costs'!AN8)</f>
        <v>-</v>
      </c>
      <c r="AR29" s="84" t="str">
        <f>IF('2a Non pass-through costs'!AO8="","-",'2a Non pass-through costs'!AO8)</f>
        <v>-</v>
      </c>
      <c r="AS29" s="84" t="str">
        <f>IF('2a Non pass-through costs'!AP8="","-",'2a Non pass-through costs'!AP8)</f>
        <v>-</v>
      </c>
      <c r="AT29" s="84" t="str">
        <f>IF('2a Non pass-through costs'!AQ8="","-",'2a Non pass-through costs'!AQ8)</f>
        <v>-</v>
      </c>
      <c r="AU29" s="84" t="str">
        <f>IF('2a Non pass-through costs'!AR8="","-",'2a Non pass-through costs'!AR8)</f>
        <v>-</v>
      </c>
      <c r="AV29" s="84" t="str">
        <f>IF('2a Non pass-through costs'!AS8="","-",'2a Non pass-through costs'!AS8)</f>
        <v>-</v>
      </c>
      <c r="AW29" s="84" t="str">
        <f>IF('2a Non pass-through costs'!AT8="","-",'2a Non pass-through costs'!AT8)</f>
        <v>-</v>
      </c>
      <c r="AX29" s="84" t="str">
        <f>IF('2a Non pass-through costs'!AU8="","-",'2a Non pass-through costs'!AU8)</f>
        <v>-</v>
      </c>
      <c r="AY29" s="62"/>
      <c r="AZ29" s="62"/>
    </row>
    <row r="30" spans="1:52" s="26" customFormat="1" ht="13.5" x14ac:dyDescent="0.3">
      <c r="A30" s="31"/>
      <c r="B30" s="56" t="s">
        <v>130</v>
      </c>
      <c r="C30" s="206"/>
      <c r="D30" s="204"/>
      <c r="E30" s="204"/>
      <c r="F30" s="210"/>
      <c r="G30" s="199"/>
      <c r="H30" s="200"/>
      <c r="I30" s="201"/>
      <c r="J30" s="84">
        <f>IF('2a Non pass-through costs'!G9="","-",'2a Non pass-through costs'!G9)</f>
        <v>10.7</v>
      </c>
      <c r="K30" s="27"/>
      <c r="L30" s="84">
        <f>IF('2a Non pass-through costs'!I9="","-",'2a Non pass-through costs'!I9)</f>
        <v>10.7</v>
      </c>
      <c r="M30" s="84">
        <f>IF('2a Non pass-through costs'!J9="","-",'2a Non pass-through costs'!J9)</f>
        <v>10.7</v>
      </c>
      <c r="N30" s="84">
        <f>IF('2a Non pass-through costs'!K9="","-",'2a Non pass-through costs'!K9)</f>
        <v>11.24</v>
      </c>
      <c r="O30" s="84">
        <f>IF('2a Non pass-through costs'!L9="","-",'2a Non pass-through costs'!L9)</f>
        <v>11.773847615869055</v>
      </c>
      <c r="P30" s="84">
        <f>IF('2a Non pass-through costs'!M9="","-",'2a Non pass-through costs'!M9)</f>
        <v>6.4812260764723026</v>
      </c>
      <c r="Q30" s="84">
        <f>IF('2a Non pass-through costs'!N9="","-",'2a Non pass-through costs'!N9)</f>
        <v>6.4812260764723026</v>
      </c>
      <c r="R30" s="84">
        <f>IF('2a Non pass-through costs'!O9="","-",'2a Non pass-through costs'!O9)</f>
        <v>3.33</v>
      </c>
      <c r="S30" s="84">
        <f>IF('2a Non pass-through costs'!P9="","-",'2a Non pass-through costs'!P9)</f>
        <v>-1.04</v>
      </c>
      <c r="T30" s="84">
        <f>IF('2a Non pass-through costs'!Q9="","-",'2a Non pass-through costs'!Q9)</f>
        <v>-0.8</v>
      </c>
      <c r="U30" s="84">
        <f>IF('2a Non pass-through costs'!R9="","-",'2a Non pass-through costs'!R9)</f>
        <v>-0.88</v>
      </c>
      <c r="V30" s="84">
        <f>IF('2a Non pass-through costs'!S9="","-",'2a Non pass-through costs'!S9)</f>
        <v>-0.88</v>
      </c>
      <c r="W30" s="84" t="str">
        <f>IF('2a Non pass-through costs'!T9="","-",'2a Non pass-through costs'!T9)</f>
        <v>-</v>
      </c>
      <c r="X30" s="84" t="str">
        <f>IF('2a Non pass-through costs'!U9="","-",'2a Non pass-through costs'!U9)</f>
        <v>-</v>
      </c>
      <c r="Y30" s="84" t="str">
        <f>IF('2a Non pass-through costs'!V9="","-",'2a Non pass-through costs'!V9)</f>
        <v>-</v>
      </c>
      <c r="Z30" s="84" t="str">
        <f>IF('2a Non pass-through costs'!W9="","-",'2a Non pass-through costs'!W9)</f>
        <v>-</v>
      </c>
      <c r="AA30" s="84" t="str">
        <f>IF('2a Non pass-through costs'!X9="","-",'2a Non pass-through costs'!X9)</f>
        <v>-</v>
      </c>
      <c r="AB30" s="84" t="str">
        <f>IF('2a Non pass-through costs'!Y9="","-",'2a Non pass-through costs'!Y9)</f>
        <v>-</v>
      </c>
      <c r="AC30" s="84" t="str">
        <f>IF('2a Non pass-through costs'!Z9="","-",'2a Non pass-through costs'!Z9)</f>
        <v>-</v>
      </c>
      <c r="AD30" s="84" t="str">
        <f>IF('2a Non pass-through costs'!AA9="","-",'2a Non pass-through costs'!AA9)</f>
        <v>-</v>
      </c>
      <c r="AE30" s="84" t="str">
        <f>IF('2a Non pass-through costs'!AB9="","-",'2a Non pass-through costs'!AB9)</f>
        <v>-</v>
      </c>
      <c r="AF30" s="84" t="str">
        <f>IF('2a Non pass-through costs'!AC9="","-",'2a Non pass-through costs'!AC9)</f>
        <v>-</v>
      </c>
      <c r="AG30" s="84" t="str">
        <f>IF('2a Non pass-through costs'!AD9="","-",'2a Non pass-through costs'!AD9)</f>
        <v>-</v>
      </c>
      <c r="AH30" s="84" t="str">
        <f>IF('2a Non pass-through costs'!AE9="","-",'2a Non pass-through costs'!AE9)</f>
        <v>-</v>
      </c>
      <c r="AI30" s="84" t="str">
        <f>IF('2a Non pass-through costs'!AF9="","-",'2a Non pass-through costs'!AF9)</f>
        <v>-</v>
      </c>
      <c r="AJ30" s="84" t="str">
        <f>IF('2a Non pass-through costs'!AG9="","-",'2a Non pass-through costs'!AG9)</f>
        <v>-</v>
      </c>
      <c r="AK30" s="84" t="str">
        <f>IF('2a Non pass-through costs'!AH9="","-",'2a Non pass-through costs'!AH9)</f>
        <v>-</v>
      </c>
      <c r="AL30" s="84" t="str">
        <f>IF('2a Non pass-through costs'!AI9="","-",'2a Non pass-through costs'!AI9)</f>
        <v>-</v>
      </c>
      <c r="AM30" s="84" t="str">
        <f>IF('2a Non pass-through costs'!AJ9="","-",'2a Non pass-through costs'!AJ9)</f>
        <v>-</v>
      </c>
      <c r="AN30" s="84" t="str">
        <f>IF('2a Non pass-through costs'!AK9="","-",'2a Non pass-through costs'!AK9)</f>
        <v>-</v>
      </c>
      <c r="AO30" s="84" t="str">
        <f>IF('2a Non pass-through costs'!AL9="","-",'2a Non pass-through costs'!AL9)</f>
        <v>-</v>
      </c>
      <c r="AP30" s="84" t="str">
        <f>IF('2a Non pass-through costs'!AM9="","-",'2a Non pass-through costs'!AM9)</f>
        <v>-</v>
      </c>
      <c r="AQ30" s="84" t="str">
        <f>IF('2a Non pass-through costs'!AN9="","-",'2a Non pass-through costs'!AN9)</f>
        <v>-</v>
      </c>
      <c r="AR30" s="84" t="str">
        <f>IF('2a Non pass-through costs'!AO9="","-",'2a Non pass-through costs'!AO9)</f>
        <v>-</v>
      </c>
      <c r="AS30" s="84" t="str">
        <f>IF('2a Non pass-through costs'!AP9="","-",'2a Non pass-through costs'!AP9)</f>
        <v>-</v>
      </c>
      <c r="AT30" s="84" t="str">
        <f>IF('2a Non pass-through costs'!AQ9="","-",'2a Non pass-through costs'!AQ9)</f>
        <v>-</v>
      </c>
      <c r="AU30" s="84" t="str">
        <f>IF('2a Non pass-through costs'!AR9="","-",'2a Non pass-through costs'!AR9)</f>
        <v>-</v>
      </c>
      <c r="AV30" s="84" t="str">
        <f>IF('2a Non pass-through costs'!AS9="","-",'2a Non pass-through costs'!AS9)</f>
        <v>-</v>
      </c>
      <c r="AW30" s="84" t="str">
        <f>IF('2a Non pass-through costs'!AT9="","-",'2a Non pass-through costs'!AT9)</f>
        <v>-</v>
      </c>
      <c r="AX30" s="84" t="str">
        <f>IF('2a Non pass-through costs'!AU9="","-",'2a Non pass-through costs'!AU9)</f>
        <v>-</v>
      </c>
      <c r="AY30" s="62"/>
      <c r="AZ30" s="62"/>
    </row>
    <row r="31" spans="1:52" s="26" customFormat="1" ht="13.5" x14ac:dyDescent="0.3">
      <c r="A31" s="31"/>
      <c r="B31" s="56" t="s">
        <v>120</v>
      </c>
      <c r="C31" s="205" t="s">
        <v>134</v>
      </c>
      <c r="D31" s="203" t="s">
        <v>133</v>
      </c>
      <c r="E31" s="203" t="s">
        <v>123</v>
      </c>
      <c r="F31" s="209"/>
      <c r="G31" s="196"/>
      <c r="H31" s="197"/>
      <c r="I31" s="198"/>
      <c r="J31" s="84" t="str">
        <f>IF('2a Non pass-through costs'!G10="","-",'2a Non pass-through costs'!G10)</f>
        <v>-</v>
      </c>
      <c r="K31" s="27"/>
      <c r="L31" s="84" t="str">
        <f>IF('2a Non pass-through costs'!I10="","-",'2a Non pass-through costs'!I10)</f>
        <v>-</v>
      </c>
      <c r="M31" s="84" t="str">
        <f>IF('2a Non pass-through costs'!J10="","-",'2a Non pass-through costs'!J10)</f>
        <v>-</v>
      </c>
      <c r="N31" s="84" t="str">
        <f>IF('2a Non pass-through costs'!K10="","-",'2a Non pass-through costs'!K10)</f>
        <v>-</v>
      </c>
      <c r="O31" s="84" t="str">
        <f>IF('2a Non pass-through costs'!L10="","-",'2a Non pass-through costs'!L10)</f>
        <v>-</v>
      </c>
      <c r="P31" s="84">
        <f>IF('2a Non pass-through costs'!M10="","-",'2a Non pass-through costs'!M10)</f>
        <v>0</v>
      </c>
      <c r="Q31" s="84">
        <f>IF('2a Non pass-through costs'!N10="","-",'2a Non pass-through costs'!N10)</f>
        <v>0</v>
      </c>
      <c r="R31" s="84">
        <f>IF('2a Non pass-through costs'!O10="","-",'2a Non pass-through costs'!O10)</f>
        <v>-2.6105662978165212</v>
      </c>
      <c r="S31" s="84">
        <f>IF('2a Non pass-through costs'!P10="","-",'2a Non pass-through costs'!P10)</f>
        <v>-1.26</v>
      </c>
      <c r="T31" s="84">
        <f>IF('2a Non pass-through costs'!Q10="","-",'2a Non pass-through costs'!Q10)</f>
        <v>-5.26</v>
      </c>
      <c r="U31" s="84">
        <f>IF('2a Non pass-through costs'!R10="","-",'2a Non pass-through costs'!R10)</f>
        <v>-6.25</v>
      </c>
      <c r="V31" s="84">
        <f>IF('2a Non pass-through costs'!S10="","-",'2a Non pass-through costs'!S10)</f>
        <v>-6.25</v>
      </c>
      <c r="W31" s="84" t="str">
        <f>IF('2a Non pass-through costs'!T10="","-",'2a Non pass-through costs'!T10)</f>
        <v>-</v>
      </c>
      <c r="X31" s="84" t="str">
        <f>IF('2a Non pass-through costs'!U10="","-",'2a Non pass-through costs'!U10)</f>
        <v>-</v>
      </c>
      <c r="Y31" s="84" t="str">
        <f>IF('2a Non pass-through costs'!V10="","-",'2a Non pass-through costs'!V10)</f>
        <v>-</v>
      </c>
      <c r="Z31" s="84" t="str">
        <f>IF('2a Non pass-through costs'!W10="","-",'2a Non pass-through costs'!W10)</f>
        <v>-</v>
      </c>
      <c r="AA31" s="84" t="str">
        <f>IF('2a Non pass-through costs'!X10="","-",'2a Non pass-through costs'!X10)</f>
        <v>-</v>
      </c>
      <c r="AB31" s="84" t="str">
        <f>IF('2a Non pass-through costs'!Y10="","-",'2a Non pass-through costs'!Y10)</f>
        <v>-</v>
      </c>
      <c r="AC31" s="84" t="str">
        <f>IF('2a Non pass-through costs'!Z10="","-",'2a Non pass-through costs'!Z10)</f>
        <v>-</v>
      </c>
      <c r="AD31" s="84" t="str">
        <f>IF('2a Non pass-through costs'!AA10="","-",'2a Non pass-through costs'!AA10)</f>
        <v>-</v>
      </c>
      <c r="AE31" s="84" t="str">
        <f>IF('2a Non pass-through costs'!AB10="","-",'2a Non pass-through costs'!AB10)</f>
        <v>-</v>
      </c>
      <c r="AF31" s="84" t="str">
        <f>IF('2a Non pass-through costs'!AC10="","-",'2a Non pass-through costs'!AC10)</f>
        <v>-</v>
      </c>
      <c r="AG31" s="84" t="str">
        <f>IF('2a Non pass-through costs'!AD10="","-",'2a Non pass-through costs'!AD10)</f>
        <v>-</v>
      </c>
      <c r="AH31" s="84" t="str">
        <f>IF('2a Non pass-through costs'!AE10="","-",'2a Non pass-through costs'!AE10)</f>
        <v>-</v>
      </c>
      <c r="AI31" s="84" t="str">
        <f>IF('2a Non pass-through costs'!AF10="","-",'2a Non pass-through costs'!AF10)</f>
        <v>-</v>
      </c>
      <c r="AJ31" s="84" t="str">
        <f>IF('2a Non pass-through costs'!AG10="","-",'2a Non pass-through costs'!AG10)</f>
        <v>-</v>
      </c>
      <c r="AK31" s="84" t="str">
        <f>IF('2a Non pass-through costs'!AH10="","-",'2a Non pass-through costs'!AH10)</f>
        <v>-</v>
      </c>
      <c r="AL31" s="84" t="str">
        <f>IF('2a Non pass-through costs'!AI10="","-",'2a Non pass-through costs'!AI10)</f>
        <v>-</v>
      </c>
      <c r="AM31" s="84" t="str">
        <f>IF('2a Non pass-through costs'!AJ10="","-",'2a Non pass-through costs'!AJ10)</f>
        <v>-</v>
      </c>
      <c r="AN31" s="84" t="str">
        <f>IF('2a Non pass-through costs'!AK10="","-",'2a Non pass-through costs'!AK10)</f>
        <v>-</v>
      </c>
      <c r="AO31" s="84" t="str">
        <f>IF('2a Non pass-through costs'!AL10="","-",'2a Non pass-through costs'!AL10)</f>
        <v>-</v>
      </c>
      <c r="AP31" s="84" t="str">
        <f>IF('2a Non pass-through costs'!AM10="","-",'2a Non pass-through costs'!AM10)</f>
        <v>-</v>
      </c>
      <c r="AQ31" s="84" t="str">
        <f>IF('2a Non pass-through costs'!AN10="","-",'2a Non pass-through costs'!AN10)</f>
        <v>-</v>
      </c>
      <c r="AR31" s="84" t="str">
        <f>IF('2a Non pass-through costs'!AO10="","-",'2a Non pass-through costs'!AO10)</f>
        <v>-</v>
      </c>
      <c r="AS31" s="84" t="str">
        <f>IF('2a Non pass-through costs'!AP10="","-",'2a Non pass-through costs'!AP10)</f>
        <v>-</v>
      </c>
      <c r="AT31" s="84" t="str">
        <f>IF('2a Non pass-through costs'!AQ10="","-",'2a Non pass-through costs'!AQ10)</f>
        <v>-</v>
      </c>
      <c r="AU31" s="84" t="str">
        <f>IF('2a Non pass-through costs'!AR10="","-",'2a Non pass-through costs'!AR10)</f>
        <v>-</v>
      </c>
      <c r="AV31" s="84" t="str">
        <f>IF('2a Non pass-through costs'!AS10="","-",'2a Non pass-through costs'!AS10)</f>
        <v>-</v>
      </c>
      <c r="AW31" s="84" t="str">
        <f>IF('2a Non pass-through costs'!AT10="","-",'2a Non pass-through costs'!AT10)</f>
        <v>-</v>
      </c>
      <c r="AX31" s="84" t="str">
        <f>IF('2a Non pass-through costs'!AU10="","-",'2a Non pass-through costs'!AU10)</f>
        <v>-</v>
      </c>
      <c r="AY31" s="62"/>
      <c r="AZ31" s="62"/>
    </row>
    <row r="32" spans="1:52" s="26" customFormat="1" ht="13.5" x14ac:dyDescent="0.3">
      <c r="A32" s="31"/>
      <c r="B32" s="56" t="s">
        <v>130</v>
      </c>
      <c r="C32" s="206"/>
      <c r="D32" s="204"/>
      <c r="E32" s="204"/>
      <c r="F32" s="210"/>
      <c r="G32" s="199"/>
      <c r="H32" s="200"/>
      <c r="I32" s="201"/>
      <c r="J32" s="84" t="str">
        <f>IF('2a Non pass-through costs'!G11="","-",'2a Non pass-through costs'!G11)</f>
        <v>-</v>
      </c>
      <c r="K32" s="27"/>
      <c r="L32" s="84" t="str">
        <f>IF('2a Non pass-through costs'!I11="","-",'2a Non pass-through costs'!I11)</f>
        <v>-</v>
      </c>
      <c r="M32" s="84" t="str">
        <f>IF('2a Non pass-through costs'!J11="","-",'2a Non pass-through costs'!J11)</f>
        <v>-</v>
      </c>
      <c r="N32" s="84" t="str">
        <f>IF('2a Non pass-through costs'!K11="","-",'2a Non pass-through costs'!K11)</f>
        <v>-</v>
      </c>
      <c r="O32" s="84" t="str">
        <f>IF('2a Non pass-through costs'!L11="","-",'2a Non pass-through costs'!L11)</f>
        <v>-</v>
      </c>
      <c r="P32" s="84">
        <f>IF('2a Non pass-through costs'!M11="","-",'2a Non pass-through costs'!M11)</f>
        <v>0</v>
      </c>
      <c r="Q32" s="84">
        <f>IF('2a Non pass-through costs'!N11="","-",'2a Non pass-through costs'!N11)</f>
        <v>0</v>
      </c>
      <c r="R32" s="84">
        <f>IF('2a Non pass-through costs'!O11="","-",'2a Non pass-through costs'!O11)</f>
        <v>-15.859334646899347</v>
      </c>
      <c r="S32" s="84">
        <f>IF('2a Non pass-through costs'!P11="","-",'2a Non pass-through costs'!P11)</f>
        <v>-17.54</v>
      </c>
      <c r="T32" s="84">
        <f>IF('2a Non pass-through costs'!Q11="","-",'2a Non pass-through costs'!Q11)</f>
        <v>-23.43</v>
      </c>
      <c r="U32" s="84">
        <f>IF('2a Non pass-through costs'!R11="","-",'2a Non pass-through costs'!R11)</f>
        <v>-26.33</v>
      </c>
      <c r="V32" s="84">
        <f>IF('2a Non pass-through costs'!S11="","-",'2a Non pass-through costs'!S11)</f>
        <v>-26.33</v>
      </c>
      <c r="W32" s="84" t="str">
        <f>IF('2a Non pass-through costs'!T11="","-",'2a Non pass-through costs'!T11)</f>
        <v>-</v>
      </c>
      <c r="X32" s="84" t="str">
        <f>IF('2a Non pass-through costs'!U11="","-",'2a Non pass-through costs'!U11)</f>
        <v>-</v>
      </c>
      <c r="Y32" s="84" t="str">
        <f>IF('2a Non pass-through costs'!V11="","-",'2a Non pass-through costs'!V11)</f>
        <v>-</v>
      </c>
      <c r="Z32" s="84" t="str">
        <f>IF('2a Non pass-through costs'!W11="","-",'2a Non pass-through costs'!W11)</f>
        <v>-</v>
      </c>
      <c r="AA32" s="84" t="str">
        <f>IF('2a Non pass-through costs'!X11="","-",'2a Non pass-through costs'!X11)</f>
        <v>-</v>
      </c>
      <c r="AB32" s="84" t="str">
        <f>IF('2a Non pass-through costs'!Y11="","-",'2a Non pass-through costs'!Y11)</f>
        <v>-</v>
      </c>
      <c r="AC32" s="84" t="str">
        <f>IF('2a Non pass-through costs'!Z11="","-",'2a Non pass-through costs'!Z11)</f>
        <v>-</v>
      </c>
      <c r="AD32" s="84" t="str">
        <f>IF('2a Non pass-through costs'!AA11="","-",'2a Non pass-through costs'!AA11)</f>
        <v>-</v>
      </c>
      <c r="AE32" s="84" t="str">
        <f>IF('2a Non pass-through costs'!AB11="","-",'2a Non pass-through costs'!AB11)</f>
        <v>-</v>
      </c>
      <c r="AF32" s="84" t="str">
        <f>IF('2a Non pass-through costs'!AC11="","-",'2a Non pass-through costs'!AC11)</f>
        <v>-</v>
      </c>
      <c r="AG32" s="84" t="str">
        <f>IF('2a Non pass-through costs'!AD11="","-",'2a Non pass-through costs'!AD11)</f>
        <v>-</v>
      </c>
      <c r="AH32" s="84" t="str">
        <f>IF('2a Non pass-through costs'!AE11="","-",'2a Non pass-through costs'!AE11)</f>
        <v>-</v>
      </c>
      <c r="AI32" s="84" t="str">
        <f>IF('2a Non pass-through costs'!AF11="","-",'2a Non pass-through costs'!AF11)</f>
        <v>-</v>
      </c>
      <c r="AJ32" s="84" t="str">
        <f>IF('2a Non pass-through costs'!AG11="","-",'2a Non pass-through costs'!AG11)</f>
        <v>-</v>
      </c>
      <c r="AK32" s="84" t="str">
        <f>IF('2a Non pass-through costs'!AH11="","-",'2a Non pass-through costs'!AH11)</f>
        <v>-</v>
      </c>
      <c r="AL32" s="84" t="str">
        <f>IF('2a Non pass-through costs'!AI11="","-",'2a Non pass-through costs'!AI11)</f>
        <v>-</v>
      </c>
      <c r="AM32" s="84" t="str">
        <f>IF('2a Non pass-through costs'!AJ11="","-",'2a Non pass-through costs'!AJ11)</f>
        <v>-</v>
      </c>
      <c r="AN32" s="84" t="str">
        <f>IF('2a Non pass-through costs'!AK11="","-",'2a Non pass-through costs'!AK11)</f>
        <v>-</v>
      </c>
      <c r="AO32" s="84" t="str">
        <f>IF('2a Non pass-through costs'!AL11="","-",'2a Non pass-through costs'!AL11)</f>
        <v>-</v>
      </c>
      <c r="AP32" s="84" t="str">
        <f>IF('2a Non pass-through costs'!AM11="","-",'2a Non pass-through costs'!AM11)</f>
        <v>-</v>
      </c>
      <c r="AQ32" s="84" t="str">
        <f>IF('2a Non pass-through costs'!AN11="","-",'2a Non pass-through costs'!AN11)</f>
        <v>-</v>
      </c>
      <c r="AR32" s="84" t="str">
        <f>IF('2a Non pass-through costs'!AO11="","-",'2a Non pass-through costs'!AO11)</f>
        <v>-</v>
      </c>
      <c r="AS32" s="84" t="str">
        <f>IF('2a Non pass-through costs'!AP11="","-",'2a Non pass-through costs'!AP11)</f>
        <v>-</v>
      </c>
      <c r="AT32" s="84" t="str">
        <f>IF('2a Non pass-through costs'!AQ11="","-",'2a Non pass-through costs'!AQ11)</f>
        <v>-</v>
      </c>
      <c r="AU32" s="84" t="str">
        <f>IF('2a Non pass-through costs'!AR11="","-",'2a Non pass-through costs'!AR11)</f>
        <v>-</v>
      </c>
      <c r="AV32" s="84" t="str">
        <f>IF('2a Non pass-through costs'!AS11="","-",'2a Non pass-through costs'!AS11)</f>
        <v>-</v>
      </c>
      <c r="AW32" s="84" t="str">
        <f>IF('2a Non pass-through costs'!AT11="","-",'2a Non pass-through costs'!AT11)</f>
        <v>-</v>
      </c>
      <c r="AX32" s="84" t="str">
        <f>IF('2a Non pass-through costs'!AU11="","-",'2a Non pass-through costs'!AU11)</f>
        <v>-</v>
      </c>
      <c r="AY32" s="62"/>
      <c r="AZ32" s="62"/>
    </row>
    <row r="33" spans="1:52" s="26" customFormat="1" ht="14.5" x14ac:dyDescent="0.35">
      <c r="A33" s="62"/>
      <c r="B33" s="62"/>
      <c r="C33" s="55"/>
      <c r="D33" s="170"/>
      <c r="E33" s="170"/>
      <c r="F33" s="171"/>
      <c r="G33" s="172"/>
      <c r="H33" s="172"/>
      <c r="I33" s="172"/>
      <c r="J33" s="7"/>
      <c r="K33" s="7"/>
      <c r="L33" s="7"/>
      <c r="M33" s="7"/>
      <c r="N33" s="7"/>
      <c r="O33" s="7"/>
      <c r="P33" s="7"/>
      <c r="Q33" s="62"/>
      <c r="R33" s="7"/>
      <c r="S33" s="173"/>
      <c r="T33" s="173"/>
      <c r="U33" s="173"/>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62"/>
      <c r="AZ33" s="62"/>
    </row>
    <row r="34" spans="1:52" s="26" customFormat="1" ht="14.5" x14ac:dyDescent="0.35">
      <c r="A34" s="62"/>
      <c r="B34" s="43" t="s">
        <v>135</v>
      </c>
      <c r="C34" s="55"/>
      <c r="D34" s="170"/>
      <c r="E34" s="170"/>
      <c r="F34" s="171"/>
      <c r="G34" s="172"/>
      <c r="H34" s="172"/>
      <c r="I34" s="172"/>
      <c r="J34" s="7"/>
      <c r="K34" s="7"/>
      <c r="L34" s="7"/>
      <c r="M34" s="7"/>
      <c r="N34" s="7"/>
      <c r="O34" s="7"/>
      <c r="P34" s="7"/>
      <c r="Q34" s="7"/>
      <c r="R34" s="7"/>
      <c r="S34" s="173"/>
      <c r="T34" s="173"/>
      <c r="U34" s="173"/>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62"/>
      <c r="AZ34" s="62"/>
    </row>
    <row r="35" spans="1:52" s="26" customFormat="1" ht="14.5" x14ac:dyDescent="0.35">
      <c r="A35" s="62"/>
      <c r="B35" s="62"/>
      <c r="C35" s="55"/>
      <c r="D35" s="170"/>
      <c r="E35" s="170"/>
      <c r="F35" s="171"/>
      <c r="G35" s="172"/>
      <c r="H35" s="172"/>
      <c r="I35" s="172"/>
      <c r="J35" s="7"/>
      <c r="K35" s="7"/>
      <c r="L35" s="7"/>
      <c r="M35" s="7"/>
      <c r="N35" s="7"/>
      <c r="O35" s="7"/>
      <c r="P35" s="7"/>
      <c r="Q35" s="7"/>
      <c r="R35" s="7"/>
      <c r="S35" s="7"/>
      <c r="T35" s="173"/>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62"/>
      <c r="AZ35" s="62"/>
    </row>
    <row r="36" spans="1:52" s="26" customFormat="1" ht="34.25" customHeight="1" x14ac:dyDescent="0.3">
      <c r="A36" s="62"/>
      <c r="B36" s="83" t="s">
        <v>72</v>
      </c>
      <c r="C36" s="50" t="s">
        <v>73</v>
      </c>
      <c r="D36" s="83" t="s">
        <v>29</v>
      </c>
      <c r="E36" s="83" t="s">
        <v>74</v>
      </c>
      <c r="F36" s="83" t="s">
        <v>79</v>
      </c>
      <c r="G36" s="193"/>
      <c r="H36" s="194"/>
      <c r="I36" s="195"/>
      <c r="J36" s="81" t="s">
        <v>83</v>
      </c>
      <c r="K36" s="27"/>
      <c r="L36" s="81" t="s">
        <v>84</v>
      </c>
      <c r="M36" s="81" t="s">
        <v>85</v>
      </c>
      <c r="N36" s="81" t="s">
        <v>86</v>
      </c>
      <c r="O36" s="81" t="s">
        <v>87</v>
      </c>
      <c r="P36" s="81" t="s">
        <v>88</v>
      </c>
      <c r="Q36" s="81" t="s">
        <v>89</v>
      </c>
      <c r="R36" s="81" t="s">
        <v>90</v>
      </c>
      <c r="S36" s="81" t="s">
        <v>91</v>
      </c>
      <c r="T36" s="81" t="s">
        <v>92</v>
      </c>
      <c r="U36" s="81" t="s">
        <v>93</v>
      </c>
      <c r="V36" s="81" t="s">
        <v>94</v>
      </c>
      <c r="W36" s="81" t="s">
        <v>597</v>
      </c>
      <c r="X36" s="81" t="s">
        <v>598</v>
      </c>
      <c r="Y36" s="81" t="s">
        <v>599</v>
      </c>
      <c r="Z36" s="81" t="s">
        <v>600</v>
      </c>
      <c r="AA36" s="81" t="s">
        <v>601</v>
      </c>
      <c r="AB36" s="81" t="s">
        <v>602</v>
      </c>
      <c r="AC36" s="81" t="s">
        <v>603</v>
      </c>
      <c r="AD36" s="81" t="s">
        <v>604</v>
      </c>
      <c r="AE36" s="81" t="s">
        <v>605</v>
      </c>
      <c r="AF36" s="81" t="s">
        <v>606</v>
      </c>
      <c r="AG36" s="81" t="s">
        <v>607</v>
      </c>
      <c r="AH36" s="81" t="s">
        <v>608</v>
      </c>
      <c r="AI36" s="81" t="s">
        <v>609</v>
      </c>
      <c r="AJ36" s="81" t="s">
        <v>611</v>
      </c>
      <c r="AK36" s="81" t="s">
        <v>612</v>
      </c>
      <c r="AL36" s="81" t="s">
        <v>613</v>
      </c>
      <c r="AM36" s="81" t="s">
        <v>614</v>
      </c>
      <c r="AN36" s="81" t="s">
        <v>610</v>
      </c>
      <c r="AO36" s="81" t="s">
        <v>615</v>
      </c>
      <c r="AP36" s="81" t="s">
        <v>616</v>
      </c>
      <c r="AQ36" s="81" t="s">
        <v>617</v>
      </c>
      <c r="AR36" s="81" t="s">
        <v>618</v>
      </c>
      <c r="AS36" s="81" t="s">
        <v>619</v>
      </c>
      <c r="AT36" s="81" t="s">
        <v>620</v>
      </c>
      <c r="AU36" s="81" t="s">
        <v>621</v>
      </c>
      <c r="AV36" s="81" t="s">
        <v>622</v>
      </c>
      <c r="AW36" s="81" t="s">
        <v>623</v>
      </c>
      <c r="AX36" s="81" t="s">
        <v>624</v>
      </c>
      <c r="AY36" s="62"/>
      <c r="AZ36" s="62"/>
    </row>
    <row r="37" spans="1:52" s="26" customFormat="1" ht="13.5" x14ac:dyDescent="0.3">
      <c r="A37" s="62"/>
      <c r="B37" s="56" t="s">
        <v>120</v>
      </c>
      <c r="C37" s="205" t="s">
        <v>134</v>
      </c>
      <c r="D37" s="203" t="s">
        <v>136</v>
      </c>
      <c r="E37" s="203" t="s">
        <v>123</v>
      </c>
      <c r="F37" s="209"/>
      <c r="G37" s="196"/>
      <c r="H37" s="197"/>
      <c r="I37" s="198"/>
      <c r="J37" s="84">
        <f>IF('2g PPM cost offset'!I15="","-",'2g PPM cost offset'!I15)</f>
        <v>8.2378180039138957</v>
      </c>
      <c r="K37" s="27"/>
      <c r="L37" s="84">
        <f>IF('2g PPM cost offset'!K15="","-",'2g PPM cost offset'!K15)</f>
        <v>8.2378180039138957</v>
      </c>
      <c r="M37" s="84">
        <f>IF('2g PPM cost offset'!L15="","-",'2g PPM cost offset'!L15)</f>
        <v>8.3311643835616422</v>
      </c>
      <c r="N37" s="84">
        <f>IF('2g PPM cost offset'!M15="","-",'2g PPM cost offset'!M15)</f>
        <v>8.3933953033268107</v>
      </c>
      <c r="O37" s="84">
        <f>IF('2g PPM cost offset'!N15="","-",'2g PPM cost offset'!N15)</f>
        <v>8.4400684931506849</v>
      </c>
      <c r="P37" s="84">
        <f>IF('2g PPM cost offset'!O15="","-",'2g PPM cost offset'!O15)</f>
        <v>8.4634050880626219</v>
      </c>
      <c r="Q37" s="84">
        <f>IF('2g PPM cost offset'!P15="","-",'2g PPM cost offset'!P15)</f>
        <v>8.5100782778864978</v>
      </c>
      <c r="R37" s="84">
        <f>IF('2g PPM cost offset'!Q15="","-",'2g PPM cost offset'!Q15)</f>
        <v>8.6656555772994146</v>
      </c>
      <c r="S37" s="84">
        <f>IF('2g PPM cost offset'!R15="","-",'2g PPM cost offset'!R15)</f>
        <v>8.9223581213307241</v>
      </c>
      <c r="T37" s="84">
        <f>IF('2g PPM cost offset'!S15="","-",'2g PPM cost offset'!S15)</f>
        <v>9.3735322896281801</v>
      </c>
      <c r="U37" s="84">
        <f>IF('2g PPM cost offset'!T15="","-",'2g PPM cost offset'!T15)</f>
        <v>9.7469178082191785</v>
      </c>
      <c r="V37" s="84" t="str">
        <f>IF('2g PPM cost offset'!U15="","-",'2g PPM cost offset'!U15)</f>
        <v>-</v>
      </c>
      <c r="W37" s="84" t="str">
        <f>IF('2g PPM cost offset'!V15="","-",'2g PPM cost offset'!V15)</f>
        <v>-</v>
      </c>
      <c r="X37" s="84" t="str">
        <f>IF('2g PPM cost offset'!W15="","-",'2g PPM cost offset'!W15)</f>
        <v>-</v>
      </c>
      <c r="Y37" s="84" t="str">
        <f>IF('2g PPM cost offset'!X15="","-",'2g PPM cost offset'!X15)</f>
        <v>-</v>
      </c>
      <c r="Z37" s="84" t="str">
        <f>IF('2g PPM cost offset'!Y15="","-",'2g PPM cost offset'!Y15)</f>
        <v>-</v>
      </c>
      <c r="AA37" s="84" t="str">
        <f>IF('2g PPM cost offset'!Z15="","-",'2g PPM cost offset'!Z15)</f>
        <v>-</v>
      </c>
      <c r="AB37" s="84" t="str">
        <f>IF('2g PPM cost offset'!AA15="","-",'2g PPM cost offset'!AA15)</f>
        <v>-</v>
      </c>
      <c r="AC37" s="84" t="str">
        <f>IF('2g PPM cost offset'!AB15="","-",'2g PPM cost offset'!AB15)</f>
        <v>-</v>
      </c>
      <c r="AD37" s="84" t="str">
        <f>IF('2g PPM cost offset'!AC15="","-",'2g PPM cost offset'!AC15)</f>
        <v>-</v>
      </c>
      <c r="AE37" s="84" t="str">
        <f>IF('2g PPM cost offset'!AD15="","-",'2g PPM cost offset'!AD15)</f>
        <v>-</v>
      </c>
      <c r="AF37" s="84" t="str">
        <f>IF('2g PPM cost offset'!AE15="","-",'2g PPM cost offset'!AE15)</f>
        <v>-</v>
      </c>
      <c r="AG37" s="84" t="str">
        <f>IF('2g PPM cost offset'!AF15="","-",'2g PPM cost offset'!AF15)</f>
        <v>-</v>
      </c>
      <c r="AH37" s="84" t="str">
        <f>IF('2g PPM cost offset'!AG15="","-",'2g PPM cost offset'!AG15)</f>
        <v>-</v>
      </c>
      <c r="AI37" s="84" t="str">
        <f>IF('2g PPM cost offset'!AH15="","-",'2g PPM cost offset'!AH15)</f>
        <v>-</v>
      </c>
      <c r="AJ37" s="84" t="str">
        <f>IF('2g PPM cost offset'!AI15="","-",'2g PPM cost offset'!AI15)</f>
        <v>-</v>
      </c>
      <c r="AK37" s="84" t="str">
        <f>IF('2g PPM cost offset'!AJ15="","-",'2g PPM cost offset'!AJ15)</f>
        <v>-</v>
      </c>
      <c r="AL37" s="84" t="str">
        <f>IF('2g PPM cost offset'!AK15="","-",'2g PPM cost offset'!AK15)</f>
        <v>-</v>
      </c>
      <c r="AM37" s="84" t="str">
        <f>IF('2g PPM cost offset'!AL15="","-",'2g PPM cost offset'!AL15)</f>
        <v>-</v>
      </c>
      <c r="AN37" s="84" t="str">
        <f>IF('2g PPM cost offset'!AM15="","-",'2g PPM cost offset'!AM15)</f>
        <v>-</v>
      </c>
      <c r="AO37" s="84" t="str">
        <f>IF('2g PPM cost offset'!AN15="","-",'2g PPM cost offset'!AN15)</f>
        <v>-</v>
      </c>
      <c r="AP37" s="84" t="str">
        <f>IF('2g PPM cost offset'!AO15="","-",'2g PPM cost offset'!AO15)</f>
        <v>-</v>
      </c>
      <c r="AQ37" s="84" t="str">
        <f>IF('2g PPM cost offset'!AP15="","-",'2g PPM cost offset'!AP15)</f>
        <v>-</v>
      </c>
      <c r="AR37" s="84" t="str">
        <f>IF('2g PPM cost offset'!AQ15="","-",'2g PPM cost offset'!AQ15)</f>
        <v>-</v>
      </c>
      <c r="AS37" s="84" t="str">
        <f>IF('2g PPM cost offset'!AR15="","-",'2g PPM cost offset'!AR15)</f>
        <v>-</v>
      </c>
      <c r="AT37" s="84" t="str">
        <f>IF('2g PPM cost offset'!AS15="","-",'2g PPM cost offset'!AS15)</f>
        <v>-</v>
      </c>
      <c r="AU37" s="84" t="str">
        <f>IF('2g PPM cost offset'!AT15="","-",'2g PPM cost offset'!AT15)</f>
        <v>-</v>
      </c>
      <c r="AV37" s="84" t="str">
        <f>IF('2g PPM cost offset'!AU15="","-",'2g PPM cost offset'!AU15)</f>
        <v>-</v>
      </c>
      <c r="AW37" s="84" t="str">
        <f>IF('2g PPM cost offset'!AV15="","-",'2g PPM cost offset'!AV15)</f>
        <v>-</v>
      </c>
      <c r="AX37" s="84" t="str">
        <f>IF('2g PPM cost offset'!AW15="","-",'2g PPM cost offset'!AW15)</f>
        <v>-</v>
      </c>
      <c r="AY37" s="62"/>
      <c r="AZ37" s="62"/>
    </row>
    <row r="38" spans="1:52" s="26" customFormat="1" ht="13.5" x14ac:dyDescent="0.3">
      <c r="A38" s="62"/>
      <c r="B38" s="56" t="s">
        <v>130</v>
      </c>
      <c r="C38" s="206"/>
      <c r="D38" s="204"/>
      <c r="E38" s="204"/>
      <c r="F38" s="210"/>
      <c r="G38" s="199"/>
      <c r="H38" s="200"/>
      <c r="I38" s="201"/>
      <c r="J38" s="84">
        <f>IF('2g PPM cost offset'!I16="","-",'2g PPM cost offset'!I16)</f>
        <v>9.2947455968688857</v>
      </c>
      <c r="K38" s="27"/>
      <c r="L38" s="84">
        <f>IF('2g PPM cost offset'!K16="","-",'2g PPM cost offset'!K16)</f>
        <v>9.2947455968688857</v>
      </c>
      <c r="M38" s="84">
        <f>IF('2g PPM cost offset'!L16="","-",'2g PPM cost offset'!L16)</f>
        <v>9.4000684931506839</v>
      </c>
      <c r="N38" s="84">
        <f>IF('2g PPM cost offset'!M16="","-",'2g PPM cost offset'!M16)</f>
        <v>9.470283757338553</v>
      </c>
      <c r="O38" s="84">
        <f>IF('2g PPM cost offset'!N16="","-",'2g PPM cost offset'!N16)</f>
        <v>9.5229452054794521</v>
      </c>
      <c r="P38" s="84">
        <f>IF('2g PPM cost offset'!O16="","-",'2g PPM cost offset'!O16)</f>
        <v>9.5492759295499017</v>
      </c>
      <c r="Q38" s="84">
        <f>IF('2g PPM cost offset'!P16="","-",'2g PPM cost offset'!P16)</f>
        <v>9.6019373776908026</v>
      </c>
      <c r="R38" s="84">
        <f>IF('2g PPM cost offset'!Q16="","-",'2g PPM cost offset'!Q16)</f>
        <v>9.7774755381604717</v>
      </c>
      <c r="S38" s="84">
        <f>IF('2g PPM cost offset'!R16="","-",'2g PPM cost offset'!R16)</f>
        <v>10.067113502935422</v>
      </c>
      <c r="T38" s="84">
        <f>IF('2g PPM cost offset'!S16="","-",'2g PPM cost offset'!S16)</f>
        <v>10.576174168297456</v>
      </c>
      <c r="U38" s="84">
        <f>IF('2g PPM cost offset'!T16="","-",'2g PPM cost offset'!T16)</f>
        <v>10.997465753424658</v>
      </c>
      <c r="V38" s="84" t="str">
        <f>IF('2g PPM cost offset'!U16="","-",'2g PPM cost offset'!U16)</f>
        <v>-</v>
      </c>
      <c r="W38" s="84" t="str">
        <f>IF('2g PPM cost offset'!V16="","-",'2g PPM cost offset'!V16)</f>
        <v>-</v>
      </c>
      <c r="X38" s="84" t="str">
        <f>IF('2g PPM cost offset'!W16="","-",'2g PPM cost offset'!W16)</f>
        <v>-</v>
      </c>
      <c r="Y38" s="84" t="str">
        <f>IF('2g PPM cost offset'!X16="","-",'2g PPM cost offset'!X16)</f>
        <v>-</v>
      </c>
      <c r="Z38" s="84" t="str">
        <f>IF('2g PPM cost offset'!Y16="","-",'2g PPM cost offset'!Y16)</f>
        <v>-</v>
      </c>
      <c r="AA38" s="84" t="str">
        <f>IF('2g PPM cost offset'!Z16="","-",'2g PPM cost offset'!Z16)</f>
        <v>-</v>
      </c>
      <c r="AB38" s="84" t="str">
        <f>IF('2g PPM cost offset'!AA16="","-",'2g PPM cost offset'!AA16)</f>
        <v>-</v>
      </c>
      <c r="AC38" s="84" t="str">
        <f>IF('2g PPM cost offset'!AB16="","-",'2g PPM cost offset'!AB16)</f>
        <v>-</v>
      </c>
      <c r="AD38" s="84" t="str">
        <f>IF('2g PPM cost offset'!AC16="","-",'2g PPM cost offset'!AC16)</f>
        <v>-</v>
      </c>
      <c r="AE38" s="84" t="str">
        <f>IF('2g PPM cost offset'!AD16="","-",'2g PPM cost offset'!AD16)</f>
        <v>-</v>
      </c>
      <c r="AF38" s="84" t="str">
        <f>IF('2g PPM cost offset'!AE16="","-",'2g PPM cost offset'!AE16)</f>
        <v>-</v>
      </c>
      <c r="AG38" s="84" t="str">
        <f>IF('2g PPM cost offset'!AF16="","-",'2g PPM cost offset'!AF16)</f>
        <v>-</v>
      </c>
      <c r="AH38" s="84" t="str">
        <f>IF('2g PPM cost offset'!AG16="","-",'2g PPM cost offset'!AG16)</f>
        <v>-</v>
      </c>
      <c r="AI38" s="84" t="str">
        <f>IF('2g PPM cost offset'!AH16="","-",'2g PPM cost offset'!AH16)</f>
        <v>-</v>
      </c>
      <c r="AJ38" s="84" t="str">
        <f>IF('2g PPM cost offset'!AI16="","-",'2g PPM cost offset'!AI16)</f>
        <v>-</v>
      </c>
      <c r="AK38" s="84" t="str">
        <f>IF('2g PPM cost offset'!AJ16="","-",'2g PPM cost offset'!AJ16)</f>
        <v>-</v>
      </c>
      <c r="AL38" s="84" t="str">
        <f>IF('2g PPM cost offset'!AK16="","-",'2g PPM cost offset'!AK16)</f>
        <v>-</v>
      </c>
      <c r="AM38" s="84" t="str">
        <f>IF('2g PPM cost offset'!AL16="","-",'2g PPM cost offset'!AL16)</f>
        <v>-</v>
      </c>
      <c r="AN38" s="84" t="str">
        <f>IF('2g PPM cost offset'!AM16="","-",'2g PPM cost offset'!AM16)</f>
        <v>-</v>
      </c>
      <c r="AO38" s="84" t="str">
        <f>IF('2g PPM cost offset'!AN16="","-",'2g PPM cost offset'!AN16)</f>
        <v>-</v>
      </c>
      <c r="AP38" s="84" t="str">
        <f>IF('2g PPM cost offset'!AO16="","-",'2g PPM cost offset'!AO16)</f>
        <v>-</v>
      </c>
      <c r="AQ38" s="84" t="str">
        <f>IF('2g PPM cost offset'!AP16="","-",'2g PPM cost offset'!AP16)</f>
        <v>-</v>
      </c>
      <c r="AR38" s="84" t="str">
        <f>IF('2g PPM cost offset'!AQ16="","-",'2g PPM cost offset'!AQ16)</f>
        <v>-</v>
      </c>
      <c r="AS38" s="84" t="str">
        <f>IF('2g PPM cost offset'!AR16="","-",'2g PPM cost offset'!AR16)</f>
        <v>-</v>
      </c>
      <c r="AT38" s="84" t="str">
        <f>IF('2g PPM cost offset'!AS16="","-",'2g PPM cost offset'!AS16)</f>
        <v>-</v>
      </c>
      <c r="AU38" s="84" t="str">
        <f>IF('2g PPM cost offset'!AT16="","-",'2g PPM cost offset'!AT16)</f>
        <v>-</v>
      </c>
      <c r="AV38" s="84" t="str">
        <f>IF('2g PPM cost offset'!AU16="","-",'2g PPM cost offset'!AU16)</f>
        <v>-</v>
      </c>
      <c r="AW38" s="84" t="str">
        <f>IF('2g PPM cost offset'!AV16="","-",'2g PPM cost offset'!AV16)</f>
        <v>-</v>
      </c>
      <c r="AX38" s="84" t="str">
        <f>IF('2g PPM cost offset'!AW16="","-",'2g PPM cost offset'!AW16)</f>
        <v>-</v>
      </c>
      <c r="AY38" s="62"/>
      <c r="AZ38" s="62"/>
    </row>
    <row r="39" spans="1:52" s="26" customFormat="1" ht="12" customHeight="1" x14ac:dyDescent="0.3">
      <c r="A39" s="62"/>
      <c r="B39" s="56" t="s">
        <v>120</v>
      </c>
      <c r="C39" s="205" t="s">
        <v>134</v>
      </c>
      <c r="D39" s="203" t="s">
        <v>137</v>
      </c>
      <c r="E39" s="203" t="s">
        <v>123</v>
      </c>
      <c r="F39" s="209"/>
      <c r="G39" s="196"/>
      <c r="H39" s="197"/>
      <c r="I39" s="198"/>
      <c r="J39" s="85" t="str">
        <f>IFERROR(IF(J31&gt;0,J31,MIN(J31+J37,0)),"-")</f>
        <v>-</v>
      </c>
      <c r="K39" s="27"/>
      <c r="L39" s="85" t="str">
        <f t="shared" ref="L39:V39" si="33">IFERROR(IF(L31&gt;0,L31,MIN(L31+L37,0)),"-")</f>
        <v>-</v>
      </c>
      <c r="M39" s="85" t="str">
        <f t="shared" si="33"/>
        <v>-</v>
      </c>
      <c r="N39" s="85" t="str">
        <f t="shared" si="33"/>
        <v>-</v>
      </c>
      <c r="O39" s="85" t="str">
        <f t="shared" si="33"/>
        <v>-</v>
      </c>
      <c r="P39" s="85">
        <f t="shared" si="33"/>
        <v>0</v>
      </c>
      <c r="Q39" s="85">
        <f t="shared" si="33"/>
        <v>0</v>
      </c>
      <c r="R39" s="85">
        <f t="shared" si="33"/>
        <v>0</v>
      </c>
      <c r="S39" s="85">
        <f t="shared" si="33"/>
        <v>0</v>
      </c>
      <c r="T39" s="85">
        <f t="shared" si="33"/>
        <v>0</v>
      </c>
      <c r="U39" s="85">
        <f t="shared" si="33"/>
        <v>0</v>
      </c>
      <c r="V39" s="85" t="str">
        <f t="shared" si="33"/>
        <v>-</v>
      </c>
      <c r="W39" s="85" t="str">
        <f t="shared" ref="W39:AX39" si="34">IFERROR(IF(W31&gt;0,W31,MIN(W31+W37,0)),"-")</f>
        <v>-</v>
      </c>
      <c r="X39" s="85" t="str">
        <f t="shared" si="34"/>
        <v>-</v>
      </c>
      <c r="Y39" s="85" t="str">
        <f t="shared" si="34"/>
        <v>-</v>
      </c>
      <c r="Z39" s="85" t="str">
        <f t="shared" si="34"/>
        <v>-</v>
      </c>
      <c r="AA39" s="85" t="str">
        <f t="shared" si="34"/>
        <v>-</v>
      </c>
      <c r="AB39" s="85" t="str">
        <f t="shared" si="34"/>
        <v>-</v>
      </c>
      <c r="AC39" s="85" t="str">
        <f t="shared" si="34"/>
        <v>-</v>
      </c>
      <c r="AD39" s="85" t="str">
        <f t="shared" si="34"/>
        <v>-</v>
      </c>
      <c r="AE39" s="85" t="str">
        <f t="shared" si="34"/>
        <v>-</v>
      </c>
      <c r="AF39" s="85" t="str">
        <f t="shared" si="34"/>
        <v>-</v>
      </c>
      <c r="AG39" s="85" t="str">
        <f t="shared" si="34"/>
        <v>-</v>
      </c>
      <c r="AH39" s="85" t="str">
        <f t="shared" si="34"/>
        <v>-</v>
      </c>
      <c r="AI39" s="85" t="str">
        <f t="shared" si="34"/>
        <v>-</v>
      </c>
      <c r="AJ39" s="85" t="str">
        <f t="shared" si="34"/>
        <v>-</v>
      </c>
      <c r="AK39" s="85" t="str">
        <f t="shared" si="34"/>
        <v>-</v>
      </c>
      <c r="AL39" s="85" t="str">
        <f t="shared" si="34"/>
        <v>-</v>
      </c>
      <c r="AM39" s="85" t="str">
        <f t="shared" si="34"/>
        <v>-</v>
      </c>
      <c r="AN39" s="85" t="str">
        <f t="shared" si="34"/>
        <v>-</v>
      </c>
      <c r="AO39" s="85" t="str">
        <f t="shared" si="34"/>
        <v>-</v>
      </c>
      <c r="AP39" s="85" t="str">
        <f t="shared" si="34"/>
        <v>-</v>
      </c>
      <c r="AQ39" s="85" t="str">
        <f t="shared" si="34"/>
        <v>-</v>
      </c>
      <c r="AR39" s="85" t="str">
        <f t="shared" si="34"/>
        <v>-</v>
      </c>
      <c r="AS39" s="85" t="str">
        <f t="shared" si="34"/>
        <v>-</v>
      </c>
      <c r="AT39" s="85" t="str">
        <f t="shared" si="34"/>
        <v>-</v>
      </c>
      <c r="AU39" s="85" t="str">
        <f t="shared" si="34"/>
        <v>-</v>
      </c>
      <c r="AV39" s="85" t="str">
        <f t="shared" si="34"/>
        <v>-</v>
      </c>
      <c r="AW39" s="85" t="str">
        <f t="shared" si="34"/>
        <v>-</v>
      </c>
      <c r="AX39" s="85" t="str">
        <f t="shared" si="34"/>
        <v>-</v>
      </c>
      <c r="AY39" s="62"/>
      <c r="AZ39" s="62"/>
    </row>
    <row r="40" spans="1:52" s="26" customFormat="1" ht="13.5" x14ac:dyDescent="0.3">
      <c r="A40" s="62"/>
      <c r="B40" s="56" t="s">
        <v>130</v>
      </c>
      <c r="C40" s="206"/>
      <c r="D40" s="204"/>
      <c r="E40" s="204"/>
      <c r="F40" s="210"/>
      <c r="G40" s="199"/>
      <c r="H40" s="200"/>
      <c r="I40" s="201"/>
      <c r="J40" s="84" t="str">
        <f>IFERROR(IF(J32&gt;0,J32,MIN(J32+J38,0)),"-")</f>
        <v>-</v>
      </c>
      <c r="K40" s="27"/>
      <c r="L40" s="84" t="str">
        <f t="shared" ref="L40:V40" si="35">IFERROR(IF(L32&gt;0,L32,MIN(L32+L38,0)),"-")</f>
        <v>-</v>
      </c>
      <c r="M40" s="84" t="str">
        <f t="shared" si="35"/>
        <v>-</v>
      </c>
      <c r="N40" s="84" t="str">
        <f t="shared" si="35"/>
        <v>-</v>
      </c>
      <c r="O40" s="84" t="str">
        <f t="shared" si="35"/>
        <v>-</v>
      </c>
      <c r="P40" s="84">
        <f t="shared" si="35"/>
        <v>0</v>
      </c>
      <c r="Q40" s="84">
        <f t="shared" si="35"/>
        <v>0</v>
      </c>
      <c r="R40" s="84">
        <f t="shared" si="35"/>
        <v>-6.0818591087388754</v>
      </c>
      <c r="S40" s="84">
        <f t="shared" si="35"/>
        <v>-7.472886497064577</v>
      </c>
      <c r="T40" s="84">
        <f t="shared" si="35"/>
        <v>-12.853825831702544</v>
      </c>
      <c r="U40" s="84">
        <f t="shared" si="35"/>
        <v>-15.33253424657534</v>
      </c>
      <c r="V40" s="84" t="str">
        <f t="shared" si="35"/>
        <v>-</v>
      </c>
      <c r="W40" s="84" t="str">
        <f t="shared" ref="W40:AX40" si="36">IFERROR(IF(W32&gt;0,W32,MIN(W32+W38,0)),"-")</f>
        <v>-</v>
      </c>
      <c r="X40" s="84" t="str">
        <f t="shared" si="36"/>
        <v>-</v>
      </c>
      <c r="Y40" s="84" t="str">
        <f t="shared" si="36"/>
        <v>-</v>
      </c>
      <c r="Z40" s="84" t="str">
        <f t="shared" si="36"/>
        <v>-</v>
      </c>
      <c r="AA40" s="84" t="str">
        <f t="shared" si="36"/>
        <v>-</v>
      </c>
      <c r="AB40" s="84" t="str">
        <f t="shared" si="36"/>
        <v>-</v>
      </c>
      <c r="AC40" s="84" t="str">
        <f t="shared" si="36"/>
        <v>-</v>
      </c>
      <c r="AD40" s="84" t="str">
        <f t="shared" si="36"/>
        <v>-</v>
      </c>
      <c r="AE40" s="84" t="str">
        <f t="shared" si="36"/>
        <v>-</v>
      </c>
      <c r="AF40" s="84" t="str">
        <f t="shared" si="36"/>
        <v>-</v>
      </c>
      <c r="AG40" s="84" t="str">
        <f t="shared" si="36"/>
        <v>-</v>
      </c>
      <c r="AH40" s="84" t="str">
        <f t="shared" si="36"/>
        <v>-</v>
      </c>
      <c r="AI40" s="84" t="str">
        <f t="shared" si="36"/>
        <v>-</v>
      </c>
      <c r="AJ40" s="84" t="str">
        <f t="shared" si="36"/>
        <v>-</v>
      </c>
      <c r="AK40" s="84" t="str">
        <f t="shared" si="36"/>
        <v>-</v>
      </c>
      <c r="AL40" s="84" t="str">
        <f t="shared" si="36"/>
        <v>-</v>
      </c>
      <c r="AM40" s="84" t="str">
        <f t="shared" si="36"/>
        <v>-</v>
      </c>
      <c r="AN40" s="84" t="str">
        <f t="shared" si="36"/>
        <v>-</v>
      </c>
      <c r="AO40" s="84" t="str">
        <f t="shared" si="36"/>
        <v>-</v>
      </c>
      <c r="AP40" s="84" t="str">
        <f t="shared" si="36"/>
        <v>-</v>
      </c>
      <c r="AQ40" s="84" t="str">
        <f t="shared" si="36"/>
        <v>-</v>
      </c>
      <c r="AR40" s="84" t="str">
        <f t="shared" si="36"/>
        <v>-</v>
      </c>
      <c r="AS40" s="84" t="str">
        <f t="shared" si="36"/>
        <v>-</v>
      </c>
      <c r="AT40" s="84" t="str">
        <f t="shared" si="36"/>
        <v>-</v>
      </c>
      <c r="AU40" s="84" t="str">
        <f t="shared" si="36"/>
        <v>-</v>
      </c>
      <c r="AV40" s="84" t="str">
        <f t="shared" si="36"/>
        <v>-</v>
      </c>
      <c r="AW40" s="84" t="str">
        <f t="shared" si="36"/>
        <v>-</v>
      </c>
      <c r="AX40" s="84" t="str">
        <f t="shared" si="36"/>
        <v>-</v>
      </c>
      <c r="AY40" s="62"/>
      <c r="AZ40" s="62"/>
    </row>
    <row r="41" spans="1:52" s="26" customFormat="1" ht="13.5" x14ac:dyDescent="0.3">
      <c r="A41" s="62"/>
      <c r="B41" s="62"/>
      <c r="C41" s="62"/>
      <c r="D41" s="62"/>
      <c r="E41" s="62"/>
      <c r="F41" s="62"/>
      <c r="G41" s="62"/>
      <c r="H41" s="62"/>
      <c r="I41" s="62"/>
      <c r="J41" s="62"/>
      <c r="K41" s="62"/>
      <c r="L41" s="62"/>
      <c r="M41" s="62"/>
      <c r="N41" s="62"/>
      <c r="O41" s="62"/>
      <c r="P41" s="62"/>
      <c r="Q41" s="62"/>
      <c r="R41" s="62"/>
      <c r="S41" s="89"/>
      <c r="T41" s="89"/>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row>
    <row r="42" spans="1:52" s="26" customFormat="1" ht="13.5" x14ac:dyDescent="0.3">
      <c r="A42" s="62"/>
      <c r="B42" s="62"/>
      <c r="C42" s="62"/>
      <c r="D42" s="62"/>
      <c r="E42" s="62"/>
      <c r="F42" s="62"/>
      <c r="G42" s="62"/>
      <c r="H42" s="62"/>
      <c r="I42" s="62"/>
      <c r="J42" s="62"/>
      <c r="K42" s="62"/>
      <c r="L42" s="62"/>
      <c r="M42" s="62"/>
      <c r="N42" s="62"/>
      <c r="O42" s="62"/>
      <c r="P42" s="62"/>
      <c r="Q42" s="62"/>
      <c r="R42" s="62"/>
      <c r="S42" s="62"/>
      <c r="T42" s="89"/>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row>
    <row r="43" spans="1:52" s="26" customFormat="1" ht="13.5" x14ac:dyDescent="0.3">
      <c r="A43" s="62"/>
      <c r="B43" s="43" t="s">
        <v>138</v>
      </c>
      <c r="C43" s="43"/>
      <c r="D43" s="62"/>
      <c r="E43" s="62"/>
      <c r="F43" s="62"/>
      <c r="G43" s="62"/>
      <c r="H43" s="62"/>
      <c r="I43" s="62"/>
      <c r="J43" s="62"/>
      <c r="K43" s="62"/>
      <c r="L43" s="62"/>
      <c r="M43" s="62"/>
      <c r="N43" s="62"/>
      <c r="O43" s="62"/>
      <c r="P43" s="62"/>
      <c r="Q43" s="62"/>
      <c r="R43" s="62"/>
      <c r="S43" s="62"/>
      <c r="T43" s="89"/>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row>
    <row r="44" spans="1:52" s="26" customFormat="1" ht="13.5" x14ac:dyDescent="0.3">
      <c r="A44" s="62"/>
      <c r="B44" s="43"/>
      <c r="C44" s="43"/>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row>
    <row r="45" spans="1:52" s="26" customFormat="1" ht="31.5" customHeight="1" x14ac:dyDescent="0.3">
      <c r="A45" s="62"/>
      <c r="B45" s="83" t="s">
        <v>72</v>
      </c>
      <c r="C45" s="50" t="s">
        <v>73</v>
      </c>
      <c r="D45" s="83" t="s">
        <v>29</v>
      </c>
      <c r="E45" s="86" t="s">
        <v>74</v>
      </c>
      <c r="F45" s="86" t="s">
        <v>79</v>
      </c>
      <c r="G45" s="81" t="s">
        <v>80</v>
      </c>
      <c r="H45" s="81" t="s">
        <v>81</v>
      </c>
      <c r="I45" s="81" t="s">
        <v>82</v>
      </c>
      <c r="J45" s="81" t="s">
        <v>83</v>
      </c>
      <c r="K45" s="27"/>
      <c r="L45" s="81" t="s">
        <v>84</v>
      </c>
      <c r="M45" s="81" t="s">
        <v>85</v>
      </c>
      <c r="N45" s="81" t="s">
        <v>86</v>
      </c>
      <c r="O45" s="81" t="s">
        <v>87</v>
      </c>
      <c r="P45" s="81" t="s">
        <v>88</v>
      </c>
      <c r="Q45" s="81" t="s">
        <v>89</v>
      </c>
      <c r="R45" s="81" t="s">
        <v>90</v>
      </c>
      <c r="S45" s="81" t="s">
        <v>91</v>
      </c>
      <c r="T45" s="81" t="s">
        <v>92</v>
      </c>
      <c r="U45" s="81" t="s">
        <v>93</v>
      </c>
      <c r="V45" s="81" t="s">
        <v>94</v>
      </c>
      <c r="W45" s="81" t="s">
        <v>597</v>
      </c>
      <c r="X45" s="81" t="s">
        <v>598</v>
      </c>
      <c r="Y45" s="81" t="s">
        <v>599</v>
      </c>
      <c r="Z45" s="81" t="s">
        <v>600</v>
      </c>
      <c r="AA45" s="81" t="s">
        <v>601</v>
      </c>
      <c r="AB45" s="81" t="s">
        <v>602</v>
      </c>
      <c r="AC45" s="81" t="s">
        <v>603</v>
      </c>
      <c r="AD45" s="81" t="s">
        <v>604</v>
      </c>
      <c r="AE45" s="81" t="s">
        <v>605</v>
      </c>
      <c r="AF45" s="81" t="s">
        <v>606</v>
      </c>
      <c r="AG45" s="81" t="s">
        <v>607</v>
      </c>
      <c r="AH45" s="81" t="s">
        <v>608</v>
      </c>
      <c r="AI45" s="81" t="s">
        <v>609</v>
      </c>
      <c r="AJ45" s="81" t="s">
        <v>611</v>
      </c>
      <c r="AK45" s="81" t="s">
        <v>612</v>
      </c>
      <c r="AL45" s="81" t="s">
        <v>613</v>
      </c>
      <c r="AM45" s="81" t="s">
        <v>614</v>
      </c>
      <c r="AN45" s="81" t="s">
        <v>610</v>
      </c>
      <c r="AO45" s="81" t="s">
        <v>615</v>
      </c>
      <c r="AP45" s="81" t="s">
        <v>616</v>
      </c>
      <c r="AQ45" s="81" t="s">
        <v>617</v>
      </c>
      <c r="AR45" s="81" t="s">
        <v>618</v>
      </c>
      <c r="AS45" s="81" t="s">
        <v>619</v>
      </c>
      <c r="AT45" s="81" t="s">
        <v>620</v>
      </c>
      <c r="AU45" s="81" t="s">
        <v>621</v>
      </c>
      <c r="AV45" s="81" t="s">
        <v>622</v>
      </c>
      <c r="AW45" s="81" t="s">
        <v>623</v>
      </c>
      <c r="AX45" s="81" t="s">
        <v>624</v>
      </c>
      <c r="AY45" s="62"/>
      <c r="AZ45" s="62"/>
    </row>
    <row r="46" spans="1:52" s="26" customFormat="1" ht="13.5" x14ac:dyDescent="0.3">
      <c r="A46" s="62"/>
      <c r="B46" s="56" t="s">
        <v>120</v>
      </c>
      <c r="C46" s="205" t="s">
        <v>132</v>
      </c>
      <c r="D46" s="207" t="s">
        <v>139</v>
      </c>
      <c r="E46" s="203" t="s">
        <v>123</v>
      </c>
      <c r="F46" s="209"/>
      <c r="G46" s="87">
        <f>IFERROR((G18+G29),"-")</f>
        <v>0</v>
      </c>
      <c r="H46" s="82">
        <f t="shared" ref="H46:J46" si="37">IFERROR((H18+H29),"-")</f>
        <v>-0.18995111249132623</v>
      </c>
      <c r="I46" s="82">
        <f t="shared" si="37"/>
        <v>2.3898870370752556</v>
      </c>
      <c r="J46" s="82">
        <f t="shared" si="37"/>
        <v>11.485481460604181</v>
      </c>
      <c r="K46" s="27"/>
      <c r="L46" s="82">
        <f t="shared" ref="L46:V46" si="38">IFERROR((L18+L29),"-")</f>
        <v>11.485481460604181</v>
      </c>
      <c r="M46" s="82">
        <f t="shared" si="38"/>
        <v>13.905095596481768</v>
      </c>
      <c r="N46" s="82">
        <f t="shared" si="38"/>
        <v>14.008016342776511</v>
      </c>
      <c r="O46" s="82">
        <f>IFERROR((O18+O29),"-")</f>
        <v>16.592254432324484</v>
      </c>
      <c r="P46" s="82">
        <f t="shared" si="38"/>
        <v>16.855736391237045</v>
      </c>
      <c r="Q46" s="82">
        <f t="shared" si="38"/>
        <v>16.48610584262476</v>
      </c>
      <c r="R46" s="82">
        <f t="shared" si="38"/>
        <v>16.529685824397358</v>
      </c>
      <c r="S46" s="82">
        <f t="shared" si="38"/>
        <v>15.149258026029946</v>
      </c>
      <c r="T46" s="82">
        <f t="shared" si="38"/>
        <v>16.072618119862021</v>
      </c>
      <c r="U46" s="82">
        <f t="shared" si="38"/>
        <v>17.321266150037467</v>
      </c>
      <c r="V46" s="82" t="str">
        <f t="shared" si="38"/>
        <v>-</v>
      </c>
      <c r="W46" s="82" t="str">
        <f t="shared" ref="W46:AX46" si="39">IFERROR((W18+W29),"-")</f>
        <v>-</v>
      </c>
      <c r="X46" s="82" t="str">
        <f t="shared" si="39"/>
        <v>-</v>
      </c>
      <c r="Y46" s="82" t="str">
        <f t="shared" si="39"/>
        <v>-</v>
      </c>
      <c r="Z46" s="82" t="str">
        <f t="shared" si="39"/>
        <v>-</v>
      </c>
      <c r="AA46" s="82" t="str">
        <f t="shared" si="39"/>
        <v>-</v>
      </c>
      <c r="AB46" s="82" t="str">
        <f t="shared" si="39"/>
        <v>-</v>
      </c>
      <c r="AC46" s="82" t="str">
        <f t="shared" si="39"/>
        <v>-</v>
      </c>
      <c r="AD46" s="82" t="str">
        <f t="shared" si="39"/>
        <v>-</v>
      </c>
      <c r="AE46" s="82" t="str">
        <f t="shared" si="39"/>
        <v>-</v>
      </c>
      <c r="AF46" s="82" t="str">
        <f t="shared" si="39"/>
        <v>-</v>
      </c>
      <c r="AG46" s="82" t="str">
        <f t="shared" si="39"/>
        <v>-</v>
      </c>
      <c r="AH46" s="82" t="str">
        <f t="shared" si="39"/>
        <v>-</v>
      </c>
      <c r="AI46" s="82" t="str">
        <f t="shared" si="39"/>
        <v>-</v>
      </c>
      <c r="AJ46" s="82" t="str">
        <f t="shared" si="39"/>
        <v>-</v>
      </c>
      <c r="AK46" s="82" t="str">
        <f t="shared" si="39"/>
        <v>-</v>
      </c>
      <c r="AL46" s="82" t="str">
        <f t="shared" si="39"/>
        <v>-</v>
      </c>
      <c r="AM46" s="82" t="str">
        <f t="shared" si="39"/>
        <v>-</v>
      </c>
      <c r="AN46" s="82" t="str">
        <f t="shared" si="39"/>
        <v>-</v>
      </c>
      <c r="AO46" s="82" t="str">
        <f t="shared" si="39"/>
        <v>-</v>
      </c>
      <c r="AP46" s="82" t="str">
        <f t="shared" si="39"/>
        <v>-</v>
      </c>
      <c r="AQ46" s="82" t="str">
        <f t="shared" si="39"/>
        <v>-</v>
      </c>
      <c r="AR46" s="82" t="str">
        <f t="shared" si="39"/>
        <v>-</v>
      </c>
      <c r="AS46" s="82" t="str">
        <f t="shared" si="39"/>
        <v>-</v>
      </c>
      <c r="AT46" s="82" t="str">
        <f t="shared" si="39"/>
        <v>-</v>
      </c>
      <c r="AU46" s="82" t="str">
        <f t="shared" si="39"/>
        <v>-</v>
      </c>
      <c r="AV46" s="82" t="str">
        <f t="shared" si="39"/>
        <v>-</v>
      </c>
      <c r="AW46" s="82" t="str">
        <f t="shared" si="39"/>
        <v>-</v>
      </c>
      <c r="AX46" s="82" t="str">
        <f t="shared" si="39"/>
        <v>-</v>
      </c>
      <c r="AY46" s="62"/>
      <c r="AZ46" s="62"/>
    </row>
    <row r="47" spans="1:52" s="26" customFormat="1" ht="13.5" x14ac:dyDescent="0.3">
      <c r="A47" s="62"/>
      <c r="B47" s="56" t="s">
        <v>130</v>
      </c>
      <c r="C47" s="206"/>
      <c r="D47" s="208"/>
      <c r="E47" s="204"/>
      <c r="F47" s="210"/>
      <c r="G47" s="87">
        <f>IFERROR(G24+G30,G24)</f>
        <v>0</v>
      </c>
      <c r="H47" s="82">
        <f t="shared" ref="H47:V47" si="40">IFERROR(H24+H30,"-")</f>
        <v>-0.14839729644435984</v>
      </c>
      <c r="I47" s="82">
        <f t="shared" si="40"/>
        <v>1.899695256253338</v>
      </c>
      <c r="J47" s="82">
        <f t="shared" si="40"/>
        <v>12.665365920990935</v>
      </c>
      <c r="K47" s="27"/>
      <c r="L47" s="82">
        <f t="shared" si="40"/>
        <v>12.665365920990935</v>
      </c>
      <c r="M47" s="82">
        <f t="shared" si="40"/>
        <v>14.640709693750988</v>
      </c>
      <c r="N47" s="82">
        <f t="shared" si="40"/>
        <v>14.927787132222536</v>
      </c>
      <c r="O47" s="82">
        <f>IFERROR(O24+O30,"-")</f>
        <v>17.170757060355506</v>
      </c>
      <c r="P47" s="82">
        <f>IFERROR(P24+P30,"-")</f>
        <v>11.164989866554468</v>
      </c>
      <c r="Q47" s="82">
        <f t="shared" si="40"/>
        <v>10.900121345430581</v>
      </c>
      <c r="R47" s="82">
        <f t="shared" si="40"/>
        <v>7.9767627265742567</v>
      </c>
      <c r="S47" s="82">
        <f t="shared" si="40"/>
        <v>3.3826300925037529</v>
      </c>
      <c r="T47" s="82">
        <f>IFERROR(T24+T30,"-")</f>
        <v>3.4563122415280967</v>
      </c>
      <c r="U47" s="82">
        <f t="shared" si="40"/>
        <v>4.0165235041284371</v>
      </c>
      <c r="V47" s="82" t="str">
        <f t="shared" si="40"/>
        <v>-</v>
      </c>
      <c r="W47" s="82" t="str">
        <f t="shared" ref="W47:AX47" si="41">IFERROR(W24+W30,"-")</f>
        <v>-</v>
      </c>
      <c r="X47" s="82" t="str">
        <f t="shared" si="41"/>
        <v>-</v>
      </c>
      <c r="Y47" s="82" t="str">
        <f t="shared" si="41"/>
        <v>-</v>
      </c>
      <c r="Z47" s="82" t="str">
        <f t="shared" si="41"/>
        <v>-</v>
      </c>
      <c r="AA47" s="82" t="str">
        <f t="shared" si="41"/>
        <v>-</v>
      </c>
      <c r="AB47" s="82" t="str">
        <f t="shared" si="41"/>
        <v>-</v>
      </c>
      <c r="AC47" s="82" t="str">
        <f t="shared" si="41"/>
        <v>-</v>
      </c>
      <c r="AD47" s="82" t="str">
        <f t="shared" si="41"/>
        <v>-</v>
      </c>
      <c r="AE47" s="82" t="str">
        <f t="shared" si="41"/>
        <v>-</v>
      </c>
      <c r="AF47" s="82" t="str">
        <f t="shared" si="41"/>
        <v>-</v>
      </c>
      <c r="AG47" s="82" t="str">
        <f t="shared" si="41"/>
        <v>-</v>
      </c>
      <c r="AH47" s="82" t="str">
        <f t="shared" si="41"/>
        <v>-</v>
      </c>
      <c r="AI47" s="82" t="str">
        <f t="shared" si="41"/>
        <v>-</v>
      </c>
      <c r="AJ47" s="82" t="str">
        <f t="shared" si="41"/>
        <v>-</v>
      </c>
      <c r="AK47" s="82" t="str">
        <f t="shared" si="41"/>
        <v>-</v>
      </c>
      <c r="AL47" s="82" t="str">
        <f t="shared" si="41"/>
        <v>-</v>
      </c>
      <c r="AM47" s="82" t="str">
        <f t="shared" si="41"/>
        <v>-</v>
      </c>
      <c r="AN47" s="82" t="str">
        <f t="shared" si="41"/>
        <v>-</v>
      </c>
      <c r="AO47" s="82" t="str">
        <f t="shared" si="41"/>
        <v>-</v>
      </c>
      <c r="AP47" s="82" t="str">
        <f t="shared" si="41"/>
        <v>-</v>
      </c>
      <c r="AQ47" s="82" t="str">
        <f t="shared" si="41"/>
        <v>-</v>
      </c>
      <c r="AR47" s="82" t="str">
        <f t="shared" si="41"/>
        <v>-</v>
      </c>
      <c r="AS47" s="82" t="str">
        <f t="shared" si="41"/>
        <v>-</v>
      </c>
      <c r="AT47" s="82" t="str">
        <f t="shared" si="41"/>
        <v>-</v>
      </c>
      <c r="AU47" s="82" t="str">
        <f t="shared" si="41"/>
        <v>-</v>
      </c>
      <c r="AV47" s="82" t="str">
        <f t="shared" si="41"/>
        <v>-</v>
      </c>
      <c r="AW47" s="82" t="str">
        <f t="shared" si="41"/>
        <v>-</v>
      </c>
      <c r="AX47" s="82" t="str">
        <f t="shared" si="41"/>
        <v>-</v>
      </c>
      <c r="AY47" s="62"/>
      <c r="AZ47" s="62"/>
    </row>
    <row r="48" spans="1:52" s="26" customFormat="1" ht="13.5" x14ac:dyDescent="0.3">
      <c r="A48" s="62"/>
      <c r="B48" s="56" t="s">
        <v>120</v>
      </c>
      <c r="C48" s="205" t="s">
        <v>134</v>
      </c>
      <c r="D48" s="207" t="s">
        <v>139</v>
      </c>
      <c r="E48" s="203" t="s">
        <v>123</v>
      </c>
      <c r="F48" s="209"/>
      <c r="G48" s="88">
        <f t="shared" ref="G48" si="42">IFERROR((G18+G31),G18)</f>
        <v>0</v>
      </c>
      <c r="H48" s="88">
        <f t="shared" ref="H48:I48" si="43">IFERROR((H18+H31),H18)</f>
        <v>-0.18995111249132623</v>
      </c>
      <c r="I48" s="88">
        <f t="shared" si="43"/>
        <v>2.3898870370752556</v>
      </c>
      <c r="J48" s="88">
        <f>IFERROR((J18+J39),J18)</f>
        <v>2.4654814606041811</v>
      </c>
      <c r="K48" s="53"/>
      <c r="L48" s="82">
        <f t="shared" ref="L48:V48" si="44">IFERROR((L18+L39),L18)</f>
        <v>2.4654814606041811</v>
      </c>
      <c r="M48" s="82">
        <f t="shared" si="44"/>
        <v>4.8850955964817686</v>
      </c>
      <c r="N48" s="82">
        <f t="shared" si="44"/>
        <v>4.7480163427765101</v>
      </c>
      <c r="O48" s="82">
        <f t="shared" si="44"/>
        <v>7.093641997338695</v>
      </c>
      <c r="P48" s="82">
        <f t="shared" si="44"/>
        <v>6.2155900817178944</v>
      </c>
      <c r="Q48" s="82">
        <f t="shared" si="44"/>
        <v>5.8459595331056082</v>
      </c>
      <c r="R48" s="82">
        <f t="shared" si="44"/>
        <v>6.2696858243973583</v>
      </c>
      <c r="S48" s="82">
        <f t="shared" si="44"/>
        <v>6.0892580260299454</v>
      </c>
      <c r="T48" s="82">
        <f t="shared" si="44"/>
        <v>5.9026181198620193</v>
      </c>
      <c r="U48" s="82">
        <f t="shared" si="44"/>
        <v>6.771266150037464</v>
      </c>
      <c r="V48" s="82" t="str">
        <f t="shared" si="44"/>
        <v>-</v>
      </c>
      <c r="W48" s="82" t="str">
        <f t="shared" ref="W48:AX48" si="45">IFERROR((W18+W39),W18)</f>
        <v>-</v>
      </c>
      <c r="X48" s="82" t="str">
        <f t="shared" si="45"/>
        <v>-</v>
      </c>
      <c r="Y48" s="82" t="str">
        <f t="shared" si="45"/>
        <v>-</v>
      </c>
      <c r="Z48" s="82" t="str">
        <f t="shared" si="45"/>
        <v>-</v>
      </c>
      <c r="AA48" s="82" t="str">
        <f t="shared" si="45"/>
        <v>-</v>
      </c>
      <c r="AB48" s="82" t="str">
        <f t="shared" si="45"/>
        <v>-</v>
      </c>
      <c r="AC48" s="82" t="str">
        <f t="shared" si="45"/>
        <v>-</v>
      </c>
      <c r="AD48" s="82" t="str">
        <f t="shared" si="45"/>
        <v>-</v>
      </c>
      <c r="AE48" s="82" t="str">
        <f t="shared" si="45"/>
        <v>-</v>
      </c>
      <c r="AF48" s="82" t="str">
        <f t="shared" si="45"/>
        <v>-</v>
      </c>
      <c r="AG48" s="82" t="str">
        <f t="shared" si="45"/>
        <v>-</v>
      </c>
      <c r="AH48" s="82" t="str">
        <f t="shared" si="45"/>
        <v>-</v>
      </c>
      <c r="AI48" s="82" t="str">
        <f t="shared" si="45"/>
        <v>-</v>
      </c>
      <c r="AJ48" s="82" t="str">
        <f t="shared" si="45"/>
        <v>-</v>
      </c>
      <c r="AK48" s="82" t="str">
        <f t="shared" si="45"/>
        <v>-</v>
      </c>
      <c r="AL48" s="82" t="str">
        <f t="shared" si="45"/>
        <v>-</v>
      </c>
      <c r="AM48" s="82" t="str">
        <f t="shared" si="45"/>
        <v>-</v>
      </c>
      <c r="AN48" s="82" t="str">
        <f t="shared" si="45"/>
        <v>-</v>
      </c>
      <c r="AO48" s="82" t="str">
        <f t="shared" si="45"/>
        <v>-</v>
      </c>
      <c r="AP48" s="82" t="str">
        <f t="shared" si="45"/>
        <v>-</v>
      </c>
      <c r="AQ48" s="82" t="str">
        <f t="shared" si="45"/>
        <v>-</v>
      </c>
      <c r="AR48" s="82" t="str">
        <f t="shared" si="45"/>
        <v>-</v>
      </c>
      <c r="AS48" s="82" t="str">
        <f t="shared" si="45"/>
        <v>-</v>
      </c>
      <c r="AT48" s="82" t="str">
        <f t="shared" si="45"/>
        <v>-</v>
      </c>
      <c r="AU48" s="82" t="str">
        <f t="shared" si="45"/>
        <v>-</v>
      </c>
      <c r="AV48" s="82" t="str">
        <f t="shared" si="45"/>
        <v>-</v>
      </c>
      <c r="AW48" s="82" t="str">
        <f t="shared" si="45"/>
        <v>-</v>
      </c>
      <c r="AX48" s="82" t="str">
        <f t="shared" si="45"/>
        <v>-</v>
      </c>
      <c r="AY48" s="62"/>
      <c r="AZ48" s="62"/>
    </row>
    <row r="49" spans="1:52" s="26" customFormat="1" ht="13.5" x14ac:dyDescent="0.3">
      <c r="A49" s="62"/>
      <c r="B49" s="56" t="s">
        <v>130</v>
      </c>
      <c r="C49" s="206"/>
      <c r="D49" s="208"/>
      <c r="E49" s="204"/>
      <c r="F49" s="210"/>
      <c r="G49" s="88">
        <f t="shared" ref="G49" si="46">IFERROR((G24+G32),G24)</f>
        <v>0</v>
      </c>
      <c r="H49" s="88">
        <f t="shared" ref="H49:I49" si="47">IFERROR((H24+H32),H24)</f>
        <v>-0.14839729644435984</v>
      </c>
      <c r="I49" s="88">
        <f t="shared" si="47"/>
        <v>1.899695256253338</v>
      </c>
      <c r="J49" s="88">
        <f>IFERROR((J24+J40),J24)</f>
        <v>1.9653659209909353</v>
      </c>
      <c r="K49" s="53"/>
      <c r="L49" s="82">
        <f t="shared" ref="L49:V49" si="48">IFERROR((L24+L40),L24)</f>
        <v>1.9653659209909353</v>
      </c>
      <c r="M49" s="82">
        <f t="shared" si="48"/>
        <v>3.94070969375099</v>
      </c>
      <c r="N49" s="82">
        <f t="shared" si="48"/>
        <v>3.6877871322225353</v>
      </c>
      <c r="O49" s="82">
        <f t="shared" si="48"/>
        <v>5.396909444486452</v>
      </c>
      <c r="P49" s="82">
        <f t="shared" si="48"/>
        <v>4.6837637900821658</v>
      </c>
      <c r="Q49" s="82">
        <f t="shared" si="48"/>
        <v>4.418895268958277</v>
      </c>
      <c r="R49" s="82">
        <f t="shared" si="48"/>
        <v>-1.4350963821646188</v>
      </c>
      <c r="S49" s="82">
        <f t="shared" si="48"/>
        <v>-3.050256404560824</v>
      </c>
      <c r="T49" s="82">
        <f t="shared" si="48"/>
        <v>-8.5975135901744473</v>
      </c>
      <c r="U49" s="82">
        <f t="shared" si="48"/>
        <v>-10.436010742446904</v>
      </c>
      <c r="V49" s="82" t="str">
        <f t="shared" si="48"/>
        <v>-</v>
      </c>
      <c r="W49" s="82" t="str">
        <f t="shared" ref="W49:AX49" si="49">IFERROR((W24+W40),W24)</f>
        <v>-</v>
      </c>
      <c r="X49" s="82" t="str">
        <f t="shared" si="49"/>
        <v>-</v>
      </c>
      <c r="Y49" s="82" t="str">
        <f t="shared" si="49"/>
        <v>-</v>
      </c>
      <c r="Z49" s="82" t="str">
        <f t="shared" si="49"/>
        <v>-</v>
      </c>
      <c r="AA49" s="82" t="str">
        <f t="shared" si="49"/>
        <v>-</v>
      </c>
      <c r="AB49" s="82" t="str">
        <f t="shared" si="49"/>
        <v>-</v>
      </c>
      <c r="AC49" s="82" t="str">
        <f t="shared" si="49"/>
        <v>-</v>
      </c>
      <c r="AD49" s="82" t="str">
        <f t="shared" si="49"/>
        <v>-</v>
      </c>
      <c r="AE49" s="82" t="str">
        <f t="shared" si="49"/>
        <v>-</v>
      </c>
      <c r="AF49" s="82" t="str">
        <f t="shared" si="49"/>
        <v>-</v>
      </c>
      <c r="AG49" s="82" t="str">
        <f t="shared" si="49"/>
        <v>-</v>
      </c>
      <c r="AH49" s="82" t="str">
        <f t="shared" si="49"/>
        <v>-</v>
      </c>
      <c r="AI49" s="82" t="str">
        <f t="shared" si="49"/>
        <v>-</v>
      </c>
      <c r="AJ49" s="82" t="str">
        <f t="shared" si="49"/>
        <v>-</v>
      </c>
      <c r="AK49" s="82" t="str">
        <f t="shared" si="49"/>
        <v>-</v>
      </c>
      <c r="AL49" s="82" t="str">
        <f t="shared" si="49"/>
        <v>-</v>
      </c>
      <c r="AM49" s="82" t="str">
        <f t="shared" si="49"/>
        <v>-</v>
      </c>
      <c r="AN49" s="82" t="str">
        <f t="shared" si="49"/>
        <v>-</v>
      </c>
      <c r="AO49" s="82" t="str">
        <f t="shared" si="49"/>
        <v>-</v>
      </c>
      <c r="AP49" s="82" t="str">
        <f t="shared" si="49"/>
        <v>-</v>
      </c>
      <c r="AQ49" s="82" t="str">
        <f t="shared" si="49"/>
        <v>-</v>
      </c>
      <c r="AR49" s="82" t="str">
        <f t="shared" si="49"/>
        <v>-</v>
      </c>
      <c r="AS49" s="82" t="str">
        <f t="shared" si="49"/>
        <v>-</v>
      </c>
      <c r="AT49" s="82" t="str">
        <f t="shared" si="49"/>
        <v>-</v>
      </c>
      <c r="AU49" s="82" t="str">
        <f t="shared" si="49"/>
        <v>-</v>
      </c>
      <c r="AV49" s="82" t="str">
        <f t="shared" si="49"/>
        <v>-</v>
      </c>
      <c r="AW49" s="82" t="str">
        <f t="shared" si="49"/>
        <v>-</v>
      </c>
      <c r="AX49" s="82" t="str">
        <f t="shared" si="49"/>
        <v>-</v>
      </c>
      <c r="AY49" s="62"/>
      <c r="AZ49" s="62"/>
    </row>
    <row r="50" spans="1:52" s="26" customFormat="1" ht="13.5" x14ac:dyDescent="0.3">
      <c r="A50" s="62"/>
      <c r="B50" s="61"/>
      <c r="C50" s="61"/>
      <c r="D50" s="61"/>
      <c r="E50" s="61"/>
      <c r="F50" s="61"/>
      <c r="G50" s="62"/>
      <c r="H50" s="62"/>
      <c r="I50" s="62"/>
      <c r="J50" s="62"/>
      <c r="K50" s="62"/>
      <c r="L50" s="62"/>
      <c r="M50" s="62"/>
      <c r="N50" s="62"/>
      <c r="O50" s="62"/>
      <c r="P50" s="62"/>
      <c r="Q50" s="62"/>
      <c r="R50" s="62"/>
      <c r="S50" s="144"/>
      <c r="T50" s="89"/>
      <c r="U50" s="89"/>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row>
    <row r="51" spans="1:52" s="26" customFormat="1" ht="13.5" x14ac:dyDescent="0.3">
      <c r="A51" s="62"/>
      <c r="B51" s="43" t="s">
        <v>140</v>
      </c>
      <c r="C51" s="43"/>
      <c r="D51" s="62"/>
      <c r="E51" s="62"/>
      <c r="F51" s="62"/>
      <c r="G51" s="62"/>
      <c r="H51" s="62"/>
      <c r="I51" s="62"/>
      <c r="J51" s="62"/>
      <c r="K51" s="62"/>
      <c r="L51" s="62"/>
      <c r="M51" s="62"/>
      <c r="N51" s="62"/>
      <c r="O51" s="89"/>
      <c r="P51" s="89"/>
      <c r="Q51" s="62"/>
      <c r="R51" s="62"/>
      <c r="S51" s="89"/>
      <c r="T51" s="89"/>
      <c r="U51" s="89"/>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row>
    <row r="52" spans="1:52" s="26" customFormat="1" ht="13.5" x14ac:dyDescent="0.3">
      <c r="A52" s="62"/>
      <c r="B52" s="43"/>
      <c r="C52" s="43"/>
      <c r="D52" s="62"/>
      <c r="E52" s="62"/>
      <c r="F52" s="62"/>
      <c r="G52" s="62"/>
      <c r="H52" s="62"/>
      <c r="I52" s="62"/>
      <c r="J52" s="62"/>
      <c r="K52" s="62"/>
      <c r="L52" s="62"/>
      <c r="M52" s="62"/>
      <c r="N52" s="62"/>
      <c r="O52" s="62"/>
      <c r="P52" s="62"/>
      <c r="Q52" s="62"/>
      <c r="R52" s="62"/>
      <c r="S52" s="89"/>
      <c r="T52" s="139"/>
      <c r="U52" s="89"/>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row>
    <row r="53" spans="1:52" s="26" customFormat="1" ht="27" x14ac:dyDescent="0.3">
      <c r="A53" s="62"/>
      <c r="B53" s="202" t="s">
        <v>141</v>
      </c>
      <c r="C53" s="86" t="s">
        <v>142</v>
      </c>
      <c r="D53" s="90" t="s">
        <v>143</v>
      </c>
      <c r="E53" s="91">
        <f>'2f Scaling factor'!E6</f>
        <v>0.69</v>
      </c>
      <c r="F53" s="62"/>
      <c r="G53" s="62"/>
      <c r="H53" s="62"/>
      <c r="I53" s="62"/>
      <c r="J53" s="62"/>
      <c r="K53" s="62"/>
      <c r="L53" s="62"/>
      <c r="M53" s="62"/>
      <c r="N53" s="62"/>
      <c r="O53" s="62"/>
      <c r="P53" s="62"/>
      <c r="Q53" s="62"/>
      <c r="R53" s="62"/>
      <c r="S53" s="62"/>
      <c r="T53" s="145"/>
      <c r="U53" s="89"/>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row>
    <row r="54" spans="1:52" s="26" customFormat="1" ht="40.5" x14ac:dyDescent="0.3">
      <c r="A54" s="62"/>
      <c r="B54" s="202"/>
      <c r="C54" s="86" t="s">
        <v>134</v>
      </c>
      <c r="D54" s="90" t="s">
        <v>144</v>
      </c>
      <c r="E54" s="91">
        <f>'2f Scaling factor'!E6</f>
        <v>0.69</v>
      </c>
      <c r="F54" s="62"/>
      <c r="G54" s="62"/>
      <c r="H54" s="62"/>
      <c r="I54" s="62"/>
      <c r="J54" s="62"/>
      <c r="K54" s="62"/>
      <c r="L54" s="62"/>
      <c r="M54" s="62"/>
      <c r="N54" s="62"/>
      <c r="O54" s="62"/>
      <c r="P54" s="62"/>
      <c r="Q54" s="62"/>
      <c r="R54" s="62"/>
      <c r="S54" s="62"/>
      <c r="T54" s="89"/>
      <c r="U54" s="89"/>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row>
    <row r="55" spans="1:52" s="26" customFormat="1" ht="13.5" x14ac:dyDescent="0.3">
      <c r="A55" s="62"/>
      <c r="B55" s="62"/>
      <c r="C55" s="62"/>
      <c r="D55" s="62"/>
      <c r="E55" s="62"/>
      <c r="F55" s="62"/>
      <c r="G55" s="62"/>
      <c r="H55" s="62"/>
      <c r="I55" s="62"/>
      <c r="J55" s="62"/>
      <c r="K55" s="62"/>
      <c r="L55" s="62"/>
      <c r="M55" s="62"/>
      <c r="N55" s="62"/>
      <c r="O55" s="62"/>
      <c r="P55" s="62"/>
      <c r="Q55" s="62"/>
      <c r="R55" s="62"/>
      <c r="S55" s="62"/>
      <c r="T55" s="89"/>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row>
    <row r="56" spans="1:52" s="26" customFormat="1" ht="27" x14ac:dyDescent="0.3">
      <c r="A56" s="62"/>
      <c r="B56" s="83" t="s">
        <v>72</v>
      </c>
      <c r="C56" s="50" t="s">
        <v>73</v>
      </c>
      <c r="D56" s="83" t="s">
        <v>29</v>
      </c>
      <c r="E56" s="86" t="s">
        <v>74</v>
      </c>
      <c r="F56" s="86" t="s">
        <v>79</v>
      </c>
      <c r="G56" s="81" t="s">
        <v>80</v>
      </c>
      <c r="H56" s="81" t="s">
        <v>81</v>
      </c>
      <c r="I56" s="81" t="s">
        <v>82</v>
      </c>
      <c r="J56" s="81" t="s">
        <v>83</v>
      </c>
      <c r="K56" s="27"/>
      <c r="L56" s="81" t="s">
        <v>84</v>
      </c>
      <c r="M56" s="81" t="s">
        <v>85</v>
      </c>
      <c r="N56" s="81" t="s">
        <v>86</v>
      </c>
      <c r="O56" s="81" t="s">
        <v>87</v>
      </c>
      <c r="P56" s="81" t="s">
        <v>88</v>
      </c>
      <c r="Q56" s="81" t="s">
        <v>89</v>
      </c>
      <c r="R56" s="81" t="s">
        <v>90</v>
      </c>
      <c r="S56" s="81" t="s">
        <v>91</v>
      </c>
      <c r="T56" s="81" t="s">
        <v>92</v>
      </c>
      <c r="U56" s="81" t="s">
        <v>93</v>
      </c>
      <c r="V56" s="81" t="s">
        <v>94</v>
      </c>
      <c r="W56" s="81" t="s">
        <v>597</v>
      </c>
      <c r="X56" s="81" t="s">
        <v>598</v>
      </c>
      <c r="Y56" s="81" t="s">
        <v>599</v>
      </c>
      <c r="Z56" s="81" t="s">
        <v>600</v>
      </c>
      <c r="AA56" s="81" t="s">
        <v>601</v>
      </c>
      <c r="AB56" s="81" t="s">
        <v>602</v>
      </c>
      <c r="AC56" s="81" t="s">
        <v>603</v>
      </c>
      <c r="AD56" s="81" t="s">
        <v>604</v>
      </c>
      <c r="AE56" s="81" t="s">
        <v>605</v>
      </c>
      <c r="AF56" s="81" t="s">
        <v>606</v>
      </c>
      <c r="AG56" s="81" t="s">
        <v>607</v>
      </c>
      <c r="AH56" s="81" t="s">
        <v>608</v>
      </c>
      <c r="AI56" s="81" t="s">
        <v>609</v>
      </c>
      <c r="AJ56" s="81" t="s">
        <v>611</v>
      </c>
      <c r="AK56" s="81" t="s">
        <v>612</v>
      </c>
      <c r="AL56" s="81" t="s">
        <v>613</v>
      </c>
      <c r="AM56" s="81" t="s">
        <v>614</v>
      </c>
      <c r="AN56" s="81" t="s">
        <v>610</v>
      </c>
      <c r="AO56" s="81" t="s">
        <v>615</v>
      </c>
      <c r="AP56" s="81" t="s">
        <v>616</v>
      </c>
      <c r="AQ56" s="81" t="s">
        <v>617</v>
      </c>
      <c r="AR56" s="81" t="s">
        <v>618</v>
      </c>
      <c r="AS56" s="81" t="s">
        <v>619</v>
      </c>
      <c r="AT56" s="81" t="s">
        <v>620</v>
      </c>
      <c r="AU56" s="81" t="s">
        <v>621</v>
      </c>
      <c r="AV56" s="81" t="s">
        <v>622</v>
      </c>
      <c r="AW56" s="81" t="s">
        <v>623</v>
      </c>
      <c r="AX56" s="81" t="s">
        <v>624</v>
      </c>
      <c r="AY56" s="62"/>
    </row>
    <row r="57" spans="1:52" s="26" customFormat="1" ht="13.5" x14ac:dyDescent="0.3">
      <c r="A57" s="62"/>
      <c r="B57" s="56" t="s">
        <v>120</v>
      </c>
      <c r="C57" s="205" t="s">
        <v>132</v>
      </c>
      <c r="D57" s="207" t="s">
        <v>140</v>
      </c>
      <c r="E57" s="203" t="s">
        <v>145</v>
      </c>
      <c r="F57" s="209"/>
      <c r="G57" s="82">
        <f>IFERROR(G46*$E$53,"-")</f>
        <v>0</v>
      </c>
      <c r="H57" s="82">
        <f t="shared" ref="H57:J57" si="50">IFERROR(H46*$E$53,"-")</f>
        <v>-0.1310662676190151</v>
      </c>
      <c r="I57" s="82">
        <f t="shared" si="50"/>
        <v>1.6490220555819262</v>
      </c>
      <c r="J57" s="82">
        <f t="shared" si="50"/>
        <v>7.9249822078168837</v>
      </c>
      <c r="K57" s="27"/>
      <c r="L57" s="82">
        <f>IFERROR(L46*$E$53,"-")</f>
        <v>7.9249822078168837</v>
      </c>
      <c r="M57" s="82">
        <f t="shared" ref="M57:U57" si="51">IFERROR(M46*$E$53,"-")</f>
        <v>9.5945159615724194</v>
      </c>
      <c r="N57" s="82">
        <f t="shared" si="51"/>
        <v>9.6655312765157912</v>
      </c>
      <c r="O57" s="82">
        <f>IFERROR(O46*$E$53,"-")</f>
        <v>11.448655558303892</v>
      </c>
      <c r="P57" s="82">
        <f t="shared" si="51"/>
        <v>11.63045810995356</v>
      </c>
      <c r="Q57" s="82">
        <f t="shared" si="51"/>
        <v>11.375413031411084</v>
      </c>
      <c r="R57" s="82">
        <f>IFERROR(R46*$E$53,"-")</f>
        <v>11.405483218834176</v>
      </c>
      <c r="S57" s="82">
        <f>IFERROR(S46*$E$53,"-")</f>
        <v>10.452988037960662</v>
      </c>
      <c r="T57" s="82">
        <f>IFERROR(T46*$E$53,"-")</f>
        <v>11.090106502704794</v>
      </c>
      <c r="U57" s="82">
        <f t="shared" si="51"/>
        <v>11.951673643525851</v>
      </c>
      <c r="V57" s="82" t="str">
        <f t="shared" ref="V57:AX57" si="52">IFERROR(V46*$E$53,"-")</f>
        <v>-</v>
      </c>
      <c r="W57" s="82" t="str">
        <f t="shared" si="52"/>
        <v>-</v>
      </c>
      <c r="X57" s="82" t="str">
        <f t="shared" si="52"/>
        <v>-</v>
      </c>
      <c r="Y57" s="82" t="str">
        <f t="shared" si="52"/>
        <v>-</v>
      </c>
      <c r="Z57" s="82" t="str">
        <f t="shared" si="52"/>
        <v>-</v>
      </c>
      <c r="AA57" s="82" t="str">
        <f t="shared" si="52"/>
        <v>-</v>
      </c>
      <c r="AB57" s="82" t="str">
        <f t="shared" si="52"/>
        <v>-</v>
      </c>
      <c r="AC57" s="82" t="str">
        <f t="shared" si="52"/>
        <v>-</v>
      </c>
      <c r="AD57" s="82" t="str">
        <f t="shared" si="52"/>
        <v>-</v>
      </c>
      <c r="AE57" s="82" t="str">
        <f t="shared" si="52"/>
        <v>-</v>
      </c>
      <c r="AF57" s="82" t="str">
        <f t="shared" si="52"/>
        <v>-</v>
      </c>
      <c r="AG57" s="82" t="str">
        <f t="shared" si="52"/>
        <v>-</v>
      </c>
      <c r="AH57" s="82" t="str">
        <f t="shared" si="52"/>
        <v>-</v>
      </c>
      <c r="AI57" s="82" t="str">
        <f t="shared" si="52"/>
        <v>-</v>
      </c>
      <c r="AJ57" s="82" t="str">
        <f t="shared" si="52"/>
        <v>-</v>
      </c>
      <c r="AK57" s="82" t="str">
        <f t="shared" si="52"/>
        <v>-</v>
      </c>
      <c r="AL57" s="82" t="str">
        <f t="shared" si="52"/>
        <v>-</v>
      </c>
      <c r="AM57" s="82" t="str">
        <f t="shared" si="52"/>
        <v>-</v>
      </c>
      <c r="AN57" s="82" t="str">
        <f t="shared" si="52"/>
        <v>-</v>
      </c>
      <c r="AO57" s="82" t="str">
        <f t="shared" si="52"/>
        <v>-</v>
      </c>
      <c r="AP57" s="82" t="str">
        <f t="shared" si="52"/>
        <v>-</v>
      </c>
      <c r="AQ57" s="82" t="str">
        <f t="shared" si="52"/>
        <v>-</v>
      </c>
      <c r="AR57" s="82" t="str">
        <f t="shared" si="52"/>
        <v>-</v>
      </c>
      <c r="AS57" s="82" t="str">
        <f t="shared" si="52"/>
        <v>-</v>
      </c>
      <c r="AT57" s="82" t="str">
        <f t="shared" si="52"/>
        <v>-</v>
      </c>
      <c r="AU57" s="82" t="str">
        <f t="shared" si="52"/>
        <v>-</v>
      </c>
      <c r="AV57" s="82" t="str">
        <f t="shared" si="52"/>
        <v>-</v>
      </c>
      <c r="AW57" s="82" t="str">
        <f t="shared" si="52"/>
        <v>-</v>
      </c>
      <c r="AX57" s="82" t="str">
        <f t="shared" si="52"/>
        <v>-</v>
      </c>
      <c r="AY57" s="62"/>
    </row>
    <row r="58" spans="1:52" x14ac:dyDescent="0.3">
      <c r="B58" s="56" t="s">
        <v>130</v>
      </c>
      <c r="C58" s="206"/>
      <c r="D58" s="208"/>
      <c r="E58" s="204"/>
      <c r="F58" s="210"/>
      <c r="G58" s="82">
        <f>IFERROR(G47*$E$53,"-")</f>
        <v>0</v>
      </c>
      <c r="H58" s="82">
        <f t="shared" ref="H58:J58" si="53">IFERROR(H47*$E$53,"-")</f>
        <v>-0.10239413454660828</v>
      </c>
      <c r="I58" s="82">
        <f t="shared" si="53"/>
        <v>1.3107897268148032</v>
      </c>
      <c r="J58" s="82">
        <f t="shared" si="53"/>
        <v>8.7391024854837447</v>
      </c>
      <c r="K58" s="27"/>
      <c r="L58" s="82">
        <f>IFERROR(L47*$E$53,"-")</f>
        <v>8.7391024854837447</v>
      </c>
      <c r="M58" s="82">
        <f t="shared" ref="M58:U58" si="54">IFERROR(M47*$E$53,"-")</f>
        <v>10.102089688688181</v>
      </c>
      <c r="N58" s="82">
        <f t="shared" si="54"/>
        <v>10.300173121233549</v>
      </c>
      <c r="O58" s="82">
        <f>IFERROR(O47*$E$53,"-")</f>
        <v>11.847822371645298</v>
      </c>
      <c r="P58" s="82">
        <f t="shared" si="54"/>
        <v>7.7038430079225817</v>
      </c>
      <c r="Q58" s="82">
        <f t="shared" si="54"/>
        <v>7.5210837283470999</v>
      </c>
      <c r="R58" s="82">
        <f t="shared" si="54"/>
        <v>5.5039662813362371</v>
      </c>
      <c r="S58" s="82">
        <f t="shared" si="54"/>
        <v>2.3340147638275894</v>
      </c>
      <c r="T58" s="82">
        <f>IFERROR(T47*$E$53,"-")</f>
        <v>2.3848554466543863</v>
      </c>
      <c r="U58" s="82">
        <f t="shared" si="54"/>
        <v>2.7714012178486214</v>
      </c>
      <c r="V58" s="82" t="str">
        <f t="shared" ref="V58:AX58" si="55">IFERROR(V47*$E$53,"-")</f>
        <v>-</v>
      </c>
      <c r="W58" s="82" t="str">
        <f t="shared" si="55"/>
        <v>-</v>
      </c>
      <c r="X58" s="82" t="str">
        <f t="shared" si="55"/>
        <v>-</v>
      </c>
      <c r="Y58" s="82" t="str">
        <f t="shared" si="55"/>
        <v>-</v>
      </c>
      <c r="Z58" s="82" t="str">
        <f t="shared" si="55"/>
        <v>-</v>
      </c>
      <c r="AA58" s="82" t="str">
        <f t="shared" si="55"/>
        <v>-</v>
      </c>
      <c r="AB58" s="82" t="str">
        <f t="shared" si="55"/>
        <v>-</v>
      </c>
      <c r="AC58" s="82" t="str">
        <f t="shared" si="55"/>
        <v>-</v>
      </c>
      <c r="AD58" s="82" t="str">
        <f t="shared" si="55"/>
        <v>-</v>
      </c>
      <c r="AE58" s="82" t="str">
        <f t="shared" si="55"/>
        <v>-</v>
      </c>
      <c r="AF58" s="82" t="str">
        <f t="shared" si="55"/>
        <v>-</v>
      </c>
      <c r="AG58" s="82" t="str">
        <f t="shared" si="55"/>
        <v>-</v>
      </c>
      <c r="AH58" s="82" t="str">
        <f t="shared" si="55"/>
        <v>-</v>
      </c>
      <c r="AI58" s="82" t="str">
        <f t="shared" si="55"/>
        <v>-</v>
      </c>
      <c r="AJ58" s="82" t="str">
        <f t="shared" si="55"/>
        <v>-</v>
      </c>
      <c r="AK58" s="82" t="str">
        <f t="shared" si="55"/>
        <v>-</v>
      </c>
      <c r="AL58" s="82" t="str">
        <f t="shared" si="55"/>
        <v>-</v>
      </c>
      <c r="AM58" s="82" t="str">
        <f t="shared" si="55"/>
        <v>-</v>
      </c>
      <c r="AN58" s="82" t="str">
        <f t="shared" si="55"/>
        <v>-</v>
      </c>
      <c r="AO58" s="82" t="str">
        <f t="shared" si="55"/>
        <v>-</v>
      </c>
      <c r="AP58" s="82" t="str">
        <f t="shared" si="55"/>
        <v>-</v>
      </c>
      <c r="AQ58" s="82" t="str">
        <f t="shared" si="55"/>
        <v>-</v>
      </c>
      <c r="AR58" s="82" t="str">
        <f t="shared" si="55"/>
        <v>-</v>
      </c>
      <c r="AS58" s="82" t="str">
        <f t="shared" si="55"/>
        <v>-</v>
      </c>
      <c r="AT58" s="82" t="str">
        <f t="shared" si="55"/>
        <v>-</v>
      </c>
      <c r="AU58" s="82" t="str">
        <f t="shared" si="55"/>
        <v>-</v>
      </c>
      <c r="AV58" s="82" t="str">
        <f t="shared" si="55"/>
        <v>-</v>
      </c>
      <c r="AW58" s="82" t="str">
        <f t="shared" si="55"/>
        <v>-</v>
      </c>
      <c r="AX58" s="82" t="str">
        <f t="shared" si="55"/>
        <v>-</v>
      </c>
    </row>
    <row r="59" spans="1:52" s="26" customFormat="1" x14ac:dyDescent="0.3">
      <c r="A59" s="169"/>
      <c r="B59" s="56" t="s">
        <v>120</v>
      </c>
      <c r="C59" s="205" t="s">
        <v>134</v>
      </c>
      <c r="D59" s="207" t="s">
        <v>140</v>
      </c>
      <c r="E59" s="203" t="s">
        <v>145</v>
      </c>
      <c r="F59" s="209"/>
      <c r="G59" s="82">
        <f>IFERROR(((G18*$E$54)+G39),G18*$E$54)</f>
        <v>0</v>
      </c>
      <c r="H59" s="82">
        <f>IFERROR(((H18*$E$54)+H39),H18*$E$54)</f>
        <v>-0.1310662676190151</v>
      </c>
      <c r="I59" s="82">
        <f>IFERROR(((I18*$E$54)+I39),I18*$E$54)</f>
        <v>1.6490220555819262</v>
      </c>
      <c r="J59" s="82">
        <f>IFERROR(((J18*$E$54)+J39),J18*$E$54)</f>
        <v>1.7011822078168848</v>
      </c>
      <c r="K59" s="27"/>
      <c r="L59" s="82">
        <f>IFERROR(((L18*$E$54)+L39),L18*$E$54)</f>
        <v>1.7011822078168848</v>
      </c>
      <c r="M59" s="82">
        <f t="shared" ref="M59:Q59" si="56">IFERROR(((M18*$E$54)+M39),M18*$E$54)</f>
        <v>3.37071596157242</v>
      </c>
      <c r="N59" s="82">
        <f t="shared" si="56"/>
        <v>3.2761312765157915</v>
      </c>
      <c r="O59" s="82">
        <f t="shared" si="56"/>
        <v>4.8946129781636989</v>
      </c>
      <c r="P59" s="82">
        <f t="shared" si="56"/>
        <v>4.2887571563853468</v>
      </c>
      <c r="Q59" s="82">
        <f t="shared" si="56"/>
        <v>4.0337120778428694</v>
      </c>
      <c r="R59" s="82">
        <f>IFERROR(((R18*$E$54)+R39),"-")</f>
        <v>4.3260832188341771</v>
      </c>
      <c r="S59" s="82">
        <f t="shared" ref="S59:U59" si="57">IFERROR(((S18*$E$54)+S39),"-")</f>
        <v>4.2015880379606623</v>
      </c>
      <c r="T59" s="82">
        <f>IFERROR(((T18*$E$54)+T39),"-")</f>
        <v>4.0728065027047933</v>
      </c>
      <c r="U59" s="82">
        <f t="shared" si="57"/>
        <v>4.6721736435258494</v>
      </c>
      <c r="V59" s="82" t="str">
        <f t="shared" ref="V59:AX59" si="58">IFERROR(((V18*$E$54)+V39),"-")</f>
        <v>-</v>
      </c>
      <c r="W59" s="82" t="str">
        <f t="shared" si="58"/>
        <v>-</v>
      </c>
      <c r="X59" s="82" t="str">
        <f t="shared" si="58"/>
        <v>-</v>
      </c>
      <c r="Y59" s="82" t="str">
        <f t="shared" si="58"/>
        <v>-</v>
      </c>
      <c r="Z59" s="82" t="str">
        <f t="shared" si="58"/>
        <v>-</v>
      </c>
      <c r="AA59" s="82" t="str">
        <f t="shared" si="58"/>
        <v>-</v>
      </c>
      <c r="AB59" s="82" t="str">
        <f t="shared" si="58"/>
        <v>-</v>
      </c>
      <c r="AC59" s="82" t="str">
        <f t="shared" si="58"/>
        <v>-</v>
      </c>
      <c r="AD59" s="82" t="str">
        <f t="shared" si="58"/>
        <v>-</v>
      </c>
      <c r="AE59" s="82" t="str">
        <f t="shared" si="58"/>
        <v>-</v>
      </c>
      <c r="AF59" s="82" t="str">
        <f t="shared" si="58"/>
        <v>-</v>
      </c>
      <c r="AG59" s="82" t="str">
        <f t="shared" si="58"/>
        <v>-</v>
      </c>
      <c r="AH59" s="82" t="str">
        <f t="shared" si="58"/>
        <v>-</v>
      </c>
      <c r="AI59" s="82" t="str">
        <f t="shared" si="58"/>
        <v>-</v>
      </c>
      <c r="AJ59" s="82" t="str">
        <f t="shared" si="58"/>
        <v>-</v>
      </c>
      <c r="AK59" s="82" t="str">
        <f t="shared" si="58"/>
        <v>-</v>
      </c>
      <c r="AL59" s="82" t="str">
        <f t="shared" si="58"/>
        <v>-</v>
      </c>
      <c r="AM59" s="82" t="str">
        <f t="shared" si="58"/>
        <v>-</v>
      </c>
      <c r="AN59" s="82" t="str">
        <f t="shared" si="58"/>
        <v>-</v>
      </c>
      <c r="AO59" s="82" t="str">
        <f t="shared" si="58"/>
        <v>-</v>
      </c>
      <c r="AP59" s="82" t="str">
        <f t="shared" si="58"/>
        <v>-</v>
      </c>
      <c r="AQ59" s="82" t="str">
        <f t="shared" si="58"/>
        <v>-</v>
      </c>
      <c r="AR59" s="82" t="str">
        <f t="shared" si="58"/>
        <v>-</v>
      </c>
      <c r="AS59" s="82" t="str">
        <f t="shared" si="58"/>
        <v>-</v>
      </c>
      <c r="AT59" s="82" t="str">
        <f t="shared" si="58"/>
        <v>-</v>
      </c>
      <c r="AU59" s="82" t="str">
        <f t="shared" si="58"/>
        <v>-</v>
      </c>
      <c r="AV59" s="82" t="str">
        <f t="shared" si="58"/>
        <v>-</v>
      </c>
      <c r="AW59" s="82" t="str">
        <f t="shared" si="58"/>
        <v>-</v>
      </c>
      <c r="AX59" s="82" t="str">
        <f t="shared" si="58"/>
        <v>-</v>
      </c>
      <c r="AY59" s="62"/>
    </row>
    <row r="60" spans="1:52" x14ac:dyDescent="0.3">
      <c r="B60" s="56" t="s">
        <v>130</v>
      </c>
      <c r="C60" s="206"/>
      <c r="D60" s="208"/>
      <c r="E60" s="204"/>
      <c r="F60" s="210"/>
      <c r="G60" s="82">
        <f>IFERROR(((G24*$E$54)+G40),G24*$E$54)</f>
        <v>0</v>
      </c>
      <c r="H60" s="82">
        <f>IFERROR(((H24*$E$54)+H40),H24*$E$54)</f>
        <v>-0.10239413454660828</v>
      </c>
      <c r="I60" s="82">
        <f>IFERROR(((I24*$E$54)+I40),I24*$E$54)</f>
        <v>1.3107897268148032</v>
      </c>
      <c r="J60" s="82">
        <f>IFERROR(((J24*$E$54)+J40),J24*$E$54)</f>
        <v>1.3561024854837453</v>
      </c>
      <c r="K60" s="27"/>
      <c r="L60" s="82">
        <f>IFERROR(((L24*$E$54)+L40),L24*$E$54)</f>
        <v>1.3561024854837453</v>
      </c>
      <c r="M60" s="82">
        <f t="shared" ref="M60:Q60" si="59">IFERROR(((M24*$E$54)+M40),M24*$E$54)</f>
        <v>2.7190896886881828</v>
      </c>
      <c r="N60" s="82">
        <f t="shared" si="59"/>
        <v>2.5445731212335492</v>
      </c>
      <c r="O60" s="82">
        <f t="shared" si="59"/>
        <v>3.7238675166956514</v>
      </c>
      <c r="P60" s="82">
        <f t="shared" si="59"/>
        <v>3.2317970151566944</v>
      </c>
      <c r="Q60" s="82">
        <f t="shared" si="59"/>
        <v>3.0490377355812108</v>
      </c>
      <c r="R60" s="82">
        <f>IFERROR(((R24*$E$54)+R40),"-")</f>
        <v>-2.8755928274026386</v>
      </c>
      <c r="S60" s="82">
        <f t="shared" ref="S60:U60" si="60">IFERROR(((S24*$E$54)+S40),"-")</f>
        <v>-4.4212717332369875</v>
      </c>
      <c r="T60" s="82">
        <f>IFERROR(((T24*$E$54)+T40),"-")</f>
        <v>-9.9169703850481579</v>
      </c>
      <c r="U60" s="82">
        <f t="shared" si="60"/>
        <v>-11.95393302872672</v>
      </c>
      <c r="V60" s="82" t="str">
        <f t="shared" ref="V60:AX60" si="61">IFERROR(((V24*$E$54)+V40),"-")</f>
        <v>-</v>
      </c>
      <c r="W60" s="82" t="str">
        <f t="shared" si="61"/>
        <v>-</v>
      </c>
      <c r="X60" s="82" t="str">
        <f t="shared" si="61"/>
        <v>-</v>
      </c>
      <c r="Y60" s="82" t="str">
        <f t="shared" si="61"/>
        <v>-</v>
      </c>
      <c r="Z60" s="82" t="str">
        <f t="shared" si="61"/>
        <v>-</v>
      </c>
      <c r="AA60" s="82" t="str">
        <f t="shared" si="61"/>
        <v>-</v>
      </c>
      <c r="AB60" s="82" t="str">
        <f t="shared" si="61"/>
        <v>-</v>
      </c>
      <c r="AC60" s="82" t="str">
        <f t="shared" si="61"/>
        <v>-</v>
      </c>
      <c r="AD60" s="82" t="str">
        <f t="shared" si="61"/>
        <v>-</v>
      </c>
      <c r="AE60" s="82" t="str">
        <f t="shared" si="61"/>
        <v>-</v>
      </c>
      <c r="AF60" s="82" t="str">
        <f t="shared" si="61"/>
        <v>-</v>
      </c>
      <c r="AG60" s="82" t="str">
        <f t="shared" si="61"/>
        <v>-</v>
      </c>
      <c r="AH60" s="82" t="str">
        <f t="shared" si="61"/>
        <v>-</v>
      </c>
      <c r="AI60" s="82" t="str">
        <f t="shared" si="61"/>
        <v>-</v>
      </c>
      <c r="AJ60" s="82" t="str">
        <f t="shared" si="61"/>
        <v>-</v>
      </c>
      <c r="AK60" s="82" t="str">
        <f t="shared" si="61"/>
        <v>-</v>
      </c>
      <c r="AL60" s="82" t="str">
        <f t="shared" si="61"/>
        <v>-</v>
      </c>
      <c r="AM60" s="82" t="str">
        <f t="shared" si="61"/>
        <v>-</v>
      </c>
      <c r="AN60" s="82" t="str">
        <f t="shared" si="61"/>
        <v>-</v>
      </c>
      <c r="AO60" s="82" t="str">
        <f t="shared" si="61"/>
        <v>-</v>
      </c>
      <c r="AP60" s="82" t="str">
        <f t="shared" si="61"/>
        <v>-</v>
      </c>
      <c r="AQ60" s="82" t="str">
        <f t="shared" si="61"/>
        <v>-</v>
      </c>
      <c r="AR60" s="82" t="str">
        <f t="shared" si="61"/>
        <v>-</v>
      </c>
      <c r="AS60" s="82" t="str">
        <f t="shared" si="61"/>
        <v>-</v>
      </c>
      <c r="AT60" s="82" t="str">
        <f t="shared" si="61"/>
        <v>-</v>
      </c>
      <c r="AU60" s="82" t="str">
        <f t="shared" si="61"/>
        <v>-</v>
      </c>
      <c r="AV60" s="82" t="str">
        <f t="shared" si="61"/>
        <v>-</v>
      </c>
      <c r="AW60" s="82" t="str">
        <f t="shared" si="61"/>
        <v>-</v>
      </c>
      <c r="AX60" s="82" t="str">
        <f t="shared" si="61"/>
        <v>-</v>
      </c>
    </row>
    <row r="61" spans="1:52" ht="14.5" x14ac:dyDescent="0.35">
      <c r="L61" s="7"/>
      <c r="M61" s="7"/>
      <c r="N61" s="7"/>
      <c r="O61" s="7"/>
      <c r="P61" s="7"/>
      <c r="Q61" s="7"/>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row>
    <row r="62" spans="1:52" ht="14.5" x14ac:dyDescent="0.35">
      <c r="L62" s="7"/>
      <c r="M62" s="7"/>
      <c r="N62" s="7"/>
      <c r="O62" s="7"/>
      <c r="P62" s="7"/>
      <c r="Q62" s="7"/>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row>
  </sheetData>
  <mergeCells count="54">
    <mergeCell ref="G39:I40"/>
    <mergeCell ref="C59:C60"/>
    <mergeCell ref="C29:C30"/>
    <mergeCell ref="C31:C32"/>
    <mergeCell ref="C46:C47"/>
    <mergeCell ref="C48:C49"/>
    <mergeCell ref="C57:C58"/>
    <mergeCell ref="C37:C38"/>
    <mergeCell ref="D59:D60"/>
    <mergeCell ref="E59:E60"/>
    <mergeCell ref="F59:F60"/>
    <mergeCell ref="D57:D58"/>
    <mergeCell ref="E57:E58"/>
    <mergeCell ref="F57:F58"/>
    <mergeCell ref="G29:I30"/>
    <mergeCell ref="B13:B18"/>
    <mergeCell ref="B19:B24"/>
    <mergeCell ref="E31:E32"/>
    <mergeCell ref="F31:F32"/>
    <mergeCell ref="D37:D38"/>
    <mergeCell ref="F37:F38"/>
    <mergeCell ref="C13:C18"/>
    <mergeCell ref="C19:C24"/>
    <mergeCell ref="D31:D32"/>
    <mergeCell ref="F13:F24"/>
    <mergeCell ref="F29:F30"/>
    <mergeCell ref="D29:D30"/>
    <mergeCell ref="E29:E30"/>
    <mergeCell ref="B3:M3"/>
    <mergeCell ref="G8:J8"/>
    <mergeCell ref="G9:J9"/>
    <mergeCell ref="E8:E12"/>
    <mergeCell ref="C8:C12"/>
    <mergeCell ref="F8:F9"/>
    <mergeCell ref="B8:B12"/>
    <mergeCell ref="D8:D12"/>
    <mergeCell ref="L8:AX8"/>
    <mergeCell ref="L9:AX9"/>
    <mergeCell ref="G28:I28"/>
    <mergeCell ref="G37:I38"/>
    <mergeCell ref="G36:I36"/>
    <mergeCell ref="B53:B54"/>
    <mergeCell ref="E37:E38"/>
    <mergeCell ref="C39:C40"/>
    <mergeCell ref="D39:D40"/>
    <mergeCell ref="E39:E40"/>
    <mergeCell ref="G31:I32"/>
    <mergeCell ref="D48:D49"/>
    <mergeCell ref="E48:E49"/>
    <mergeCell ref="F48:F49"/>
    <mergeCell ref="E46:E47"/>
    <mergeCell ref="F46:F47"/>
    <mergeCell ref="D46:D47"/>
    <mergeCell ref="F39:F40"/>
  </mergeCells>
  <phoneticPr fontId="36"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pageSetUpPr autoPageBreaks="0"/>
  </sheetPr>
  <dimension ref="A1"/>
  <sheetViews>
    <sheetView workbookViewId="0"/>
  </sheetViews>
  <sheetFormatPr defaultRowHeight="14.5" x14ac:dyDescent="0.3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pageSetUpPr autoPageBreaks="0"/>
  </sheetPr>
  <dimension ref="A1:AV13"/>
  <sheetViews>
    <sheetView topLeftCell="AO1" zoomScale="85" zoomScaleNormal="85" workbookViewId="0">
      <selection activeCell="F6" sqref="F6"/>
    </sheetView>
  </sheetViews>
  <sheetFormatPr defaultColWidth="0" defaultRowHeight="14.5" zeroHeight="1" x14ac:dyDescent="0.35"/>
  <cols>
    <col min="1" max="1" width="9" style="7" customWidth="1"/>
    <col min="2" max="2" width="12.453125" style="7" customWidth="1"/>
    <col min="3" max="3" width="19.54296875" style="7" customWidth="1"/>
    <col min="4" max="4" width="74.90625" style="7" customWidth="1"/>
    <col min="5" max="5" width="16.08984375" style="7" customWidth="1"/>
    <col min="6" max="6" width="32" style="7" customWidth="1"/>
    <col min="7" max="7" width="16.54296875" style="7" customWidth="1"/>
    <col min="8" max="8" width="2.08984375" style="7" customWidth="1"/>
    <col min="9" max="47" width="18.6328125" style="7" customWidth="1"/>
    <col min="48" max="48" width="9" style="7" customWidth="1"/>
    <col min="49" max="16384" width="9" style="7" hidden="1"/>
  </cols>
  <sheetData>
    <row r="1" spans="1:48" s="1" customFormat="1" ht="12.75" customHeight="1" x14ac:dyDescent="0.35"/>
    <row r="2" spans="1:48" s="1" customFormat="1" ht="18.75" customHeight="1" x14ac:dyDescent="0.35">
      <c r="B2" s="5" t="s">
        <v>146</v>
      </c>
      <c r="C2" s="5"/>
      <c r="D2" s="5"/>
      <c r="E2" s="5"/>
      <c r="F2" s="5"/>
      <c r="G2" s="5"/>
      <c r="H2" s="5"/>
      <c r="P2" s="5"/>
    </row>
    <row r="3" spans="1:48" s="1" customFormat="1" ht="21.75" customHeight="1" x14ac:dyDescent="0.35">
      <c r="B3" s="211" t="s">
        <v>147</v>
      </c>
      <c r="C3" s="211"/>
      <c r="D3" s="211"/>
      <c r="E3" s="211"/>
      <c r="F3" s="211"/>
      <c r="G3" s="211"/>
      <c r="H3" s="211"/>
      <c r="I3" s="211"/>
      <c r="J3" s="211"/>
      <c r="K3" s="6"/>
      <c r="L3" s="6"/>
      <c r="M3" s="6"/>
      <c r="N3" s="6"/>
      <c r="O3" s="6"/>
      <c r="P3" s="6"/>
      <c r="Q3" s="6"/>
      <c r="R3" s="6"/>
      <c r="S3" s="6"/>
    </row>
    <row r="4" spans="1:48" s="1" customFormat="1" ht="12.75" customHeight="1" x14ac:dyDescent="0.35"/>
    <row r="5" spans="1:48" x14ac:dyDescent="0.35"/>
    <row r="6" spans="1:48" s="26" customFormat="1" ht="52.5" customHeight="1" x14ac:dyDescent="0.3">
      <c r="A6" s="31"/>
      <c r="B6" s="218" t="s">
        <v>72</v>
      </c>
      <c r="C6" s="241" t="s">
        <v>73</v>
      </c>
      <c r="D6" s="243" t="s">
        <v>29</v>
      </c>
      <c r="E6" s="218" t="s">
        <v>74</v>
      </c>
      <c r="F6" s="185" t="s">
        <v>95</v>
      </c>
      <c r="G6" s="79" t="s">
        <v>99</v>
      </c>
      <c r="H6" s="27"/>
      <c r="I6" s="80" t="s">
        <v>100</v>
      </c>
      <c r="J6" s="78" t="s">
        <v>101</v>
      </c>
      <c r="K6" s="78" t="s">
        <v>102</v>
      </c>
      <c r="L6" s="78" t="s">
        <v>103</v>
      </c>
      <c r="M6" s="78" t="s">
        <v>104</v>
      </c>
      <c r="N6" s="78" t="s">
        <v>105</v>
      </c>
      <c r="O6" s="78" t="s">
        <v>106</v>
      </c>
      <c r="P6" s="80" t="s">
        <v>107</v>
      </c>
      <c r="Q6" s="78" t="s">
        <v>108</v>
      </c>
      <c r="R6" s="78" t="s">
        <v>109</v>
      </c>
      <c r="S6" s="78" t="s">
        <v>110</v>
      </c>
      <c r="T6" s="78" t="s">
        <v>110</v>
      </c>
      <c r="U6" s="78" t="s">
        <v>625</v>
      </c>
      <c r="V6" s="78" t="s">
        <v>625</v>
      </c>
      <c r="W6" s="78" t="s">
        <v>590</v>
      </c>
      <c r="X6" s="78" t="s">
        <v>590</v>
      </c>
      <c r="Y6" s="78" t="s">
        <v>626</v>
      </c>
      <c r="Z6" s="78" t="s">
        <v>626</v>
      </c>
      <c r="AA6" s="78" t="s">
        <v>591</v>
      </c>
      <c r="AB6" s="78" t="s">
        <v>591</v>
      </c>
      <c r="AC6" s="78" t="s">
        <v>627</v>
      </c>
      <c r="AD6" s="78" t="s">
        <v>627</v>
      </c>
      <c r="AE6" s="78" t="s">
        <v>592</v>
      </c>
      <c r="AF6" s="78" t="s">
        <v>592</v>
      </c>
      <c r="AG6" s="78" t="s">
        <v>628</v>
      </c>
      <c r="AH6" s="78" t="s">
        <v>628</v>
      </c>
      <c r="AI6" s="78" t="s">
        <v>593</v>
      </c>
      <c r="AJ6" s="78" t="s">
        <v>593</v>
      </c>
      <c r="AK6" s="78" t="s">
        <v>629</v>
      </c>
      <c r="AL6" s="78" t="s">
        <v>629</v>
      </c>
      <c r="AM6" s="78" t="s">
        <v>594</v>
      </c>
      <c r="AN6" s="78" t="s">
        <v>594</v>
      </c>
      <c r="AO6" s="78" t="s">
        <v>630</v>
      </c>
      <c r="AP6" s="78" t="s">
        <v>630</v>
      </c>
      <c r="AQ6" s="78" t="s">
        <v>595</v>
      </c>
      <c r="AR6" s="78" t="s">
        <v>595</v>
      </c>
      <c r="AS6" s="78" t="s">
        <v>631</v>
      </c>
      <c r="AT6" s="78" t="s">
        <v>631</v>
      </c>
      <c r="AU6" s="78" t="s">
        <v>596</v>
      </c>
      <c r="AV6" s="31"/>
    </row>
    <row r="7" spans="1:48" s="26" customFormat="1" ht="52.5" customHeight="1" x14ac:dyDescent="0.3">
      <c r="A7" s="31"/>
      <c r="B7" s="220"/>
      <c r="C7" s="242"/>
      <c r="D7" s="244"/>
      <c r="E7" s="220"/>
      <c r="F7" s="185" t="s">
        <v>79</v>
      </c>
      <c r="G7" s="81" t="s">
        <v>83</v>
      </c>
      <c r="H7" s="27"/>
      <c r="I7" s="76" t="s">
        <v>84</v>
      </c>
      <c r="J7" s="76" t="s">
        <v>85</v>
      </c>
      <c r="K7" s="76" t="s">
        <v>86</v>
      </c>
      <c r="L7" s="76" t="s">
        <v>87</v>
      </c>
      <c r="M7" s="76" t="s">
        <v>88</v>
      </c>
      <c r="N7" s="76" t="s">
        <v>89</v>
      </c>
      <c r="O7" s="76" t="s">
        <v>90</v>
      </c>
      <c r="P7" s="76" t="s">
        <v>91</v>
      </c>
      <c r="Q7" s="76" t="s">
        <v>92</v>
      </c>
      <c r="R7" s="76" t="s">
        <v>93</v>
      </c>
      <c r="S7" s="76" t="s">
        <v>94</v>
      </c>
      <c r="T7" s="76" t="s">
        <v>597</v>
      </c>
      <c r="U7" s="76" t="s">
        <v>598</v>
      </c>
      <c r="V7" s="76" t="s">
        <v>599</v>
      </c>
      <c r="W7" s="76" t="s">
        <v>600</v>
      </c>
      <c r="X7" s="76" t="s">
        <v>632</v>
      </c>
      <c r="Y7" s="76" t="s">
        <v>602</v>
      </c>
      <c r="Z7" s="76" t="s">
        <v>603</v>
      </c>
      <c r="AA7" s="76" t="s">
        <v>604</v>
      </c>
      <c r="AB7" s="76" t="s">
        <v>605</v>
      </c>
      <c r="AC7" s="76" t="s">
        <v>606</v>
      </c>
      <c r="AD7" s="76" t="s">
        <v>607</v>
      </c>
      <c r="AE7" s="76" t="s">
        <v>608</v>
      </c>
      <c r="AF7" s="76" t="s">
        <v>609</v>
      </c>
      <c r="AG7" s="76" t="s">
        <v>611</v>
      </c>
      <c r="AH7" s="76" t="s">
        <v>612</v>
      </c>
      <c r="AI7" s="76" t="s">
        <v>613</v>
      </c>
      <c r="AJ7" s="76" t="s">
        <v>614</v>
      </c>
      <c r="AK7" s="76" t="s">
        <v>610</v>
      </c>
      <c r="AL7" s="76" t="s">
        <v>615</v>
      </c>
      <c r="AM7" s="76" t="s">
        <v>616</v>
      </c>
      <c r="AN7" s="76" t="s">
        <v>617</v>
      </c>
      <c r="AO7" s="76" t="s">
        <v>618</v>
      </c>
      <c r="AP7" s="76" t="s">
        <v>619</v>
      </c>
      <c r="AQ7" s="76" t="s">
        <v>620</v>
      </c>
      <c r="AR7" s="76" t="s">
        <v>621</v>
      </c>
      <c r="AS7" s="76" t="s">
        <v>622</v>
      </c>
      <c r="AT7" s="76" t="s">
        <v>623</v>
      </c>
      <c r="AU7" s="76" t="s">
        <v>624</v>
      </c>
      <c r="AV7" s="31"/>
    </row>
    <row r="8" spans="1:48" s="26" customFormat="1" ht="68.150000000000006" customHeight="1" x14ac:dyDescent="0.3">
      <c r="A8" s="31"/>
      <c r="B8" s="93" t="s">
        <v>120</v>
      </c>
      <c r="C8" s="236" t="s">
        <v>132</v>
      </c>
      <c r="D8" s="207" t="s">
        <v>148</v>
      </c>
      <c r="E8" s="238" t="s">
        <v>123</v>
      </c>
      <c r="F8" s="209"/>
      <c r="G8" s="94">
        <v>9.02</v>
      </c>
      <c r="H8" s="27"/>
      <c r="I8" s="94">
        <v>9.02</v>
      </c>
      <c r="J8" s="94">
        <v>9.02</v>
      </c>
      <c r="K8" s="95">
        <v>9.26</v>
      </c>
      <c r="L8" s="95">
        <v>9.4986124349857892</v>
      </c>
      <c r="M8" s="95">
        <v>10.64014630951915</v>
      </c>
      <c r="N8" s="95">
        <v>10.64014630951915</v>
      </c>
      <c r="O8" s="95">
        <v>10.26</v>
      </c>
      <c r="P8" s="146">
        <v>9.06</v>
      </c>
      <c r="Q8" s="146">
        <v>10.17</v>
      </c>
      <c r="R8" s="146">
        <v>10.55</v>
      </c>
      <c r="S8" s="146">
        <v>10.55</v>
      </c>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31"/>
    </row>
    <row r="9" spans="1:48" s="26" customFormat="1" ht="68.150000000000006" customHeight="1" x14ac:dyDescent="0.3">
      <c r="A9" s="31"/>
      <c r="B9" s="93" t="s">
        <v>130</v>
      </c>
      <c r="C9" s="237"/>
      <c r="D9" s="240"/>
      <c r="E9" s="239"/>
      <c r="F9" s="210"/>
      <c r="G9" s="94">
        <v>10.7</v>
      </c>
      <c r="H9" s="27"/>
      <c r="I9" s="94">
        <v>10.7</v>
      </c>
      <c r="J9" s="94">
        <v>10.7</v>
      </c>
      <c r="K9" s="95">
        <v>11.24</v>
      </c>
      <c r="L9" s="95">
        <v>11.773847615869055</v>
      </c>
      <c r="M9" s="95">
        <v>6.4812260764723026</v>
      </c>
      <c r="N9" s="95">
        <v>6.4812260764723026</v>
      </c>
      <c r="O9" s="95">
        <v>3.33</v>
      </c>
      <c r="P9" s="95">
        <v>-1.04</v>
      </c>
      <c r="Q9" s="146">
        <v>-0.8</v>
      </c>
      <c r="R9" s="146">
        <v>-0.88</v>
      </c>
      <c r="S9" s="146">
        <v>-0.88</v>
      </c>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31"/>
    </row>
    <row r="10" spans="1:48" s="26" customFormat="1" ht="68.150000000000006" customHeight="1" x14ac:dyDescent="0.3">
      <c r="A10" s="31"/>
      <c r="B10" s="93" t="s">
        <v>120</v>
      </c>
      <c r="C10" s="236" t="s">
        <v>134</v>
      </c>
      <c r="D10" s="240"/>
      <c r="E10" s="238" t="s">
        <v>123</v>
      </c>
      <c r="F10" s="209"/>
      <c r="G10" s="94"/>
      <c r="H10" s="27"/>
      <c r="I10" s="94"/>
      <c r="J10" s="94"/>
      <c r="K10" s="95"/>
      <c r="L10" s="95"/>
      <c r="M10" s="95">
        <v>0</v>
      </c>
      <c r="N10" s="95">
        <v>0</v>
      </c>
      <c r="O10" s="95">
        <v>-2.6105662978165212</v>
      </c>
      <c r="P10" s="95">
        <v>-1.26</v>
      </c>
      <c r="Q10" s="146">
        <v>-5.26</v>
      </c>
      <c r="R10" s="146">
        <v>-6.25</v>
      </c>
      <c r="S10" s="146">
        <v>-6.25</v>
      </c>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31"/>
    </row>
    <row r="11" spans="1:48" s="26" customFormat="1" ht="68.150000000000006" customHeight="1" x14ac:dyDescent="0.3">
      <c r="A11" s="31"/>
      <c r="B11" s="93" t="s">
        <v>130</v>
      </c>
      <c r="C11" s="237"/>
      <c r="D11" s="208"/>
      <c r="E11" s="239"/>
      <c r="F11" s="210"/>
      <c r="G11" s="94"/>
      <c r="H11" s="27"/>
      <c r="I11" s="94"/>
      <c r="J11" s="94"/>
      <c r="K11" s="95"/>
      <c r="L11" s="95"/>
      <c r="M11" s="95">
        <v>0</v>
      </c>
      <c r="N11" s="95">
        <v>0</v>
      </c>
      <c r="O11" s="95">
        <v>-15.859334646899347</v>
      </c>
      <c r="P11" s="95">
        <v>-17.54</v>
      </c>
      <c r="Q11" s="146">
        <v>-23.43</v>
      </c>
      <c r="R11" s="146">
        <v>-26.33</v>
      </c>
      <c r="S11" s="146">
        <v>-26.33</v>
      </c>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31"/>
    </row>
    <row r="12" spans="1:48" x14ac:dyDescent="0.35">
      <c r="Q12" s="143"/>
    </row>
    <row r="13" spans="1:48" x14ac:dyDescent="0.35"/>
  </sheetData>
  <mergeCells count="12">
    <mergeCell ref="C10:C11"/>
    <mergeCell ref="E10:E11"/>
    <mergeCell ref="F10:F11"/>
    <mergeCell ref="D8:D11"/>
    <mergeCell ref="B3:J3"/>
    <mergeCell ref="E8:E9"/>
    <mergeCell ref="F8:F9"/>
    <mergeCell ref="C8:C9"/>
    <mergeCell ref="B6:B7"/>
    <mergeCell ref="C6:C7"/>
    <mergeCell ref="D6:D7"/>
    <mergeCell ref="E6:E7"/>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pageSetUpPr autoPageBreaks="0"/>
  </sheetPr>
  <dimension ref="A1:AX57"/>
  <sheetViews>
    <sheetView zoomScale="60" zoomScaleNormal="60" workbookViewId="0">
      <selection activeCell="AW36" sqref="AW36"/>
    </sheetView>
  </sheetViews>
  <sheetFormatPr defaultColWidth="0" defaultRowHeight="13.5" zeroHeight="1" x14ac:dyDescent="0.25"/>
  <cols>
    <col min="1" max="1" width="9" style="24" customWidth="1"/>
    <col min="2" max="2" width="56" style="24" customWidth="1"/>
    <col min="3" max="3" width="30.90625" style="24" bestFit="1" customWidth="1"/>
    <col min="4" max="4" width="11.54296875" style="24" bestFit="1" customWidth="1"/>
    <col min="5" max="5" width="29.54296875" style="24" bestFit="1" customWidth="1"/>
    <col min="6" max="7" width="19.54296875" style="24" customWidth="1"/>
    <col min="8" max="8" width="23" style="24" customWidth="1"/>
    <col min="9" max="9" width="19.54296875" style="24" customWidth="1"/>
    <col min="10" max="10" width="1.08984375" style="24" customWidth="1"/>
    <col min="11" max="49" width="19" style="24" customWidth="1"/>
    <col min="50" max="50" width="9" style="24" customWidth="1"/>
    <col min="51" max="16384" width="9" style="24" hidden="1"/>
  </cols>
  <sheetData>
    <row r="1" spans="1:50" s="22" customFormat="1" ht="12.75" customHeight="1" x14ac:dyDescent="0.25"/>
    <row r="2" spans="1:50" s="22" customFormat="1" ht="18.75" customHeight="1" x14ac:dyDescent="0.35">
      <c r="B2" s="5" t="s">
        <v>149</v>
      </c>
      <c r="C2" s="5"/>
      <c r="D2" s="5"/>
      <c r="E2" s="5"/>
      <c r="F2" s="5"/>
      <c r="G2" s="5"/>
      <c r="H2" s="5"/>
      <c r="I2" s="5"/>
      <c r="J2" s="5"/>
    </row>
    <row r="3" spans="1:50" s="22" customFormat="1" ht="14.25" customHeight="1" x14ac:dyDescent="0.3">
      <c r="B3" s="211" t="s">
        <v>150</v>
      </c>
      <c r="C3" s="211"/>
      <c r="D3" s="211"/>
      <c r="E3" s="211"/>
      <c r="F3" s="211"/>
      <c r="G3" s="211"/>
      <c r="H3" s="211"/>
      <c r="I3" s="211"/>
      <c r="J3" s="211"/>
      <c r="K3" s="211"/>
      <c r="L3" s="211"/>
      <c r="M3" s="23"/>
      <c r="N3" s="23"/>
      <c r="O3" s="23"/>
      <c r="P3" s="23"/>
      <c r="Z3" s="23"/>
    </row>
    <row r="4" spans="1:50" s="22" customFormat="1" ht="12.75" customHeight="1" x14ac:dyDescent="0.25"/>
    <row r="5" spans="1:50" s="169" customFormat="1" ht="15" customHeight="1" x14ac:dyDescent="0.25"/>
    <row r="6" spans="1:50" s="26" customFormat="1" ht="12" customHeight="1" x14ac:dyDescent="0.3">
      <c r="A6" s="31"/>
      <c r="B6" s="243" t="s">
        <v>29</v>
      </c>
      <c r="C6" s="243" t="s">
        <v>151</v>
      </c>
      <c r="D6" s="243" t="s">
        <v>74</v>
      </c>
      <c r="E6" s="247"/>
      <c r="F6" s="212" t="s">
        <v>75</v>
      </c>
      <c r="G6" s="213"/>
      <c r="H6" s="213"/>
      <c r="I6" s="214"/>
      <c r="J6" s="180"/>
      <c r="K6" s="251" t="s">
        <v>76</v>
      </c>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3"/>
      <c r="AX6" s="31"/>
    </row>
    <row r="7" spans="1:50" s="26" customFormat="1" ht="29.25" customHeight="1" x14ac:dyDescent="0.3">
      <c r="A7" s="31"/>
      <c r="B7" s="246"/>
      <c r="C7" s="246"/>
      <c r="D7" s="246"/>
      <c r="E7" s="247"/>
      <c r="F7" s="258" t="s">
        <v>152</v>
      </c>
      <c r="G7" s="259"/>
      <c r="H7" s="259"/>
      <c r="I7" s="260"/>
      <c r="J7" s="181"/>
      <c r="K7" s="254" t="s">
        <v>78</v>
      </c>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6"/>
      <c r="AX7" s="31"/>
    </row>
    <row r="8" spans="1:50" s="26" customFormat="1" ht="27" x14ac:dyDescent="0.3">
      <c r="A8" s="31"/>
      <c r="B8" s="246"/>
      <c r="C8" s="246"/>
      <c r="D8" s="246"/>
      <c r="E8" s="96" t="s">
        <v>153</v>
      </c>
      <c r="F8" s="76" t="s">
        <v>80</v>
      </c>
      <c r="G8" s="76" t="s">
        <v>81</v>
      </c>
      <c r="H8" s="76" t="s">
        <v>82</v>
      </c>
      <c r="I8" s="76" t="s">
        <v>83</v>
      </c>
      <c r="J8" s="181"/>
      <c r="K8" s="76" t="s">
        <v>84</v>
      </c>
      <c r="L8" s="76" t="s">
        <v>85</v>
      </c>
      <c r="M8" s="76" t="s">
        <v>86</v>
      </c>
      <c r="N8" s="76" t="s">
        <v>87</v>
      </c>
      <c r="O8" s="76" t="s">
        <v>88</v>
      </c>
      <c r="P8" s="76" t="s">
        <v>89</v>
      </c>
      <c r="Q8" s="76" t="s">
        <v>90</v>
      </c>
      <c r="R8" s="76" t="s">
        <v>91</v>
      </c>
      <c r="S8" s="76" t="s">
        <v>92</v>
      </c>
      <c r="T8" s="76" t="s">
        <v>93</v>
      </c>
      <c r="U8" s="76" t="s">
        <v>94</v>
      </c>
      <c r="V8" s="76" t="s">
        <v>597</v>
      </c>
      <c r="W8" s="76" t="s">
        <v>598</v>
      </c>
      <c r="X8" s="76" t="s">
        <v>599</v>
      </c>
      <c r="Y8" s="76" t="s">
        <v>600</v>
      </c>
      <c r="Z8" s="76" t="s">
        <v>632</v>
      </c>
      <c r="AA8" s="76" t="s">
        <v>602</v>
      </c>
      <c r="AB8" s="76" t="s">
        <v>603</v>
      </c>
      <c r="AC8" s="76" t="s">
        <v>604</v>
      </c>
      <c r="AD8" s="76" t="s">
        <v>605</v>
      </c>
      <c r="AE8" s="76" t="s">
        <v>606</v>
      </c>
      <c r="AF8" s="76" t="s">
        <v>607</v>
      </c>
      <c r="AG8" s="76" t="s">
        <v>608</v>
      </c>
      <c r="AH8" s="76" t="s">
        <v>609</v>
      </c>
      <c r="AI8" s="76" t="s">
        <v>611</v>
      </c>
      <c r="AJ8" s="76" t="s">
        <v>612</v>
      </c>
      <c r="AK8" s="76" t="s">
        <v>613</v>
      </c>
      <c r="AL8" s="76" t="s">
        <v>614</v>
      </c>
      <c r="AM8" s="76" t="s">
        <v>610</v>
      </c>
      <c r="AN8" s="76" t="s">
        <v>615</v>
      </c>
      <c r="AO8" s="76" t="s">
        <v>616</v>
      </c>
      <c r="AP8" s="76" t="s">
        <v>617</v>
      </c>
      <c r="AQ8" s="76" t="s">
        <v>618</v>
      </c>
      <c r="AR8" s="76" t="s">
        <v>619</v>
      </c>
      <c r="AS8" s="76" t="s">
        <v>620</v>
      </c>
      <c r="AT8" s="76" t="s">
        <v>621</v>
      </c>
      <c r="AU8" s="76" t="s">
        <v>622</v>
      </c>
      <c r="AV8" s="76" t="s">
        <v>623</v>
      </c>
      <c r="AW8" s="76" t="s">
        <v>624</v>
      </c>
      <c r="AX8" s="31"/>
    </row>
    <row r="9" spans="1:50" s="26" customFormat="1" x14ac:dyDescent="0.3">
      <c r="A9" s="31"/>
      <c r="B9" s="246"/>
      <c r="C9" s="246"/>
      <c r="D9" s="246"/>
      <c r="E9" s="97" t="s">
        <v>95</v>
      </c>
      <c r="F9" s="78" t="s">
        <v>96</v>
      </c>
      <c r="G9" s="78" t="s">
        <v>97</v>
      </c>
      <c r="H9" s="78" t="s">
        <v>98</v>
      </c>
      <c r="I9" s="79" t="s">
        <v>99</v>
      </c>
      <c r="J9" s="181"/>
      <c r="K9" s="80" t="s">
        <v>100</v>
      </c>
      <c r="L9" s="78" t="s">
        <v>101</v>
      </c>
      <c r="M9" s="78" t="s">
        <v>102</v>
      </c>
      <c r="N9" s="78" t="s">
        <v>103</v>
      </c>
      <c r="O9" s="78" t="s">
        <v>104</v>
      </c>
      <c r="P9" s="78" t="s">
        <v>105</v>
      </c>
      <c r="Q9" s="78" t="s">
        <v>106</v>
      </c>
      <c r="R9" s="78">
        <v>44593</v>
      </c>
      <c r="S9" s="78" t="s">
        <v>108</v>
      </c>
      <c r="T9" s="78" t="s">
        <v>109</v>
      </c>
      <c r="U9" s="78" t="s">
        <v>110</v>
      </c>
      <c r="V9" s="78" t="s">
        <v>110</v>
      </c>
      <c r="W9" s="78" t="s">
        <v>625</v>
      </c>
      <c r="X9" s="78" t="s">
        <v>625</v>
      </c>
      <c r="Y9" s="78" t="s">
        <v>590</v>
      </c>
      <c r="Z9" s="78" t="s">
        <v>590</v>
      </c>
      <c r="AA9" s="78" t="s">
        <v>626</v>
      </c>
      <c r="AB9" s="78" t="s">
        <v>626</v>
      </c>
      <c r="AC9" s="78" t="s">
        <v>591</v>
      </c>
      <c r="AD9" s="78" t="s">
        <v>591</v>
      </c>
      <c r="AE9" s="78" t="s">
        <v>627</v>
      </c>
      <c r="AF9" s="78" t="s">
        <v>627</v>
      </c>
      <c r="AG9" s="78" t="s">
        <v>592</v>
      </c>
      <c r="AH9" s="78" t="s">
        <v>592</v>
      </c>
      <c r="AI9" s="78" t="s">
        <v>628</v>
      </c>
      <c r="AJ9" s="78" t="s">
        <v>628</v>
      </c>
      <c r="AK9" s="78" t="s">
        <v>593</v>
      </c>
      <c r="AL9" s="78" t="s">
        <v>593</v>
      </c>
      <c r="AM9" s="78" t="s">
        <v>629</v>
      </c>
      <c r="AN9" s="78" t="s">
        <v>629</v>
      </c>
      <c r="AO9" s="78" t="s">
        <v>594</v>
      </c>
      <c r="AP9" s="78" t="s">
        <v>594</v>
      </c>
      <c r="AQ9" s="78" t="s">
        <v>630</v>
      </c>
      <c r="AR9" s="78" t="s">
        <v>630</v>
      </c>
      <c r="AS9" s="78" t="s">
        <v>595</v>
      </c>
      <c r="AT9" s="78" t="s">
        <v>595</v>
      </c>
      <c r="AU9" s="78" t="s">
        <v>631</v>
      </c>
      <c r="AV9" s="78" t="s">
        <v>631</v>
      </c>
      <c r="AW9" s="78" t="s">
        <v>596</v>
      </c>
      <c r="AX9" s="31"/>
    </row>
    <row r="10" spans="1:50" s="26" customFormat="1" x14ac:dyDescent="0.3">
      <c r="A10" s="31"/>
      <c r="B10" s="244"/>
      <c r="C10" s="244"/>
      <c r="D10" s="244"/>
      <c r="E10" s="98" t="s">
        <v>111</v>
      </c>
      <c r="F10" s="81" t="s">
        <v>112</v>
      </c>
      <c r="G10" s="78" t="s">
        <v>112</v>
      </c>
      <c r="H10" s="78" t="s">
        <v>113</v>
      </c>
      <c r="I10" s="78" t="s">
        <v>113</v>
      </c>
      <c r="J10" s="181"/>
      <c r="K10" s="78" t="s">
        <v>114</v>
      </c>
      <c r="L10" s="78" t="s">
        <v>115</v>
      </c>
      <c r="M10" s="78" t="s">
        <v>115</v>
      </c>
      <c r="N10" s="78" t="s">
        <v>116</v>
      </c>
      <c r="O10" s="78" t="s">
        <v>116</v>
      </c>
      <c r="P10" s="78" t="s">
        <v>117</v>
      </c>
      <c r="Q10" s="78" t="s">
        <v>117</v>
      </c>
      <c r="R10" s="78" t="s">
        <v>118</v>
      </c>
      <c r="S10" s="78" t="s">
        <v>118</v>
      </c>
      <c r="T10" s="78" t="s">
        <v>119</v>
      </c>
      <c r="U10" s="78" t="s">
        <v>119</v>
      </c>
      <c r="V10" s="78" t="s">
        <v>119</v>
      </c>
      <c r="W10" s="78" t="s">
        <v>647</v>
      </c>
      <c r="X10" s="78" t="s">
        <v>647</v>
      </c>
      <c r="Y10" s="78" t="s">
        <v>647</v>
      </c>
      <c r="Z10" s="78" t="s">
        <v>647</v>
      </c>
      <c r="AA10" s="78" t="s">
        <v>648</v>
      </c>
      <c r="AB10" s="78" t="s">
        <v>648</v>
      </c>
      <c r="AC10" s="78" t="s">
        <v>648</v>
      </c>
      <c r="AD10" s="78" t="s">
        <v>648</v>
      </c>
      <c r="AE10" s="78" t="s">
        <v>649</v>
      </c>
      <c r="AF10" s="78" t="s">
        <v>649</v>
      </c>
      <c r="AG10" s="78" t="s">
        <v>649</v>
      </c>
      <c r="AH10" s="78" t="s">
        <v>649</v>
      </c>
      <c r="AI10" s="78" t="s">
        <v>650</v>
      </c>
      <c r="AJ10" s="78" t="s">
        <v>650</v>
      </c>
      <c r="AK10" s="78" t="s">
        <v>650</v>
      </c>
      <c r="AL10" s="78" t="s">
        <v>650</v>
      </c>
      <c r="AM10" s="78" t="s">
        <v>651</v>
      </c>
      <c r="AN10" s="78" t="s">
        <v>651</v>
      </c>
      <c r="AO10" s="78" t="s">
        <v>651</v>
      </c>
      <c r="AP10" s="78" t="s">
        <v>651</v>
      </c>
      <c r="AQ10" s="78" t="s">
        <v>652</v>
      </c>
      <c r="AR10" s="78" t="s">
        <v>652</v>
      </c>
      <c r="AS10" s="78" t="s">
        <v>652</v>
      </c>
      <c r="AT10" s="78" t="s">
        <v>652</v>
      </c>
      <c r="AU10" s="78" t="s">
        <v>653</v>
      </c>
      <c r="AV10" s="78" t="s">
        <v>653</v>
      </c>
      <c r="AW10" s="78" t="s">
        <v>653</v>
      </c>
      <c r="AX10" s="31"/>
    </row>
    <row r="11" spans="1:50" s="26" customFormat="1" x14ac:dyDescent="0.3">
      <c r="A11" s="31"/>
      <c r="B11" s="248" t="s">
        <v>154</v>
      </c>
      <c r="C11" s="249"/>
      <c r="D11" s="249"/>
      <c r="E11" s="249"/>
      <c r="F11" s="249"/>
      <c r="G11" s="249"/>
      <c r="H11" s="249"/>
      <c r="I11" s="249"/>
      <c r="J11" s="249"/>
      <c r="K11" s="249"/>
      <c r="L11" s="249"/>
      <c r="M11" s="249"/>
      <c r="N11" s="249"/>
      <c r="O11" s="249"/>
      <c r="P11" s="249"/>
      <c r="Q11" s="249"/>
      <c r="R11" s="249"/>
      <c r="S11" s="249"/>
      <c r="T11" s="249"/>
      <c r="U11" s="250"/>
      <c r="V11" s="249"/>
      <c r="W11" s="249"/>
      <c r="X11" s="249"/>
      <c r="Y11" s="249"/>
      <c r="Z11" s="249"/>
      <c r="AA11" s="249"/>
      <c r="AB11" s="249"/>
      <c r="AC11" s="249"/>
      <c r="AD11" s="249"/>
      <c r="AE11" s="249"/>
      <c r="AF11" s="249"/>
      <c r="AG11" s="249"/>
      <c r="AH11" s="249"/>
      <c r="AI11" s="249"/>
      <c r="AJ11" s="249"/>
      <c r="AK11" s="249"/>
      <c r="AL11" s="249"/>
      <c r="AM11" s="249"/>
      <c r="AN11" s="249"/>
      <c r="AO11" s="250"/>
      <c r="AP11" s="249"/>
      <c r="AQ11" s="249"/>
      <c r="AR11" s="249"/>
      <c r="AS11" s="249"/>
      <c r="AT11" s="249"/>
      <c r="AU11" s="249"/>
      <c r="AV11" s="249"/>
      <c r="AW11" s="250"/>
      <c r="AX11" s="31"/>
    </row>
    <row r="12" spans="1:50" s="26" customFormat="1" x14ac:dyDescent="0.3">
      <c r="A12" s="31"/>
      <c r="B12" s="56" t="s">
        <v>155</v>
      </c>
      <c r="C12" s="56" t="s">
        <v>156</v>
      </c>
      <c r="D12" s="56" t="s">
        <v>157</v>
      </c>
      <c r="E12" s="174"/>
      <c r="F12" s="100">
        <v>39190950</v>
      </c>
      <c r="G12" s="100">
        <v>39190950</v>
      </c>
      <c r="H12" s="100">
        <v>39951368</v>
      </c>
      <c r="I12" s="100">
        <v>39951368</v>
      </c>
      <c r="J12" s="181"/>
      <c r="K12" s="100">
        <v>39951368</v>
      </c>
      <c r="L12" s="100">
        <v>37970642</v>
      </c>
      <c r="M12" s="100">
        <v>37970642</v>
      </c>
      <c r="N12" s="100">
        <v>27204000</v>
      </c>
      <c r="O12" s="100">
        <v>27204000</v>
      </c>
      <c r="P12" s="100">
        <v>24115560</v>
      </c>
      <c r="Q12" s="100">
        <v>24115560</v>
      </c>
      <c r="R12" s="100">
        <v>24836780</v>
      </c>
      <c r="S12" s="100">
        <v>26076780</v>
      </c>
      <c r="T12" s="100">
        <v>26077364</v>
      </c>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31"/>
    </row>
    <row r="13" spans="1:50" s="26" customFormat="1" x14ac:dyDescent="0.3">
      <c r="A13" s="31"/>
      <c r="B13" s="56" t="s">
        <v>158</v>
      </c>
      <c r="C13" s="56" t="s">
        <v>156</v>
      </c>
      <c r="D13" s="56" t="s">
        <v>157</v>
      </c>
      <c r="E13" s="174"/>
      <c r="F13" s="100">
        <v>1221160</v>
      </c>
      <c r="G13" s="100">
        <v>1221160</v>
      </c>
      <c r="H13" s="100">
        <v>1176500</v>
      </c>
      <c r="I13" s="100">
        <v>1176500</v>
      </c>
      <c r="J13" s="181"/>
      <c r="K13" s="100">
        <v>1176500</v>
      </c>
      <c r="L13" s="100">
        <v>836246</v>
      </c>
      <c r="M13" s="100">
        <v>836246</v>
      </c>
      <c r="N13" s="100">
        <v>1549000</v>
      </c>
      <c r="O13" s="100">
        <v>1549000</v>
      </c>
      <c r="P13" s="100">
        <v>5325284</v>
      </c>
      <c r="Q13" s="100">
        <v>5325284</v>
      </c>
      <c r="R13" s="100">
        <f>2357070+1743500+180000</f>
        <v>4280570</v>
      </c>
      <c r="S13" s="100">
        <v>4702570</v>
      </c>
      <c r="T13" s="100">
        <v>4430693</v>
      </c>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31"/>
    </row>
    <row r="14" spans="1:50" s="26" customFormat="1" x14ac:dyDescent="0.3">
      <c r="A14" s="31"/>
      <c r="B14" s="56" t="s">
        <v>159</v>
      </c>
      <c r="C14" s="56" t="s">
        <v>156</v>
      </c>
      <c r="D14" s="56" t="s">
        <v>157</v>
      </c>
      <c r="E14" s="174"/>
      <c r="F14" s="100">
        <v>8054877</v>
      </c>
      <c r="G14" s="100">
        <v>8054877</v>
      </c>
      <c r="H14" s="100">
        <v>8985436</v>
      </c>
      <c r="I14" s="100">
        <v>8985436</v>
      </c>
      <c r="J14" s="181"/>
      <c r="K14" s="100">
        <v>8985436</v>
      </c>
      <c r="L14" s="100">
        <v>9626765</v>
      </c>
      <c r="M14" s="100">
        <v>9626765</v>
      </c>
      <c r="N14" s="100">
        <v>7912000</v>
      </c>
      <c r="O14" s="100">
        <v>7912000</v>
      </c>
      <c r="P14" s="100">
        <v>7198848</v>
      </c>
      <c r="Q14" s="100">
        <v>7198848</v>
      </c>
      <c r="R14" s="100">
        <v>7147064</v>
      </c>
      <c r="S14" s="100">
        <v>7486112</v>
      </c>
      <c r="T14" s="100">
        <v>7756742</v>
      </c>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31"/>
    </row>
    <row r="15" spans="1:50" s="26" customFormat="1" x14ac:dyDescent="0.3">
      <c r="A15" s="31"/>
      <c r="B15" s="56" t="s">
        <v>160</v>
      </c>
      <c r="C15" s="56" t="s">
        <v>161</v>
      </c>
      <c r="D15" s="56" t="s">
        <v>162</v>
      </c>
      <c r="E15" s="174"/>
      <c r="F15" s="100">
        <v>28094000</v>
      </c>
      <c r="G15" s="100">
        <v>28094000</v>
      </c>
      <c r="H15" s="100">
        <v>28094000</v>
      </c>
      <c r="I15" s="100">
        <v>28094000</v>
      </c>
      <c r="J15" s="181"/>
      <c r="K15" s="100">
        <v>28094000</v>
      </c>
      <c r="L15" s="100">
        <v>28254000</v>
      </c>
      <c r="M15" s="100">
        <v>28254000</v>
      </c>
      <c r="N15" s="100">
        <v>28402000</v>
      </c>
      <c r="O15" s="100">
        <v>28402000</v>
      </c>
      <c r="P15" s="100">
        <v>28712000</v>
      </c>
      <c r="Q15" s="100">
        <v>28712000</v>
      </c>
      <c r="R15" s="100">
        <v>28946000</v>
      </c>
      <c r="S15" s="100">
        <v>28946000</v>
      </c>
      <c r="T15" s="100">
        <v>29179000</v>
      </c>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31"/>
    </row>
    <row r="16" spans="1:50" s="26" customFormat="1" x14ac:dyDescent="0.3">
      <c r="A16" s="31"/>
      <c r="B16" s="56" t="s">
        <v>163</v>
      </c>
      <c r="C16" s="56" t="s">
        <v>161</v>
      </c>
      <c r="D16" s="56" t="s">
        <v>162</v>
      </c>
      <c r="E16" s="174"/>
      <c r="F16" s="100">
        <v>23714000</v>
      </c>
      <c r="G16" s="100">
        <v>23714000</v>
      </c>
      <c r="H16" s="100">
        <v>23714000</v>
      </c>
      <c r="I16" s="100">
        <v>23714000</v>
      </c>
      <c r="J16" s="181"/>
      <c r="K16" s="100">
        <v>23714000</v>
      </c>
      <c r="L16" s="100">
        <v>23915000</v>
      </c>
      <c r="M16" s="100">
        <v>23915000</v>
      </c>
      <c r="N16" s="100">
        <v>24177000</v>
      </c>
      <c r="O16" s="100">
        <v>24177000</v>
      </c>
      <c r="P16" s="100">
        <v>24096000</v>
      </c>
      <c r="Q16" s="100">
        <v>24096000</v>
      </c>
      <c r="R16" s="100">
        <v>24152000</v>
      </c>
      <c r="S16" s="100">
        <v>24152000</v>
      </c>
      <c r="T16" s="100">
        <v>24336000</v>
      </c>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31"/>
    </row>
    <row r="17" spans="1:50" s="26" customFormat="1" x14ac:dyDescent="0.3">
      <c r="A17" s="31"/>
      <c r="B17" s="56" t="s">
        <v>164</v>
      </c>
      <c r="C17" s="101" t="s">
        <v>165</v>
      </c>
      <c r="D17" s="56" t="s">
        <v>166</v>
      </c>
      <c r="E17" s="174"/>
      <c r="F17" s="102">
        <v>0.95</v>
      </c>
      <c r="G17" s="102">
        <v>0.93</v>
      </c>
      <c r="H17" s="102">
        <v>0.91</v>
      </c>
      <c r="I17" s="102">
        <v>0.91</v>
      </c>
      <c r="J17" s="181"/>
      <c r="K17" s="102">
        <v>0.91</v>
      </c>
      <c r="L17" s="102">
        <v>0.92</v>
      </c>
      <c r="M17" s="102">
        <v>0.91</v>
      </c>
      <c r="N17" s="102">
        <v>0.93</v>
      </c>
      <c r="O17" s="102">
        <v>0.93</v>
      </c>
      <c r="P17" s="102">
        <v>0.93</v>
      </c>
      <c r="Q17" s="102">
        <v>0.92</v>
      </c>
      <c r="R17" s="102">
        <v>0.97</v>
      </c>
      <c r="S17" s="102">
        <v>0.98</v>
      </c>
      <c r="T17" s="102">
        <v>0.98</v>
      </c>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31"/>
    </row>
    <row r="18" spans="1:50" s="26" customFormat="1" x14ac:dyDescent="0.3">
      <c r="A18" s="31"/>
      <c r="B18" s="56" t="s">
        <v>167</v>
      </c>
      <c r="C18" s="101" t="s">
        <v>165</v>
      </c>
      <c r="D18" s="56" t="s">
        <v>166</v>
      </c>
      <c r="E18" s="174"/>
      <c r="F18" s="102">
        <v>0.95</v>
      </c>
      <c r="G18" s="102">
        <v>0.93</v>
      </c>
      <c r="H18" s="102">
        <v>0.91</v>
      </c>
      <c r="I18" s="102">
        <v>0.91</v>
      </c>
      <c r="J18" s="181"/>
      <c r="K18" s="102">
        <v>0.91</v>
      </c>
      <c r="L18" s="102">
        <v>0.91</v>
      </c>
      <c r="M18" s="102">
        <v>0.91</v>
      </c>
      <c r="N18" s="102">
        <v>0.93</v>
      </c>
      <c r="O18" s="102">
        <v>0.93</v>
      </c>
      <c r="P18" s="102">
        <v>0.93</v>
      </c>
      <c r="Q18" s="102">
        <v>0.92</v>
      </c>
      <c r="R18" s="102">
        <v>0.97</v>
      </c>
      <c r="S18" s="102">
        <v>0.99</v>
      </c>
      <c r="T18" s="102">
        <v>0.99</v>
      </c>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31"/>
    </row>
    <row r="19" spans="1:50" s="26" customFormat="1" x14ac:dyDescent="0.3">
      <c r="A19" s="31"/>
      <c r="B19" s="248" t="s">
        <v>168</v>
      </c>
      <c r="C19" s="249"/>
      <c r="D19" s="249"/>
      <c r="E19" s="249"/>
      <c r="F19" s="249"/>
      <c r="G19" s="249"/>
      <c r="H19" s="249"/>
      <c r="I19" s="249"/>
      <c r="J19" s="249"/>
      <c r="K19" s="249"/>
      <c r="L19" s="249"/>
      <c r="M19" s="249"/>
      <c r="N19" s="249"/>
      <c r="O19" s="249"/>
      <c r="P19" s="249"/>
      <c r="Q19" s="249"/>
      <c r="R19" s="249"/>
      <c r="S19" s="249"/>
      <c r="T19" s="249"/>
      <c r="U19" s="250"/>
      <c r="V19" s="249"/>
      <c r="W19" s="249"/>
      <c r="X19" s="249"/>
      <c r="Y19" s="249"/>
      <c r="Z19" s="249"/>
      <c r="AA19" s="249"/>
      <c r="AB19" s="249"/>
      <c r="AC19" s="249"/>
      <c r="AD19" s="249"/>
      <c r="AE19" s="249"/>
      <c r="AF19" s="249"/>
      <c r="AG19" s="249"/>
      <c r="AH19" s="249"/>
      <c r="AI19" s="249"/>
      <c r="AJ19" s="249"/>
      <c r="AK19" s="249"/>
      <c r="AL19" s="249"/>
      <c r="AM19" s="249"/>
      <c r="AN19" s="249"/>
      <c r="AO19" s="250"/>
      <c r="AP19" s="249"/>
      <c r="AQ19" s="249"/>
      <c r="AR19" s="249"/>
      <c r="AS19" s="249"/>
      <c r="AT19" s="249"/>
      <c r="AU19" s="249"/>
      <c r="AV19" s="249"/>
      <c r="AW19" s="250"/>
      <c r="AX19" s="31"/>
    </row>
    <row r="20" spans="1:50" s="26" customFormat="1" x14ac:dyDescent="0.3">
      <c r="A20" s="31"/>
      <c r="B20" s="103" t="s">
        <v>169</v>
      </c>
      <c r="C20" s="235"/>
      <c r="D20" s="56" t="s">
        <v>162</v>
      </c>
      <c r="E20" s="99"/>
      <c r="F20" s="104">
        <f>F15*F17</f>
        <v>26689300</v>
      </c>
      <c r="G20" s="104">
        <f>G15*G17</f>
        <v>26127420</v>
      </c>
      <c r="H20" s="104">
        <f t="shared" ref="H20:I20" si="0">H15*H17</f>
        <v>25565540</v>
      </c>
      <c r="I20" s="104">
        <f t="shared" si="0"/>
        <v>25565540</v>
      </c>
      <c r="J20" s="181"/>
      <c r="K20" s="104">
        <f>K15*K17</f>
        <v>25565540</v>
      </c>
      <c r="L20" s="104">
        <f>L15*L17</f>
        <v>25993680</v>
      </c>
      <c r="M20" s="104">
        <f t="shared" ref="M20:U20" si="1">M15*M17</f>
        <v>25711140</v>
      </c>
      <c r="N20" s="104">
        <f>N15*N17</f>
        <v>26413860</v>
      </c>
      <c r="O20" s="104">
        <f t="shared" si="1"/>
        <v>26413860</v>
      </c>
      <c r="P20" s="104">
        <f t="shared" si="1"/>
        <v>26702160</v>
      </c>
      <c r="Q20" s="104">
        <f t="shared" si="1"/>
        <v>26415040</v>
      </c>
      <c r="R20" s="104">
        <f t="shared" si="1"/>
        <v>28077620</v>
      </c>
      <c r="S20" s="104">
        <f t="shared" si="1"/>
        <v>28367080</v>
      </c>
      <c r="T20" s="104">
        <f t="shared" si="1"/>
        <v>28595420</v>
      </c>
      <c r="U20" s="104">
        <f t="shared" si="1"/>
        <v>0</v>
      </c>
      <c r="V20" s="104">
        <f t="shared" ref="V20:AW20" si="2">V15*V17</f>
        <v>0</v>
      </c>
      <c r="W20" s="104">
        <f t="shared" si="2"/>
        <v>0</v>
      </c>
      <c r="X20" s="104">
        <f t="shared" si="2"/>
        <v>0</v>
      </c>
      <c r="Y20" s="104">
        <f t="shared" si="2"/>
        <v>0</v>
      </c>
      <c r="Z20" s="104">
        <f t="shared" si="2"/>
        <v>0</v>
      </c>
      <c r="AA20" s="104">
        <f t="shared" si="2"/>
        <v>0</v>
      </c>
      <c r="AB20" s="104">
        <f t="shared" si="2"/>
        <v>0</v>
      </c>
      <c r="AC20" s="104">
        <f t="shared" si="2"/>
        <v>0</v>
      </c>
      <c r="AD20" s="104">
        <f t="shared" si="2"/>
        <v>0</v>
      </c>
      <c r="AE20" s="104">
        <f t="shared" si="2"/>
        <v>0</v>
      </c>
      <c r="AF20" s="104">
        <f t="shared" si="2"/>
        <v>0</v>
      </c>
      <c r="AG20" s="104">
        <f t="shared" si="2"/>
        <v>0</v>
      </c>
      <c r="AH20" s="104">
        <f t="shared" si="2"/>
        <v>0</v>
      </c>
      <c r="AI20" s="104">
        <f t="shared" si="2"/>
        <v>0</v>
      </c>
      <c r="AJ20" s="104">
        <f t="shared" si="2"/>
        <v>0</v>
      </c>
      <c r="AK20" s="104">
        <f t="shared" si="2"/>
        <v>0</v>
      </c>
      <c r="AL20" s="104">
        <f t="shared" si="2"/>
        <v>0</v>
      </c>
      <c r="AM20" s="104">
        <f t="shared" si="2"/>
        <v>0</v>
      </c>
      <c r="AN20" s="104">
        <f t="shared" si="2"/>
        <v>0</v>
      </c>
      <c r="AO20" s="104">
        <f t="shared" si="2"/>
        <v>0</v>
      </c>
      <c r="AP20" s="104">
        <f t="shared" si="2"/>
        <v>0</v>
      </c>
      <c r="AQ20" s="104">
        <f t="shared" si="2"/>
        <v>0</v>
      </c>
      <c r="AR20" s="104">
        <f t="shared" si="2"/>
        <v>0</v>
      </c>
      <c r="AS20" s="104">
        <f t="shared" si="2"/>
        <v>0</v>
      </c>
      <c r="AT20" s="104">
        <f t="shared" si="2"/>
        <v>0</v>
      </c>
      <c r="AU20" s="104">
        <f t="shared" si="2"/>
        <v>0</v>
      </c>
      <c r="AV20" s="104">
        <f t="shared" si="2"/>
        <v>0</v>
      </c>
      <c r="AW20" s="104">
        <f t="shared" si="2"/>
        <v>0</v>
      </c>
      <c r="AX20" s="31"/>
    </row>
    <row r="21" spans="1:50" s="26" customFormat="1" x14ac:dyDescent="0.3">
      <c r="A21" s="31"/>
      <c r="B21" s="103" t="s">
        <v>170</v>
      </c>
      <c r="C21" s="235"/>
      <c r="D21" s="56" t="s">
        <v>162</v>
      </c>
      <c r="E21" s="99"/>
      <c r="F21" s="104">
        <f>F16*F18</f>
        <v>22528300</v>
      </c>
      <c r="G21" s="104">
        <f>G16*G18</f>
        <v>22054020</v>
      </c>
      <c r="H21" s="104">
        <f t="shared" ref="H21:I21" si="3">H16*H18</f>
        <v>21579740</v>
      </c>
      <c r="I21" s="104">
        <f t="shared" si="3"/>
        <v>21579740</v>
      </c>
      <c r="J21" s="181"/>
      <c r="K21" s="104">
        <f>K16*K18</f>
        <v>21579740</v>
      </c>
      <c r="L21" s="104">
        <f t="shared" ref="L21:U21" si="4">L16*L18</f>
        <v>21762650</v>
      </c>
      <c r="M21" s="104">
        <f t="shared" si="4"/>
        <v>21762650</v>
      </c>
      <c r="N21" s="104">
        <f>N16*N18</f>
        <v>22484610</v>
      </c>
      <c r="O21" s="104">
        <f t="shared" si="4"/>
        <v>22484610</v>
      </c>
      <c r="P21" s="104">
        <f t="shared" si="4"/>
        <v>22409280</v>
      </c>
      <c r="Q21" s="104">
        <f t="shared" si="4"/>
        <v>22168320</v>
      </c>
      <c r="R21" s="104">
        <f t="shared" si="4"/>
        <v>23427440</v>
      </c>
      <c r="S21" s="104">
        <f t="shared" si="4"/>
        <v>23910480</v>
      </c>
      <c r="T21" s="104">
        <f t="shared" si="4"/>
        <v>24092640</v>
      </c>
      <c r="U21" s="104">
        <f t="shared" si="4"/>
        <v>0</v>
      </c>
      <c r="V21" s="104">
        <f t="shared" ref="V21:AW21" si="5">V16*V18</f>
        <v>0</v>
      </c>
      <c r="W21" s="104">
        <f t="shared" si="5"/>
        <v>0</v>
      </c>
      <c r="X21" s="104">
        <f t="shared" si="5"/>
        <v>0</v>
      </c>
      <c r="Y21" s="104">
        <f t="shared" si="5"/>
        <v>0</v>
      </c>
      <c r="Z21" s="104">
        <f t="shared" si="5"/>
        <v>0</v>
      </c>
      <c r="AA21" s="104">
        <f t="shared" si="5"/>
        <v>0</v>
      </c>
      <c r="AB21" s="104">
        <f t="shared" si="5"/>
        <v>0</v>
      </c>
      <c r="AC21" s="104">
        <f t="shared" si="5"/>
        <v>0</v>
      </c>
      <c r="AD21" s="104">
        <f t="shared" si="5"/>
        <v>0</v>
      </c>
      <c r="AE21" s="104">
        <f t="shared" si="5"/>
        <v>0</v>
      </c>
      <c r="AF21" s="104">
        <f t="shared" si="5"/>
        <v>0</v>
      </c>
      <c r="AG21" s="104">
        <f t="shared" si="5"/>
        <v>0</v>
      </c>
      <c r="AH21" s="104">
        <f t="shared" si="5"/>
        <v>0</v>
      </c>
      <c r="AI21" s="104">
        <f t="shared" si="5"/>
        <v>0</v>
      </c>
      <c r="AJ21" s="104">
        <f t="shared" si="5"/>
        <v>0</v>
      </c>
      <c r="AK21" s="104">
        <f t="shared" si="5"/>
        <v>0</v>
      </c>
      <c r="AL21" s="104">
        <f t="shared" si="5"/>
        <v>0</v>
      </c>
      <c r="AM21" s="104">
        <f t="shared" si="5"/>
        <v>0</v>
      </c>
      <c r="AN21" s="104">
        <f t="shared" si="5"/>
        <v>0</v>
      </c>
      <c r="AO21" s="104">
        <f t="shared" si="5"/>
        <v>0</v>
      </c>
      <c r="AP21" s="104">
        <f t="shared" si="5"/>
        <v>0</v>
      </c>
      <c r="AQ21" s="104">
        <f t="shared" si="5"/>
        <v>0</v>
      </c>
      <c r="AR21" s="104">
        <f t="shared" si="5"/>
        <v>0</v>
      </c>
      <c r="AS21" s="104">
        <f t="shared" si="5"/>
        <v>0</v>
      </c>
      <c r="AT21" s="104">
        <f t="shared" si="5"/>
        <v>0</v>
      </c>
      <c r="AU21" s="104">
        <f t="shared" si="5"/>
        <v>0</v>
      </c>
      <c r="AV21" s="104">
        <f t="shared" si="5"/>
        <v>0</v>
      </c>
      <c r="AW21" s="104">
        <f t="shared" si="5"/>
        <v>0</v>
      </c>
      <c r="AX21" s="31"/>
    </row>
    <row r="22" spans="1:50" s="26" customFormat="1" x14ac:dyDescent="0.3">
      <c r="A22" s="31"/>
      <c r="B22" s="56" t="s">
        <v>171</v>
      </c>
      <c r="C22" s="235"/>
      <c r="D22" s="56" t="s">
        <v>157</v>
      </c>
      <c r="E22" s="257"/>
      <c r="F22" s="105">
        <f>F12+F13</f>
        <v>40412110</v>
      </c>
      <c r="G22" s="105">
        <f>G12+G13</f>
        <v>40412110</v>
      </c>
      <c r="H22" s="105">
        <f>H12+H13</f>
        <v>41127868</v>
      </c>
      <c r="I22" s="105">
        <f>I12+I13</f>
        <v>41127868</v>
      </c>
      <c r="J22" s="181"/>
      <c r="K22" s="105">
        <f t="shared" ref="K22:U22" si="6">K12+K13</f>
        <v>41127868</v>
      </c>
      <c r="L22" s="105">
        <f t="shared" si="6"/>
        <v>38806888</v>
      </c>
      <c r="M22" s="105">
        <f t="shared" si="6"/>
        <v>38806888</v>
      </c>
      <c r="N22" s="105">
        <f>N12+N13</f>
        <v>28753000</v>
      </c>
      <c r="O22" s="105">
        <f t="shared" si="6"/>
        <v>28753000</v>
      </c>
      <c r="P22" s="105">
        <f t="shared" si="6"/>
        <v>29440844</v>
      </c>
      <c r="Q22" s="105">
        <f>Q12+Q13</f>
        <v>29440844</v>
      </c>
      <c r="R22" s="105">
        <f>R12+R13</f>
        <v>29117350</v>
      </c>
      <c r="S22" s="105">
        <f t="shared" si="6"/>
        <v>30779350</v>
      </c>
      <c r="T22" s="105">
        <f t="shared" si="6"/>
        <v>30508057</v>
      </c>
      <c r="U22" s="105">
        <f t="shared" si="6"/>
        <v>0</v>
      </c>
      <c r="V22" s="105">
        <f t="shared" ref="V22:AW22" si="7">V12+V13</f>
        <v>0</v>
      </c>
      <c r="W22" s="105">
        <f t="shared" si="7"/>
        <v>0</v>
      </c>
      <c r="X22" s="105">
        <f t="shared" si="7"/>
        <v>0</v>
      </c>
      <c r="Y22" s="105">
        <f t="shared" si="7"/>
        <v>0</v>
      </c>
      <c r="Z22" s="105">
        <f t="shared" si="7"/>
        <v>0</v>
      </c>
      <c r="AA22" s="105">
        <f t="shared" si="7"/>
        <v>0</v>
      </c>
      <c r="AB22" s="105">
        <f t="shared" si="7"/>
        <v>0</v>
      </c>
      <c r="AC22" s="105">
        <f t="shared" si="7"/>
        <v>0</v>
      </c>
      <c r="AD22" s="105">
        <f t="shared" si="7"/>
        <v>0</v>
      </c>
      <c r="AE22" s="105">
        <f t="shared" si="7"/>
        <v>0</v>
      </c>
      <c r="AF22" s="105">
        <f t="shared" si="7"/>
        <v>0</v>
      </c>
      <c r="AG22" s="105">
        <f t="shared" si="7"/>
        <v>0</v>
      </c>
      <c r="AH22" s="105">
        <f t="shared" si="7"/>
        <v>0</v>
      </c>
      <c r="AI22" s="105">
        <f t="shared" si="7"/>
        <v>0</v>
      </c>
      <c r="AJ22" s="105">
        <f t="shared" si="7"/>
        <v>0</v>
      </c>
      <c r="AK22" s="105">
        <f t="shared" si="7"/>
        <v>0</v>
      </c>
      <c r="AL22" s="105">
        <f t="shared" si="7"/>
        <v>0</v>
      </c>
      <c r="AM22" s="105">
        <f t="shared" si="7"/>
        <v>0</v>
      </c>
      <c r="AN22" s="105">
        <f t="shared" si="7"/>
        <v>0</v>
      </c>
      <c r="AO22" s="105">
        <f t="shared" si="7"/>
        <v>0</v>
      </c>
      <c r="AP22" s="105">
        <f t="shared" si="7"/>
        <v>0</v>
      </c>
      <c r="AQ22" s="105">
        <f t="shared" si="7"/>
        <v>0</v>
      </c>
      <c r="AR22" s="105">
        <f t="shared" si="7"/>
        <v>0</v>
      </c>
      <c r="AS22" s="105">
        <f t="shared" si="7"/>
        <v>0</v>
      </c>
      <c r="AT22" s="105">
        <f t="shared" si="7"/>
        <v>0</v>
      </c>
      <c r="AU22" s="105">
        <f t="shared" si="7"/>
        <v>0</v>
      </c>
      <c r="AV22" s="105">
        <f t="shared" si="7"/>
        <v>0</v>
      </c>
      <c r="AW22" s="105">
        <f t="shared" si="7"/>
        <v>0</v>
      </c>
      <c r="AX22" s="31"/>
    </row>
    <row r="23" spans="1:50" s="26" customFormat="1" x14ac:dyDescent="0.3">
      <c r="A23" s="31"/>
      <c r="B23" s="56" t="s">
        <v>172</v>
      </c>
      <c r="C23" s="235"/>
      <c r="D23" s="56" t="s">
        <v>157</v>
      </c>
      <c r="E23" s="257"/>
      <c r="F23" s="105">
        <f>F14</f>
        <v>8054877</v>
      </c>
      <c r="G23" s="105">
        <f>G14</f>
        <v>8054877</v>
      </c>
      <c r="H23" s="105">
        <f>H14</f>
        <v>8985436</v>
      </c>
      <c r="I23" s="105">
        <f>I14</f>
        <v>8985436</v>
      </c>
      <c r="J23" s="181"/>
      <c r="K23" s="105">
        <f t="shared" ref="K23:U23" si="8">K14</f>
        <v>8985436</v>
      </c>
      <c r="L23" s="105">
        <f t="shared" si="8"/>
        <v>9626765</v>
      </c>
      <c r="M23" s="105">
        <f t="shared" si="8"/>
        <v>9626765</v>
      </c>
      <c r="N23" s="105">
        <f>N14</f>
        <v>7912000</v>
      </c>
      <c r="O23" s="105">
        <f t="shared" si="8"/>
        <v>7912000</v>
      </c>
      <c r="P23" s="105">
        <f t="shared" si="8"/>
        <v>7198848</v>
      </c>
      <c r="Q23" s="105">
        <f t="shared" si="8"/>
        <v>7198848</v>
      </c>
      <c r="R23" s="105">
        <f>R14</f>
        <v>7147064</v>
      </c>
      <c r="S23" s="105">
        <f t="shared" si="8"/>
        <v>7486112</v>
      </c>
      <c r="T23" s="105">
        <f t="shared" si="8"/>
        <v>7756742</v>
      </c>
      <c r="U23" s="105">
        <f t="shared" si="8"/>
        <v>0</v>
      </c>
      <c r="V23" s="105">
        <f t="shared" ref="V23:AW23" si="9">V14</f>
        <v>0</v>
      </c>
      <c r="W23" s="105">
        <f t="shared" si="9"/>
        <v>0</v>
      </c>
      <c r="X23" s="105">
        <f t="shared" si="9"/>
        <v>0</v>
      </c>
      <c r="Y23" s="105">
        <f t="shared" si="9"/>
        <v>0</v>
      </c>
      <c r="Z23" s="105">
        <f t="shared" si="9"/>
        <v>0</v>
      </c>
      <c r="AA23" s="105">
        <f t="shared" si="9"/>
        <v>0</v>
      </c>
      <c r="AB23" s="105">
        <f t="shared" si="9"/>
        <v>0</v>
      </c>
      <c r="AC23" s="105">
        <f t="shared" si="9"/>
        <v>0</v>
      </c>
      <c r="AD23" s="105">
        <f t="shared" si="9"/>
        <v>0</v>
      </c>
      <c r="AE23" s="105">
        <f t="shared" si="9"/>
        <v>0</v>
      </c>
      <c r="AF23" s="105">
        <f t="shared" si="9"/>
        <v>0</v>
      </c>
      <c r="AG23" s="105">
        <f t="shared" si="9"/>
        <v>0</v>
      </c>
      <c r="AH23" s="105">
        <f t="shared" si="9"/>
        <v>0</v>
      </c>
      <c r="AI23" s="105">
        <f t="shared" si="9"/>
        <v>0</v>
      </c>
      <c r="AJ23" s="105">
        <f t="shared" si="9"/>
        <v>0</v>
      </c>
      <c r="AK23" s="105">
        <f t="shared" si="9"/>
        <v>0</v>
      </c>
      <c r="AL23" s="105">
        <f t="shared" si="9"/>
        <v>0</v>
      </c>
      <c r="AM23" s="105">
        <f t="shared" si="9"/>
        <v>0</v>
      </c>
      <c r="AN23" s="105">
        <f t="shared" si="9"/>
        <v>0</v>
      </c>
      <c r="AO23" s="105">
        <f t="shared" si="9"/>
        <v>0</v>
      </c>
      <c r="AP23" s="105">
        <f t="shared" si="9"/>
        <v>0</v>
      </c>
      <c r="AQ23" s="105">
        <f t="shared" si="9"/>
        <v>0</v>
      </c>
      <c r="AR23" s="105">
        <f t="shared" si="9"/>
        <v>0</v>
      </c>
      <c r="AS23" s="105">
        <f t="shared" si="9"/>
        <v>0</v>
      </c>
      <c r="AT23" s="105">
        <f t="shared" si="9"/>
        <v>0</v>
      </c>
      <c r="AU23" s="105">
        <f t="shared" si="9"/>
        <v>0</v>
      </c>
      <c r="AV23" s="105">
        <f t="shared" si="9"/>
        <v>0</v>
      </c>
      <c r="AW23" s="105">
        <f t="shared" si="9"/>
        <v>0</v>
      </c>
      <c r="AX23" s="31"/>
    </row>
    <row r="24" spans="1:50" s="26" customFormat="1" x14ac:dyDescent="0.3">
      <c r="A24" s="31"/>
      <c r="B24" s="56" t="s">
        <v>173</v>
      </c>
      <c r="C24" s="235"/>
      <c r="D24" s="56" t="s">
        <v>166</v>
      </c>
      <c r="E24" s="257"/>
      <c r="F24" s="106">
        <f>IFERROR(F$15/SUM(F$15:F$16),"")</f>
        <v>0.54227146386658431</v>
      </c>
      <c r="G24" s="106">
        <f>IFERROR(G$15/SUM(G$15:G$16),"")</f>
        <v>0.54227146386658431</v>
      </c>
      <c r="H24" s="106">
        <f>IFERROR(H$15/SUM(H$15:H$16),"")</f>
        <v>0.54227146386658431</v>
      </c>
      <c r="I24" s="106">
        <f>IFERROR(I$15/SUM(I$15:I$16),"")</f>
        <v>0.54227146386658431</v>
      </c>
      <c r="J24" s="181"/>
      <c r="K24" s="106">
        <f>IFERROR(K$15/SUM(K$15:K$16),"")</f>
        <v>0.54227146386658431</v>
      </c>
      <c r="L24" s="106">
        <f>IFERROR(L$15/SUM(L$15:L$16),"")</f>
        <v>0.54158599934827201</v>
      </c>
      <c r="M24" s="106">
        <f t="shared" ref="M24:AW24" si="10">IFERROR(M$15/SUM(M$15:M$16),"")</f>
        <v>0.54158599934827201</v>
      </c>
      <c r="N24" s="106">
        <f>IFERROR(N$15/SUM(N$15:N$16),"")</f>
        <v>0.54017763745982239</v>
      </c>
      <c r="O24" s="106">
        <f t="shared" si="10"/>
        <v>0.54017763745982239</v>
      </c>
      <c r="P24" s="106">
        <f t="shared" si="10"/>
        <v>0.54370549916679289</v>
      </c>
      <c r="Q24" s="106">
        <f t="shared" si="10"/>
        <v>0.54370549916679289</v>
      </c>
      <c r="R24" s="106">
        <f t="shared" si="10"/>
        <v>0.54514294323703338</v>
      </c>
      <c r="S24" s="106">
        <f t="shared" si="10"/>
        <v>0.54514294323703338</v>
      </c>
      <c r="T24" s="106">
        <f t="shared" si="10"/>
        <v>0.54524899560870788</v>
      </c>
      <c r="U24" s="106" t="str">
        <f t="shared" si="10"/>
        <v/>
      </c>
      <c r="V24" s="106" t="str">
        <f t="shared" si="10"/>
        <v/>
      </c>
      <c r="W24" s="106" t="str">
        <f t="shared" si="10"/>
        <v/>
      </c>
      <c r="X24" s="106" t="str">
        <f t="shared" si="10"/>
        <v/>
      </c>
      <c r="Y24" s="106" t="str">
        <f t="shared" si="10"/>
        <v/>
      </c>
      <c r="Z24" s="106" t="str">
        <f t="shared" si="10"/>
        <v/>
      </c>
      <c r="AA24" s="106" t="str">
        <f t="shared" si="10"/>
        <v/>
      </c>
      <c r="AB24" s="106" t="str">
        <f t="shared" si="10"/>
        <v/>
      </c>
      <c r="AC24" s="106" t="str">
        <f t="shared" si="10"/>
        <v/>
      </c>
      <c r="AD24" s="106" t="str">
        <f t="shared" si="10"/>
        <v/>
      </c>
      <c r="AE24" s="106" t="str">
        <f t="shared" si="10"/>
        <v/>
      </c>
      <c r="AF24" s="106" t="str">
        <f t="shared" si="10"/>
        <v/>
      </c>
      <c r="AG24" s="106" t="str">
        <f t="shared" si="10"/>
        <v/>
      </c>
      <c r="AH24" s="106" t="str">
        <f t="shared" si="10"/>
        <v/>
      </c>
      <c r="AI24" s="106" t="str">
        <f t="shared" si="10"/>
        <v/>
      </c>
      <c r="AJ24" s="106" t="str">
        <f t="shared" si="10"/>
        <v/>
      </c>
      <c r="AK24" s="106" t="str">
        <f t="shared" si="10"/>
        <v/>
      </c>
      <c r="AL24" s="106" t="str">
        <f t="shared" si="10"/>
        <v/>
      </c>
      <c r="AM24" s="106" t="str">
        <f t="shared" si="10"/>
        <v/>
      </c>
      <c r="AN24" s="106" t="str">
        <f t="shared" si="10"/>
        <v/>
      </c>
      <c r="AO24" s="106" t="str">
        <f t="shared" si="10"/>
        <v/>
      </c>
      <c r="AP24" s="106" t="str">
        <f t="shared" si="10"/>
        <v/>
      </c>
      <c r="AQ24" s="106" t="str">
        <f t="shared" si="10"/>
        <v/>
      </c>
      <c r="AR24" s="106" t="str">
        <f t="shared" si="10"/>
        <v/>
      </c>
      <c r="AS24" s="106" t="str">
        <f t="shared" si="10"/>
        <v/>
      </c>
      <c r="AT24" s="106" t="str">
        <f t="shared" si="10"/>
        <v/>
      </c>
      <c r="AU24" s="106" t="str">
        <f t="shared" si="10"/>
        <v/>
      </c>
      <c r="AV24" s="106" t="str">
        <f t="shared" si="10"/>
        <v/>
      </c>
      <c r="AW24" s="106" t="str">
        <f t="shared" si="10"/>
        <v/>
      </c>
      <c r="AX24" s="31"/>
    </row>
    <row r="25" spans="1:50" s="26" customFormat="1" x14ac:dyDescent="0.3">
      <c r="A25" s="31"/>
      <c r="B25" s="56" t="s">
        <v>174</v>
      </c>
      <c r="C25" s="235"/>
      <c r="D25" s="56" t="s">
        <v>166</v>
      </c>
      <c r="E25" s="257"/>
      <c r="F25" s="106">
        <f>IFERROR(F16/SUM(F$15:F$16),"")</f>
        <v>0.45772853613341569</v>
      </c>
      <c r="G25" s="106">
        <f>IFERROR(G16/SUM(G$15:G$16),"")</f>
        <v>0.45772853613341569</v>
      </c>
      <c r="H25" s="106">
        <f>IFERROR(H16/SUM(H$15:H$16),"")</f>
        <v>0.45772853613341569</v>
      </c>
      <c r="I25" s="106">
        <f>IFERROR(I16/SUM(I$15:I$16),"")</f>
        <v>0.45772853613341569</v>
      </c>
      <c r="J25" s="181"/>
      <c r="K25" s="106">
        <f t="shared" ref="K25:U25" si="11">IFERROR(K16/SUM(K$15:K$16),"")</f>
        <v>0.45772853613341569</v>
      </c>
      <c r="L25" s="106">
        <f t="shared" si="11"/>
        <v>0.45841400065172805</v>
      </c>
      <c r="M25" s="106">
        <f t="shared" si="11"/>
        <v>0.45841400065172805</v>
      </c>
      <c r="N25" s="106">
        <f>IFERROR(N16/SUM(N$15:N$16),"")</f>
        <v>0.45982236254017766</v>
      </c>
      <c r="O25" s="106">
        <f t="shared" si="11"/>
        <v>0.45982236254017766</v>
      </c>
      <c r="P25" s="106">
        <f t="shared" si="11"/>
        <v>0.45629450083320711</v>
      </c>
      <c r="Q25" s="106">
        <f t="shared" si="11"/>
        <v>0.45629450083320711</v>
      </c>
      <c r="R25" s="106">
        <f t="shared" si="11"/>
        <v>0.45485705676296662</v>
      </c>
      <c r="S25" s="106">
        <f t="shared" si="11"/>
        <v>0.45485705676296662</v>
      </c>
      <c r="T25" s="106">
        <f t="shared" si="11"/>
        <v>0.45475100439129218</v>
      </c>
      <c r="U25" s="106" t="str">
        <f t="shared" si="11"/>
        <v/>
      </c>
      <c r="V25" s="106" t="str">
        <f t="shared" ref="V25:AW25" si="12">IFERROR(V16/SUM(V$15:V$16),"")</f>
        <v/>
      </c>
      <c r="W25" s="106" t="str">
        <f t="shared" si="12"/>
        <v/>
      </c>
      <c r="X25" s="106" t="str">
        <f t="shared" si="12"/>
        <v/>
      </c>
      <c r="Y25" s="106" t="str">
        <f t="shared" si="12"/>
        <v/>
      </c>
      <c r="Z25" s="106" t="str">
        <f t="shared" si="12"/>
        <v/>
      </c>
      <c r="AA25" s="106" t="str">
        <f t="shared" si="12"/>
        <v/>
      </c>
      <c r="AB25" s="106" t="str">
        <f t="shared" si="12"/>
        <v/>
      </c>
      <c r="AC25" s="106" t="str">
        <f t="shared" si="12"/>
        <v/>
      </c>
      <c r="AD25" s="106" t="str">
        <f t="shared" si="12"/>
        <v/>
      </c>
      <c r="AE25" s="106" t="str">
        <f t="shared" si="12"/>
        <v/>
      </c>
      <c r="AF25" s="106" t="str">
        <f t="shared" si="12"/>
        <v/>
      </c>
      <c r="AG25" s="106" t="str">
        <f t="shared" si="12"/>
        <v/>
      </c>
      <c r="AH25" s="106" t="str">
        <f t="shared" si="12"/>
        <v/>
      </c>
      <c r="AI25" s="106" t="str">
        <f t="shared" si="12"/>
        <v/>
      </c>
      <c r="AJ25" s="106" t="str">
        <f t="shared" si="12"/>
        <v/>
      </c>
      <c r="AK25" s="106" t="str">
        <f t="shared" si="12"/>
        <v/>
      </c>
      <c r="AL25" s="106" t="str">
        <f t="shared" si="12"/>
        <v/>
      </c>
      <c r="AM25" s="106" t="str">
        <f t="shared" si="12"/>
        <v/>
      </c>
      <c r="AN25" s="106" t="str">
        <f t="shared" si="12"/>
        <v/>
      </c>
      <c r="AO25" s="106" t="str">
        <f t="shared" si="12"/>
        <v/>
      </c>
      <c r="AP25" s="106" t="str">
        <f t="shared" si="12"/>
        <v/>
      </c>
      <c r="AQ25" s="106" t="str">
        <f t="shared" si="12"/>
        <v/>
      </c>
      <c r="AR25" s="106" t="str">
        <f t="shared" si="12"/>
        <v/>
      </c>
      <c r="AS25" s="106" t="str">
        <f t="shared" si="12"/>
        <v/>
      </c>
      <c r="AT25" s="106" t="str">
        <f t="shared" si="12"/>
        <v/>
      </c>
      <c r="AU25" s="106" t="str">
        <f t="shared" si="12"/>
        <v/>
      </c>
      <c r="AV25" s="106" t="str">
        <f t="shared" si="12"/>
        <v/>
      </c>
      <c r="AW25" s="106" t="str">
        <f t="shared" si="12"/>
        <v/>
      </c>
      <c r="AX25" s="31"/>
    </row>
    <row r="26" spans="1:50" s="26" customFormat="1" x14ac:dyDescent="0.3">
      <c r="A26" s="31"/>
      <c r="B26" s="56" t="s">
        <v>175</v>
      </c>
      <c r="C26" s="235"/>
      <c r="D26" s="56" t="s">
        <v>157</v>
      </c>
      <c r="E26" s="257"/>
      <c r="F26" s="107">
        <f>IFERROR(F22*F24/F20,0)</f>
        <v>0.8210906261174864</v>
      </c>
      <c r="G26" s="107">
        <f>IFERROR(G22*G24/G20,0)</f>
        <v>0.83874848904474419</v>
      </c>
      <c r="H26" s="107">
        <f>IFERROR(H22*H24/H20,0)</f>
        <v>0.87236448696454871</v>
      </c>
      <c r="I26" s="107">
        <f>IFERROR(I22*I24/I20,0)</f>
        <v>0.87236448696454871</v>
      </c>
      <c r="J26" s="181"/>
      <c r="K26" s="107">
        <f>IFERROR(K22*K24/K20,0)</f>
        <v>0.87236448696454871</v>
      </c>
      <c r="L26" s="107">
        <f t="shared" ref="L26:U26" si="13">IFERROR(L22*L24/L20,0)</f>
        <v>0.80855297207153687</v>
      </c>
      <c r="M26" s="107">
        <f t="shared" si="13"/>
        <v>0.81743816956682847</v>
      </c>
      <c r="N26" s="107">
        <f>IFERROR(N22*N24/N20,0)</f>
        <v>0.58801430801413623</v>
      </c>
      <c r="O26" s="107">
        <f t="shared" si="13"/>
        <v>0.58801430801413623</v>
      </c>
      <c r="P26" s="107">
        <f t="shared" si="13"/>
        <v>0.59947018454356049</v>
      </c>
      <c r="Q26" s="107">
        <f t="shared" si="13"/>
        <v>0.60598616481033829</v>
      </c>
      <c r="R26" s="107">
        <f t="shared" si="13"/>
        <v>0.56532989185916882</v>
      </c>
      <c r="S26" s="107">
        <f>IFERROR(S22*S24/S20,0)</f>
        <v>0.59150062149233495</v>
      </c>
      <c r="T26" s="107">
        <f t="shared" si="13"/>
        <v>0.58171859120178016</v>
      </c>
      <c r="U26" s="107">
        <f t="shared" si="13"/>
        <v>0</v>
      </c>
      <c r="V26" s="107">
        <f t="shared" ref="V26:AW26" si="14">IFERROR(V22*V24/V20,0)</f>
        <v>0</v>
      </c>
      <c r="W26" s="107">
        <f t="shared" si="14"/>
        <v>0</v>
      </c>
      <c r="X26" s="107">
        <f t="shared" si="14"/>
        <v>0</v>
      </c>
      <c r="Y26" s="107">
        <f t="shared" si="14"/>
        <v>0</v>
      </c>
      <c r="Z26" s="107">
        <f t="shared" si="14"/>
        <v>0</v>
      </c>
      <c r="AA26" s="107">
        <f t="shared" si="14"/>
        <v>0</v>
      </c>
      <c r="AB26" s="107">
        <f t="shared" si="14"/>
        <v>0</v>
      </c>
      <c r="AC26" s="107">
        <f t="shared" si="14"/>
        <v>0</v>
      </c>
      <c r="AD26" s="107">
        <f t="shared" si="14"/>
        <v>0</v>
      </c>
      <c r="AE26" s="107">
        <f t="shared" si="14"/>
        <v>0</v>
      </c>
      <c r="AF26" s="107">
        <f t="shared" si="14"/>
        <v>0</v>
      </c>
      <c r="AG26" s="107">
        <f t="shared" si="14"/>
        <v>0</v>
      </c>
      <c r="AH26" s="107">
        <f t="shared" si="14"/>
        <v>0</v>
      </c>
      <c r="AI26" s="107">
        <f t="shared" si="14"/>
        <v>0</v>
      </c>
      <c r="AJ26" s="107">
        <f t="shared" si="14"/>
        <v>0</v>
      </c>
      <c r="AK26" s="107">
        <f t="shared" si="14"/>
        <v>0</v>
      </c>
      <c r="AL26" s="107">
        <f t="shared" si="14"/>
        <v>0</v>
      </c>
      <c r="AM26" s="107">
        <f t="shared" si="14"/>
        <v>0</v>
      </c>
      <c r="AN26" s="107">
        <f t="shared" si="14"/>
        <v>0</v>
      </c>
      <c r="AO26" s="107">
        <f t="shared" si="14"/>
        <v>0</v>
      </c>
      <c r="AP26" s="107">
        <f t="shared" si="14"/>
        <v>0</v>
      </c>
      <c r="AQ26" s="107">
        <f t="shared" si="14"/>
        <v>0</v>
      </c>
      <c r="AR26" s="107">
        <f t="shared" si="14"/>
        <v>0</v>
      </c>
      <c r="AS26" s="107">
        <f t="shared" si="14"/>
        <v>0</v>
      </c>
      <c r="AT26" s="107">
        <f t="shared" si="14"/>
        <v>0</v>
      </c>
      <c r="AU26" s="107">
        <f t="shared" si="14"/>
        <v>0</v>
      </c>
      <c r="AV26" s="107">
        <f t="shared" si="14"/>
        <v>0</v>
      </c>
      <c r="AW26" s="107">
        <f t="shared" si="14"/>
        <v>0</v>
      </c>
      <c r="AX26" s="31"/>
    </row>
    <row r="27" spans="1:50" s="26" customFormat="1" x14ac:dyDescent="0.3">
      <c r="A27" s="31"/>
      <c r="B27" s="56" t="s">
        <v>176</v>
      </c>
      <c r="C27" s="235"/>
      <c r="D27" s="56" t="s">
        <v>157</v>
      </c>
      <c r="E27" s="257"/>
      <c r="F27" s="87">
        <f>IFERROR(F23*F24/F15,0)</f>
        <v>0.15547554431747992</v>
      </c>
      <c r="G27" s="87">
        <f>IFERROR(G23*G24/G15,0)</f>
        <v>0.15547554431747992</v>
      </c>
      <c r="H27" s="87">
        <f>IFERROR(H23*H24/H15,0)</f>
        <v>0.17343722977146386</v>
      </c>
      <c r="I27" s="87">
        <f>IFERROR(I23*I24/I15,0)</f>
        <v>0.17343722977146386</v>
      </c>
      <c r="J27" s="184"/>
      <c r="K27" s="87">
        <f t="shared" ref="K27:U27" si="15">IFERROR(K23*K24/K15,0)</f>
        <v>0.17343722977146386</v>
      </c>
      <c r="L27" s="87">
        <f t="shared" si="15"/>
        <v>0.18453037244340509</v>
      </c>
      <c r="M27" s="87">
        <f t="shared" si="15"/>
        <v>0.18453037244340509</v>
      </c>
      <c r="N27" s="87">
        <f>IFERROR(N23*N24/N15,0)</f>
        <v>0.1504783278495217</v>
      </c>
      <c r="O27" s="87">
        <f t="shared" si="15"/>
        <v>0.1504783278495217</v>
      </c>
      <c r="P27" s="87">
        <f t="shared" si="15"/>
        <v>0.1363211634600818</v>
      </c>
      <c r="Q27" s="107">
        <f t="shared" si="15"/>
        <v>0.1363211634600818</v>
      </c>
      <c r="R27" s="107">
        <f t="shared" si="15"/>
        <v>0.13460137858299748</v>
      </c>
      <c r="S27" s="107">
        <f>IFERROR(S23*S24/S15,0)</f>
        <v>0.14098670383065276</v>
      </c>
      <c r="T27" s="107">
        <f t="shared" si="15"/>
        <v>0.14494519293655983</v>
      </c>
      <c r="U27" s="107">
        <f t="shared" si="15"/>
        <v>0</v>
      </c>
      <c r="V27" s="107">
        <f t="shared" ref="V27:AW27" si="16">IFERROR(V23*V24/V15,0)</f>
        <v>0</v>
      </c>
      <c r="W27" s="107">
        <f t="shared" si="16"/>
        <v>0</v>
      </c>
      <c r="X27" s="107">
        <f t="shared" si="16"/>
        <v>0</v>
      </c>
      <c r="Y27" s="107">
        <f t="shared" si="16"/>
        <v>0</v>
      </c>
      <c r="Z27" s="107">
        <f t="shared" si="16"/>
        <v>0</v>
      </c>
      <c r="AA27" s="107">
        <f t="shared" si="16"/>
        <v>0</v>
      </c>
      <c r="AB27" s="107">
        <f t="shared" si="16"/>
        <v>0</v>
      </c>
      <c r="AC27" s="107">
        <f t="shared" si="16"/>
        <v>0</v>
      </c>
      <c r="AD27" s="107">
        <f t="shared" si="16"/>
        <v>0</v>
      </c>
      <c r="AE27" s="107">
        <f t="shared" si="16"/>
        <v>0</v>
      </c>
      <c r="AF27" s="107">
        <f t="shared" si="16"/>
        <v>0</v>
      </c>
      <c r="AG27" s="107">
        <f t="shared" si="16"/>
        <v>0</v>
      </c>
      <c r="AH27" s="107">
        <f t="shared" si="16"/>
        <v>0</v>
      </c>
      <c r="AI27" s="107">
        <f t="shared" si="16"/>
        <v>0</v>
      </c>
      <c r="AJ27" s="107">
        <f t="shared" si="16"/>
        <v>0</v>
      </c>
      <c r="AK27" s="107">
        <f t="shared" si="16"/>
        <v>0</v>
      </c>
      <c r="AL27" s="107">
        <f t="shared" si="16"/>
        <v>0</v>
      </c>
      <c r="AM27" s="107">
        <f t="shared" si="16"/>
        <v>0</v>
      </c>
      <c r="AN27" s="107">
        <f t="shared" si="16"/>
        <v>0</v>
      </c>
      <c r="AO27" s="107">
        <f t="shared" si="16"/>
        <v>0</v>
      </c>
      <c r="AP27" s="107">
        <f t="shared" si="16"/>
        <v>0</v>
      </c>
      <c r="AQ27" s="107">
        <f t="shared" si="16"/>
        <v>0</v>
      </c>
      <c r="AR27" s="107">
        <f t="shared" si="16"/>
        <v>0</v>
      </c>
      <c r="AS27" s="107">
        <f t="shared" si="16"/>
        <v>0</v>
      </c>
      <c r="AT27" s="107">
        <f t="shared" si="16"/>
        <v>0</v>
      </c>
      <c r="AU27" s="107">
        <f t="shared" si="16"/>
        <v>0</v>
      </c>
      <c r="AV27" s="107">
        <f t="shared" si="16"/>
        <v>0</v>
      </c>
      <c r="AW27" s="107">
        <f t="shared" si="16"/>
        <v>0</v>
      </c>
      <c r="AX27" s="31"/>
    </row>
    <row r="28" spans="1:50" s="26" customFormat="1" x14ac:dyDescent="0.3">
      <c r="A28" s="31"/>
      <c r="B28" s="56" t="s">
        <v>177</v>
      </c>
      <c r="C28" s="235"/>
      <c r="D28" s="56" t="s">
        <v>157</v>
      </c>
      <c r="E28" s="257"/>
      <c r="F28" s="87">
        <f>IFERROR(F22*F25/F21,0)</f>
        <v>0.82109062611748651</v>
      </c>
      <c r="G28" s="87">
        <f>IFERROR(G22*G25/G21,0)</f>
        <v>0.83874848904474431</v>
      </c>
      <c r="H28" s="87">
        <f>IFERROR(H22*H25/H21,0)</f>
        <v>0.87236448696454871</v>
      </c>
      <c r="I28" s="87">
        <f>IFERROR(I22*I25/I21,0)</f>
        <v>0.87236448696454871</v>
      </c>
      <c r="J28" s="184"/>
      <c r="K28" s="87">
        <f t="shared" ref="K28:U28" si="17">IFERROR(K22*K25/K21,0)</f>
        <v>0.87236448696454871</v>
      </c>
      <c r="L28" s="87">
        <f t="shared" si="17"/>
        <v>0.81743816956682835</v>
      </c>
      <c r="M28" s="87">
        <f t="shared" si="17"/>
        <v>0.81743816956682835</v>
      </c>
      <c r="N28" s="87">
        <f>IFERROR(N22*N25/N21,0)</f>
        <v>0.58801430801413634</v>
      </c>
      <c r="O28" s="87">
        <f t="shared" si="17"/>
        <v>0.58801430801413634</v>
      </c>
      <c r="P28" s="87">
        <f t="shared" si="17"/>
        <v>0.5994701845435606</v>
      </c>
      <c r="Q28" s="107">
        <f t="shared" si="17"/>
        <v>0.6059861648103384</v>
      </c>
      <c r="R28" s="107">
        <f t="shared" si="17"/>
        <v>0.56532989185916882</v>
      </c>
      <c r="S28" s="107">
        <f t="shared" si="17"/>
        <v>0.58552586773988713</v>
      </c>
      <c r="T28" s="107">
        <f t="shared" si="17"/>
        <v>0.57584264583610567</v>
      </c>
      <c r="U28" s="107">
        <f t="shared" si="17"/>
        <v>0</v>
      </c>
      <c r="V28" s="107">
        <f t="shared" ref="V28:AW28" si="18">IFERROR(V22*V25/V21,0)</f>
        <v>0</v>
      </c>
      <c r="W28" s="107">
        <f t="shared" si="18"/>
        <v>0</v>
      </c>
      <c r="X28" s="107">
        <f t="shared" si="18"/>
        <v>0</v>
      </c>
      <c r="Y28" s="107">
        <f t="shared" si="18"/>
        <v>0</v>
      </c>
      <c r="Z28" s="107">
        <f t="shared" si="18"/>
        <v>0</v>
      </c>
      <c r="AA28" s="107">
        <f t="shared" si="18"/>
        <v>0</v>
      </c>
      <c r="AB28" s="107">
        <f t="shared" si="18"/>
        <v>0</v>
      </c>
      <c r="AC28" s="107">
        <f t="shared" si="18"/>
        <v>0</v>
      </c>
      <c r="AD28" s="107">
        <f t="shared" si="18"/>
        <v>0</v>
      </c>
      <c r="AE28" s="107">
        <f t="shared" si="18"/>
        <v>0</v>
      </c>
      <c r="AF28" s="107">
        <f t="shared" si="18"/>
        <v>0</v>
      </c>
      <c r="AG28" s="107">
        <f t="shared" si="18"/>
        <v>0</v>
      </c>
      <c r="AH28" s="107">
        <f t="shared" si="18"/>
        <v>0</v>
      </c>
      <c r="AI28" s="107">
        <f t="shared" si="18"/>
        <v>0</v>
      </c>
      <c r="AJ28" s="107">
        <f t="shared" si="18"/>
        <v>0</v>
      </c>
      <c r="AK28" s="107">
        <f t="shared" si="18"/>
        <v>0</v>
      </c>
      <c r="AL28" s="107">
        <f t="shared" si="18"/>
        <v>0</v>
      </c>
      <c r="AM28" s="107">
        <f t="shared" si="18"/>
        <v>0</v>
      </c>
      <c r="AN28" s="107">
        <f t="shared" si="18"/>
        <v>0</v>
      </c>
      <c r="AO28" s="107">
        <f t="shared" si="18"/>
        <v>0</v>
      </c>
      <c r="AP28" s="107">
        <f t="shared" si="18"/>
        <v>0</v>
      </c>
      <c r="AQ28" s="107">
        <f t="shared" si="18"/>
        <v>0</v>
      </c>
      <c r="AR28" s="107">
        <f t="shared" si="18"/>
        <v>0</v>
      </c>
      <c r="AS28" s="107">
        <f t="shared" si="18"/>
        <v>0</v>
      </c>
      <c r="AT28" s="107">
        <f t="shared" si="18"/>
        <v>0</v>
      </c>
      <c r="AU28" s="107">
        <f t="shared" si="18"/>
        <v>0</v>
      </c>
      <c r="AV28" s="107">
        <f t="shared" si="18"/>
        <v>0</v>
      </c>
      <c r="AW28" s="107">
        <f t="shared" si="18"/>
        <v>0</v>
      </c>
      <c r="AX28" s="31"/>
    </row>
    <row r="29" spans="1:50" s="26" customFormat="1" x14ac:dyDescent="0.3">
      <c r="A29" s="31"/>
      <c r="B29" s="56" t="s">
        <v>178</v>
      </c>
      <c r="C29" s="235"/>
      <c r="D29" s="56" t="s">
        <v>157</v>
      </c>
      <c r="E29" s="257"/>
      <c r="F29" s="87">
        <f>IFERROR(F23*F25/F16,0)</f>
        <v>0.15547554431747992</v>
      </c>
      <c r="G29" s="87">
        <f>IFERROR(G23*G25/G16,0)</f>
        <v>0.15547554431747992</v>
      </c>
      <c r="H29" s="87">
        <f>IFERROR(H23*H25/H16,0)</f>
        <v>0.17343722977146386</v>
      </c>
      <c r="I29" s="87">
        <f>IFERROR(I23*I25/I16,0)</f>
        <v>0.17343722977146386</v>
      </c>
      <c r="J29" s="184"/>
      <c r="K29" s="87">
        <f>IFERROR(K23*K25/K16,0)</f>
        <v>0.17343722977146386</v>
      </c>
      <c r="L29" s="87">
        <f t="shared" ref="L29:U29" si="19">IFERROR(L23*L25/L16,0)</f>
        <v>0.18453037244340506</v>
      </c>
      <c r="M29" s="87">
        <f t="shared" si="19"/>
        <v>0.18453037244340506</v>
      </c>
      <c r="N29" s="87">
        <f>IFERROR(N23*N25/N16,0)</f>
        <v>0.15047832784952167</v>
      </c>
      <c r="O29" s="87">
        <f t="shared" si="19"/>
        <v>0.15047832784952167</v>
      </c>
      <c r="P29" s="87">
        <f t="shared" si="19"/>
        <v>0.13632116346008183</v>
      </c>
      <c r="Q29" s="107">
        <f t="shared" si="19"/>
        <v>0.13632116346008183</v>
      </c>
      <c r="R29" s="107">
        <f t="shared" si="19"/>
        <v>0.13460137858299748</v>
      </c>
      <c r="S29" s="107">
        <f>IFERROR(S23*S25/S16,0)</f>
        <v>0.14098670383065276</v>
      </c>
      <c r="T29" s="107">
        <f t="shared" si="19"/>
        <v>0.14494519293655986</v>
      </c>
      <c r="U29" s="107">
        <f t="shared" si="19"/>
        <v>0</v>
      </c>
      <c r="V29" s="107">
        <f t="shared" ref="V29:AW29" si="20">IFERROR(V23*V25/V16,0)</f>
        <v>0</v>
      </c>
      <c r="W29" s="107">
        <f t="shared" si="20"/>
        <v>0</v>
      </c>
      <c r="X29" s="107">
        <f t="shared" si="20"/>
        <v>0</v>
      </c>
      <c r="Y29" s="107">
        <f t="shared" si="20"/>
        <v>0</v>
      </c>
      <c r="Z29" s="107">
        <f t="shared" si="20"/>
        <v>0</v>
      </c>
      <c r="AA29" s="107">
        <f t="shared" si="20"/>
        <v>0</v>
      </c>
      <c r="AB29" s="107">
        <f t="shared" si="20"/>
        <v>0</v>
      </c>
      <c r="AC29" s="107">
        <f t="shared" si="20"/>
        <v>0</v>
      </c>
      <c r="AD29" s="107">
        <f t="shared" si="20"/>
        <v>0</v>
      </c>
      <c r="AE29" s="107">
        <f t="shared" si="20"/>
        <v>0</v>
      </c>
      <c r="AF29" s="107">
        <f t="shared" si="20"/>
        <v>0</v>
      </c>
      <c r="AG29" s="107">
        <f t="shared" si="20"/>
        <v>0</v>
      </c>
      <c r="AH29" s="107">
        <f t="shared" si="20"/>
        <v>0</v>
      </c>
      <c r="AI29" s="107">
        <f t="shared" si="20"/>
        <v>0</v>
      </c>
      <c r="AJ29" s="107">
        <f t="shared" si="20"/>
        <v>0</v>
      </c>
      <c r="AK29" s="107">
        <f t="shared" si="20"/>
        <v>0</v>
      </c>
      <c r="AL29" s="107">
        <f t="shared" si="20"/>
        <v>0</v>
      </c>
      <c r="AM29" s="107">
        <f t="shared" si="20"/>
        <v>0</v>
      </c>
      <c r="AN29" s="107">
        <f t="shared" si="20"/>
        <v>0</v>
      </c>
      <c r="AO29" s="107">
        <f t="shared" si="20"/>
        <v>0</v>
      </c>
      <c r="AP29" s="107">
        <f t="shared" si="20"/>
        <v>0</v>
      </c>
      <c r="AQ29" s="107">
        <f t="shared" si="20"/>
        <v>0</v>
      </c>
      <c r="AR29" s="107">
        <f t="shared" si="20"/>
        <v>0</v>
      </c>
      <c r="AS29" s="107">
        <f t="shared" si="20"/>
        <v>0</v>
      </c>
      <c r="AT29" s="107">
        <f t="shared" si="20"/>
        <v>0</v>
      </c>
      <c r="AU29" s="107">
        <f t="shared" si="20"/>
        <v>0</v>
      </c>
      <c r="AV29" s="107">
        <f t="shared" si="20"/>
        <v>0</v>
      </c>
      <c r="AW29" s="107">
        <f t="shared" si="20"/>
        <v>0</v>
      </c>
      <c r="AX29" s="31"/>
    </row>
    <row r="30" spans="1:50" s="26" customFormat="1" x14ac:dyDescent="0.3">
      <c r="A30" s="31"/>
      <c r="B30" s="56" t="s">
        <v>179</v>
      </c>
      <c r="C30" s="235"/>
      <c r="D30" s="56" t="s">
        <v>157</v>
      </c>
      <c r="E30" s="257"/>
      <c r="F30" s="87">
        <f>IFERROR((F26+F27)*F15,0)</f>
        <v>27435649.992199942</v>
      </c>
      <c r="G30" s="87">
        <f t="shared" ref="G30:I30" si="21">IFERROR((G26+G27)*G15,0)</f>
        <v>27931729.993278325</v>
      </c>
      <c r="H30" s="87">
        <f t="shared" si="21"/>
        <v>29380753.429981537</v>
      </c>
      <c r="I30" s="87">
        <f t="shared" si="21"/>
        <v>29380753.429981537</v>
      </c>
      <c r="J30" s="181"/>
      <c r="K30" s="87">
        <f>IFERROR((K26+K27)*K15,0)</f>
        <v>29380753.429981537</v>
      </c>
      <c r="L30" s="87">
        <f t="shared" ref="L30:U30" si="22">IFERROR((L26+L27)*L15,0)</f>
        <v>28058576.81592517</v>
      </c>
      <c r="M30" s="87">
        <f t="shared" si="22"/>
        <v>28309619.185957137</v>
      </c>
      <c r="N30" s="87">
        <f>IFERROR((N26+N27)*N15,0)</f>
        <v>20974667.84379961</v>
      </c>
      <c r="O30" s="87">
        <f t="shared" si="22"/>
        <v>20974667.84379961</v>
      </c>
      <c r="P30" s="87">
        <f>IFERROR((P26+P27)*P15,0)</f>
        <v>21126041.183880579</v>
      </c>
      <c r="Q30" s="87">
        <f t="shared" si="22"/>
        <v>21313128.009300303</v>
      </c>
      <c r="R30" s="87">
        <f t="shared" si="22"/>
        <v>20260210.554218944</v>
      </c>
      <c r="S30" s="87">
        <f t="shared" si="22"/>
        <v>21202578.118799202</v>
      </c>
      <c r="T30" s="87">
        <f t="shared" si="22"/>
        <v>21203322.557372622</v>
      </c>
      <c r="U30" s="87">
        <f t="shared" si="22"/>
        <v>0</v>
      </c>
      <c r="V30" s="87">
        <f t="shared" ref="V30:AW30" si="23">IFERROR((V26+V27)*V15,0)</f>
        <v>0</v>
      </c>
      <c r="W30" s="87">
        <f t="shared" si="23"/>
        <v>0</v>
      </c>
      <c r="X30" s="87">
        <f t="shared" si="23"/>
        <v>0</v>
      </c>
      <c r="Y30" s="87">
        <f t="shared" si="23"/>
        <v>0</v>
      </c>
      <c r="Z30" s="87">
        <f t="shared" si="23"/>
        <v>0</v>
      </c>
      <c r="AA30" s="87">
        <f t="shared" si="23"/>
        <v>0</v>
      </c>
      <c r="AB30" s="87">
        <f t="shared" si="23"/>
        <v>0</v>
      </c>
      <c r="AC30" s="87">
        <f t="shared" si="23"/>
        <v>0</v>
      </c>
      <c r="AD30" s="87">
        <f t="shared" si="23"/>
        <v>0</v>
      </c>
      <c r="AE30" s="87">
        <f t="shared" si="23"/>
        <v>0</v>
      </c>
      <c r="AF30" s="87">
        <f t="shared" si="23"/>
        <v>0</v>
      </c>
      <c r="AG30" s="87">
        <f t="shared" si="23"/>
        <v>0</v>
      </c>
      <c r="AH30" s="87">
        <f t="shared" si="23"/>
        <v>0</v>
      </c>
      <c r="AI30" s="87">
        <f t="shared" si="23"/>
        <v>0</v>
      </c>
      <c r="AJ30" s="87">
        <f t="shared" si="23"/>
        <v>0</v>
      </c>
      <c r="AK30" s="87">
        <f t="shared" si="23"/>
        <v>0</v>
      </c>
      <c r="AL30" s="87">
        <f t="shared" si="23"/>
        <v>0</v>
      </c>
      <c r="AM30" s="87">
        <f t="shared" si="23"/>
        <v>0</v>
      </c>
      <c r="AN30" s="87">
        <f t="shared" si="23"/>
        <v>0</v>
      </c>
      <c r="AO30" s="87">
        <f t="shared" si="23"/>
        <v>0</v>
      </c>
      <c r="AP30" s="87">
        <f t="shared" si="23"/>
        <v>0</v>
      </c>
      <c r="AQ30" s="87">
        <f t="shared" si="23"/>
        <v>0</v>
      </c>
      <c r="AR30" s="87">
        <f t="shared" si="23"/>
        <v>0</v>
      </c>
      <c r="AS30" s="87">
        <f t="shared" si="23"/>
        <v>0</v>
      </c>
      <c r="AT30" s="87">
        <f t="shared" si="23"/>
        <v>0</v>
      </c>
      <c r="AU30" s="87">
        <f t="shared" si="23"/>
        <v>0</v>
      </c>
      <c r="AV30" s="87">
        <f t="shared" si="23"/>
        <v>0</v>
      </c>
      <c r="AW30" s="87">
        <f t="shared" si="23"/>
        <v>0</v>
      </c>
      <c r="AX30" s="31"/>
    </row>
    <row r="31" spans="1:50" s="26" customFormat="1" x14ac:dyDescent="0.3">
      <c r="A31" s="31"/>
      <c r="B31" s="56" t="s">
        <v>180</v>
      </c>
      <c r="C31" s="235"/>
      <c r="D31" s="56" t="s">
        <v>157</v>
      </c>
      <c r="E31" s="257"/>
      <c r="F31" s="87">
        <f>IFERROR((F28+F29)*F16,0)</f>
        <v>23158290.165694792</v>
      </c>
      <c r="G31" s="87">
        <f t="shared" ref="G31:U31" si="24">IFERROR((G28+G29)*G16,0)</f>
        <v>23577028.727151785</v>
      </c>
      <c r="H31" s="87">
        <f t="shared" si="24"/>
        <v>24800141.910677802</v>
      </c>
      <c r="I31" s="87">
        <f t="shared" si="24"/>
        <v>24800141.910677802</v>
      </c>
      <c r="J31" s="181"/>
      <c r="K31" s="87">
        <f t="shared" si="24"/>
        <v>24800141.910677802</v>
      </c>
      <c r="L31" s="87">
        <f t="shared" si="24"/>
        <v>23962077.682174731</v>
      </c>
      <c r="M31" s="87">
        <f t="shared" si="24"/>
        <v>23962077.682174731</v>
      </c>
      <c r="N31" s="87">
        <f t="shared" si="24"/>
        <v>17854536.457275659</v>
      </c>
      <c r="O31" s="87">
        <f t="shared" si="24"/>
        <v>17854536.457275659</v>
      </c>
      <c r="P31" s="87">
        <f t="shared" si="24"/>
        <v>17729628.321495768</v>
      </c>
      <c r="Q31" s="87">
        <f t="shared" si="24"/>
        <v>17886637.382004045</v>
      </c>
      <c r="R31" s="87">
        <f t="shared" si="24"/>
        <v>16904740.043719202</v>
      </c>
      <c r="S31" s="87">
        <f t="shared" si="24"/>
        <v>17546731.628571678</v>
      </c>
      <c r="T31" s="87">
        <f>IFERROR((T28+T29)*T16,0)</f>
        <v>17541092.844371587</v>
      </c>
      <c r="U31" s="87">
        <f t="shared" si="24"/>
        <v>0</v>
      </c>
      <c r="V31" s="87">
        <f t="shared" ref="V31:AW31" si="25">IFERROR((V28+V29)*V16,0)</f>
        <v>0</v>
      </c>
      <c r="W31" s="87">
        <f t="shared" si="25"/>
        <v>0</v>
      </c>
      <c r="X31" s="87">
        <f t="shared" si="25"/>
        <v>0</v>
      </c>
      <c r="Y31" s="87">
        <f t="shared" si="25"/>
        <v>0</v>
      </c>
      <c r="Z31" s="87">
        <f t="shared" si="25"/>
        <v>0</v>
      </c>
      <c r="AA31" s="87">
        <f t="shared" si="25"/>
        <v>0</v>
      </c>
      <c r="AB31" s="87">
        <f t="shared" si="25"/>
        <v>0</v>
      </c>
      <c r="AC31" s="87">
        <f t="shared" si="25"/>
        <v>0</v>
      </c>
      <c r="AD31" s="87">
        <f t="shared" si="25"/>
        <v>0</v>
      </c>
      <c r="AE31" s="87">
        <f t="shared" si="25"/>
        <v>0</v>
      </c>
      <c r="AF31" s="87">
        <f t="shared" si="25"/>
        <v>0</v>
      </c>
      <c r="AG31" s="87">
        <f t="shared" si="25"/>
        <v>0</v>
      </c>
      <c r="AH31" s="87">
        <f t="shared" si="25"/>
        <v>0</v>
      </c>
      <c r="AI31" s="87">
        <f t="shared" si="25"/>
        <v>0</v>
      </c>
      <c r="AJ31" s="87">
        <f t="shared" si="25"/>
        <v>0</v>
      </c>
      <c r="AK31" s="87">
        <f t="shared" si="25"/>
        <v>0</v>
      </c>
      <c r="AL31" s="87">
        <f t="shared" si="25"/>
        <v>0</v>
      </c>
      <c r="AM31" s="87">
        <f t="shared" si="25"/>
        <v>0</v>
      </c>
      <c r="AN31" s="87">
        <f t="shared" si="25"/>
        <v>0</v>
      </c>
      <c r="AO31" s="87">
        <f t="shared" si="25"/>
        <v>0</v>
      </c>
      <c r="AP31" s="87">
        <f t="shared" si="25"/>
        <v>0</v>
      </c>
      <c r="AQ31" s="87">
        <f t="shared" si="25"/>
        <v>0</v>
      </c>
      <c r="AR31" s="87">
        <f t="shared" si="25"/>
        <v>0</v>
      </c>
      <c r="AS31" s="87">
        <f t="shared" si="25"/>
        <v>0</v>
      </c>
      <c r="AT31" s="87">
        <f t="shared" si="25"/>
        <v>0</v>
      </c>
      <c r="AU31" s="87">
        <f t="shared" si="25"/>
        <v>0</v>
      </c>
      <c r="AV31" s="87">
        <f t="shared" si="25"/>
        <v>0</v>
      </c>
      <c r="AW31" s="87">
        <f t="shared" si="25"/>
        <v>0</v>
      </c>
      <c r="AX31" s="31"/>
    </row>
    <row r="32" spans="1:50" s="26" customFormat="1" x14ac:dyDescent="0.3">
      <c r="A32" s="31"/>
      <c r="B32" s="56" t="s">
        <v>181</v>
      </c>
      <c r="C32" s="235"/>
      <c r="D32" s="56" t="s">
        <v>157</v>
      </c>
      <c r="E32" s="257"/>
      <c r="F32" s="87">
        <f>IFERROR(SUM(F30:F31),0)</f>
        <v>50593940.157894731</v>
      </c>
      <c r="G32" s="87">
        <f>IFERROR(SUM(G30:G31),0)</f>
        <v>51508758.720430106</v>
      </c>
      <c r="H32" s="87">
        <f>IFERROR(SUM(H30:H31),0)</f>
        <v>54180895.340659335</v>
      </c>
      <c r="I32" s="87">
        <f>IFERROR(SUM(I30:I31),0)</f>
        <v>54180895.340659335</v>
      </c>
      <c r="J32" s="181"/>
      <c r="K32" s="87">
        <f>IFERROR(SUM(K30:K31),0)</f>
        <v>54180895.340659335</v>
      </c>
      <c r="L32" s="87">
        <f>IFERROR(SUM(L30:L31),0)</f>
        <v>52020654.498099901</v>
      </c>
      <c r="M32" s="87">
        <f t="shared" ref="M32:U32" si="26">IFERROR(SUM(M30:M31),0)</f>
        <v>52271696.868131869</v>
      </c>
      <c r="N32" s="87">
        <f>IFERROR(SUM(N30:N31),0)</f>
        <v>38829204.301075265</v>
      </c>
      <c r="O32" s="87">
        <f t="shared" si="26"/>
        <v>38829204.301075265</v>
      </c>
      <c r="P32" s="87">
        <f t="shared" si="26"/>
        <v>38855669.505376346</v>
      </c>
      <c r="Q32" s="87">
        <f t="shared" si="26"/>
        <v>39199765.391304344</v>
      </c>
      <c r="R32" s="87">
        <f t="shared" si="26"/>
        <v>37164950.59793815</v>
      </c>
      <c r="S32" s="87">
        <f t="shared" si="26"/>
        <v>38749309.747370884</v>
      </c>
      <c r="T32" s="87">
        <f t="shared" si="26"/>
        <v>38744415.401744209</v>
      </c>
      <c r="U32" s="87">
        <f t="shared" si="26"/>
        <v>0</v>
      </c>
      <c r="V32" s="87">
        <f t="shared" ref="V32:AW32" si="27">IFERROR(SUM(V30:V31),0)</f>
        <v>0</v>
      </c>
      <c r="W32" s="87">
        <f t="shared" si="27"/>
        <v>0</v>
      </c>
      <c r="X32" s="87">
        <f t="shared" si="27"/>
        <v>0</v>
      </c>
      <c r="Y32" s="87">
        <f t="shared" si="27"/>
        <v>0</v>
      </c>
      <c r="Z32" s="87">
        <f t="shared" si="27"/>
        <v>0</v>
      </c>
      <c r="AA32" s="87">
        <f t="shared" si="27"/>
        <v>0</v>
      </c>
      <c r="AB32" s="87">
        <f t="shared" si="27"/>
        <v>0</v>
      </c>
      <c r="AC32" s="87">
        <f t="shared" si="27"/>
        <v>0</v>
      </c>
      <c r="AD32" s="87">
        <f t="shared" si="27"/>
        <v>0</v>
      </c>
      <c r="AE32" s="87">
        <f t="shared" si="27"/>
        <v>0</v>
      </c>
      <c r="AF32" s="87">
        <f t="shared" si="27"/>
        <v>0</v>
      </c>
      <c r="AG32" s="87">
        <f t="shared" si="27"/>
        <v>0</v>
      </c>
      <c r="AH32" s="87">
        <f t="shared" si="27"/>
        <v>0</v>
      </c>
      <c r="AI32" s="87">
        <f t="shared" si="27"/>
        <v>0</v>
      </c>
      <c r="AJ32" s="87">
        <f t="shared" si="27"/>
        <v>0</v>
      </c>
      <c r="AK32" s="87">
        <f t="shared" si="27"/>
        <v>0</v>
      </c>
      <c r="AL32" s="87">
        <f t="shared" si="27"/>
        <v>0</v>
      </c>
      <c r="AM32" s="87">
        <f t="shared" si="27"/>
        <v>0</v>
      </c>
      <c r="AN32" s="87">
        <f t="shared" si="27"/>
        <v>0</v>
      </c>
      <c r="AO32" s="87">
        <f t="shared" si="27"/>
        <v>0</v>
      </c>
      <c r="AP32" s="87">
        <f t="shared" si="27"/>
        <v>0</v>
      </c>
      <c r="AQ32" s="87">
        <f t="shared" si="27"/>
        <v>0</v>
      </c>
      <c r="AR32" s="87">
        <f t="shared" si="27"/>
        <v>0</v>
      </c>
      <c r="AS32" s="87">
        <f t="shared" si="27"/>
        <v>0</v>
      </c>
      <c r="AT32" s="87">
        <f t="shared" si="27"/>
        <v>0</v>
      </c>
      <c r="AU32" s="87">
        <f t="shared" si="27"/>
        <v>0</v>
      </c>
      <c r="AV32" s="87">
        <f t="shared" si="27"/>
        <v>0</v>
      </c>
      <c r="AW32" s="87">
        <f t="shared" si="27"/>
        <v>0</v>
      </c>
      <c r="AX32" s="31"/>
    </row>
    <row r="33" spans="1:50" s="26" customFormat="1" x14ac:dyDescent="0.3">
      <c r="A33" s="31"/>
      <c r="B33" s="56" t="s">
        <v>182</v>
      </c>
      <c r="C33" s="235"/>
      <c r="D33" s="56" t="s">
        <v>157</v>
      </c>
      <c r="E33" s="257"/>
      <c r="F33" s="107">
        <f t="shared" ref="F33:I34" si="28">IFERROR(F30/F15,0)</f>
        <v>0.9765661704349663</v>
      </c>
      <c r="G33" s="107">
        <f t="shared" si="28"/>
        <v>0.99422403336222409</v>
      </c>
      <c r="H33" s="107">
        <f t="shared" si="28"/>
        <v>1.0458017167360125</v>
      </c>
      <c r="I33" s="107">
        <f t="shared" si="28"/>
        <v>1.0458017167360125</v>
      </c>
      <c r="J33" s="181"/>
      <c r="K33" s="107">
        <f>IFERROR(K30/K15,0)</f>
        <v>1.0458017167360125</v>
      </c>
      <c r="L33" s="107">
        <f t="shared" ref="L33:U33" si="29">IFERROR(L30/L15,0)</f>
        <v>0.99308334451494196</v>
      </c>
      <c r="M33" s="107">
        <f t="shared" si="29"/>
        <v>1.0019685420102336</v>
      </c>
      <c r="N33" s="107">
        <f>IFERROR(N30/N15,0)</f>
        <v>0.73849263586365788</v>
      </c>
      <c r="O33" s="107">
        <f t="shared" si="29"/>
        <v>0.73849263586365788</v>
      </c>
      <c r="P33" s="107">
        <f t="shared" si="29"/>
        <v>0.73579134800364232</v>
      </c>
      <c r="Q33" s="107">
        <f t="shared" si="29"/>
        <v>0.74230732827042012</v>
      </c>
      <c r="R33" s="107">
        <f t="shared" si="29"/>
        <v>0.6999312704421663</v>
      </c>
      <c r="S33" s="107">
        <f t="shared" si="29"/>
        <v>0.73248732532298766</v>
      </c>
      <c r="T33" s="107">
        <f t="shared" si="29"/>
        <v>0.72666378413833999</v>
      </c>
      <c r="U33" s="107">
        <f t="shared" si="29"/>
        <v>0</v>
      </c>
      <c r="V33" s="107">
        <f t="shared" ref="V33:AW33" si="30">IFERROR(V30/V15,0)</f>
        <v>0</v>
      </c>
      <c r="W33" s="107">
        <f t="shared" si="30"/>
        <v>0</v>
      </c>
      <c r="X33" s="107">
        <f t="shared" si="30"/>
        <v>0</v>
      </c>
      <c r="Y33" s="107">
        <f t="shared" si="30"/>
        <v>0</v>
      </c>
      <c r="Z33" s="107">
        <f t="shared" si="30"/>
        <v>0</v>
      </c>
      <c r="AA33" s="107">
        <f t="shared" si="30"/>
        <v>0</v>
      </c>
      <c r="AB33" s="107">
        <f t="shared" si="30"/>
        <v>0</v>
      </c>
      <c r="AC33" s="107">
        <f t="shared" si="30"/>
        <v>0</v>
      </c>
      <c r="AD33" s="107">
        <f t="shared" si="30"/>
        <v>0</v>
      </c>
      <c r="AE33" s="107">
        <f t="shared" si="30"/>
        <v>0</v>
      </c>
      <c r="AF33" s="107">
        <f t="shared" si="30"/>
        <v>0</v>
      </c>
      <c r="AG33" s="107">
        <f t="shared" si="30"/>
        <v>0</v>
      </c>
      <c r="AH33" s="107">
        <f t="shared" si="30"/>
        <v>0</v>
      </c>
      <c r="AI33" s="107">
        <f t="shared" si="30"/>
        <v>0</v>
      </c>
      <c r="AJ33" s="107">
        <f t="shared" si="30"/>
        <v>0</v>
      </c>
      <c r="AK33" s="107">
        <f t="shared" si="30"/>
        <v>0</v>
      </c>
      <c r="AL33" s="107">
        <f t="shared" si="30"/>
        <v>0</v>
      </c>
      <c r="AM33" s="107">
        <f t="shared" si="30"/>
        <v>0</v>
      </c>
      <c r="AN33" s="107">
        <f t="shared" si="30"/>
        <v>0</v>
      </c>
      <c r="AO33" s="107">
        <f t="shared" si="30"/>
        <v>0</v>
      </c>
      <c r="AP33" s="107">
        <f t="shared" si="30"/>
        <v>0</v>
      </c>
      <c r="AQ33" s="107">
        <f t="shared" si="30"/>
        <v>0</v>
      </c>
      <c r="AR33" s="107">
        <f t="shared" si="30"/>
        <v>0</v>
      </c>
      <c r="AS33" s="107">
        <f t="shared" si="30"/>
        <v>0</v>
      </c>
      <c r="AT33" s="107">
        <f t="shared" si="30"/>
        <v>0</v>
      </c>
      <c r="AU33" s="107">
        <f t="shared" si="30"/>
        <v>0</v>
      </c>
      <c r="AV33" s="107">
        <f t="shared" si="30"/>
        <v>0</v>
      </c>
      <c r="AW33" s="107">
        <f t="shared" si="30"/>
        <v>0</v>
      </c>
      <c r="AX33" s="31"/>
    </row>
    <row r="34" spans="1:50" s="26" customFormat="1" x14ac:dyDescent="0.3">
      <c r="A34" s="31"/>
      <c r="B34" s="56" t="s">
        <v>183</v>
      </c>
      <c r="C34" s="210"/>
      <c r="D34" s="56" t="s">
        <v>157</v>
      </c>
      <c r="E34" s="257"/>
      <c r="F34" s="107">
        <f t="shared" si="28"/>
        <v>0.9765661704349663</v>
      </c>
      <c r="G34" s="107">
        <f t="shared" si="28"/>
        <v>0.9942240333622242</v>
      </c>
      <c r="H34" s="107">
        <f t="shared" si="28"/>
        <v>1.0458017167360125</v>
      </c>
      <c r="I34" s="107">
        <f t="shared" si="28"/>
        <v>1.0458017167360125</v>
      </c>
      <c r="J34" s="181"/>
      <c r="K34" s="107">
        <f t="shared" ref="K34:U34" si="31">IFERROR(K31/K16,0)</f>
        <v>1.0458017167360125</v>
      </c>
      <c r="L34" s="107">
        <f t="shared" si="31"/>
        <v>1.0019685420102333</v>
      </c>
      <c r="M34" s="107">
        <f t="shared" si="31"/>
        <v>1.0019685420102333</v>
      </c>
      <c r="N34" s="107">
        <f>IFERROR(N31/N16,0)</f>
        <v>0.73849263586365799</v>
      </c>
      <c r="O34" s="107">
        <f t="shared" si="31"/>
        <v>0.73849263586365799</v>
      </c>
      <c r="P34" s="107">
        <f t="shared" si="31"/>
        <v>0.73579134800364243</v>
      </c>
      <c r="Q34" s="107">
        <f t="shared" si="31"/>
        <v>0.74230732827042023</v>
      </c>
      <c r="R34" s="107">
        <f t="shared" si="31"/>
        <v>0.69993127044216641</v>
      </c>
      <c r="S34" s="107">
        <f t="shared" si="31"/>
        <v>0.72651257157053983</v>
      </c>
      <c r="T34" s="107">
        <f t="shared" si="31"/>
        <v>0.7207878387726655</v>
      </c>
      <c r="U34" s="107">
        <f t="shared" si="31"/>
        <v>0</v>
      </c>
      <c r="V34" s="107">
        <f t="shared" ref="V34:AW34" si="32">IFERROR(V31/V16,0)</f>
        <v>0</v>
      </c>
      <c r="W34" s="107">
        <f t="shared" si="32"/>
        <v>0</v>
      </c>
      <c r="X34" s="107">
        <f t="shared" si="32"/>
        <v>0</v>
      </c>
      <c r="Y34" s="107">
        <f t="shared" si="32"/>
        <v>0</v>
      </c>
      <c r="Z34" s="107">
        <f t="shared" si="32"/>
        <v>0</v>
      </c>
      <c r="AA34" s="107">
        <f t="shared" si="32"/>
        <v>0</v>
      </c>
      <c r="AB34" s="107">
        <f t="shared" si="32"/>
        <v>0</v>
      </c>
      <c r="AC34" s="107">
        <f t="shared" si="32"/>
        <v>0</v>
      </c>
      <c r="AD34" s="107">
        <f t="shared" si="32"/>
        <v>0</v>
      </c>
      <c r="AE34" s="107">
        <f t="shared" si="32"/>
        <v>0</v>
      </c>
      <c r="AF34" s="107">
        <f t="shared" si="32"/>
        <v>0</v>
      </c>
      <c r="AG34" s="107">
        <f t="shared" si="32"/>
        <v>0</v>
      </c>
      <c r="AH34" s="107">
        <f t="shared" si="32"/>
        <v>0</v>
      </c>
      <c r="AI34" s="107">
        <f t="shared" si="32"/>
        <v>0</v>
      </c>
      <c r="AJ34" s="107">
        <f t="shared" si="32"/>
        <v>0</v>
      </c>
      <c r="AK34" s="107">
        <f t="shared" si="32"/>
        <v>0</v>
      </c>
      <c r="AL34" s="107">
        <f t="shared" si="32"/>
        <v>0</v>
      </c>
      <c r="AM34" s="107">
        <f t="shared" si="32"/>
        <v>0</v>
      </c>
      <c r="AN34" s="107">
        <f t="shared" si="32"/>
        <v>0</v>
      </c>
      <c r="AO34" s="107">
        <f t="shared" si="32"/>
        <v>0</v>
      </c>
      <c r="AP34" s="107">
        <f t="shared" si="32"/>
        <v>0</v>
      </c>
      <c r="AQ34" s="107">
        <f t="shared" si="32"/>
        <v>0</v>
      </c>
      <c r="AR34" s="107">
        <f t="shared" si="32"/>
        <v>0</v>
      </c>
      <c r="AS34" s="107">
        <f t="shared" si="32"/>
        <v>0</v>
      </c>
      <c r="AT34" s="107">
        <f t="shared" si="32"/>
        <v>0</v>
      </c>
      <c r="AU34" s="107">
        <f t="shared" si="32"/>
        <v>0</v>
      </c>
      <c r="AV34" s="107">
        <f t="shared" si="32"/>
        <v>0</v>
      </c>
      <c r="AW34" s="107">
        <f t="shared" si="32"/>
        <v>0</v>
      </c>
      <c r="AX34" s="31"/>
    </row>
    <row r="35" spans="1:50" s="26" customFormat="1" x14ac:dyDescent="0.3">
      <c r="A35" s="31"/>
      <c r="B35" s="248" t="s">
        <v>184</v>
      </c>
      <c r="C35" s="249"/>
      <c r="D35" s="249"/>
      <c r="E35" s="249"/>
      <c r="F35" s="249"/>
      <c r="G35" s="249"/>
      <c r="H35" s="249"/>
      <c r="I35" s="249"/>
      <c r="J35" s="249"/>
      <c r="K35" s="249"/>
      <c r="L35" s="249"/>
      <c r="M35" s="249"/>
      <c r="N35" s="249"/>
      <c r="O35" s="249"/>
      <c r="P35" s="249"/>
      <c r="Q35" s="249"/>
      <c r="R35" s="249"/>
      <c r="S35" s="249"/>
      <c r="T35" s="249"/>
      <c r="U35" s="250"/>
      <c r="V35" s="249"/>
      <c r="W35" s="249"/>
      <c r="X35" s="249"/>
      <c r="Y35" s="249"/>
      <c r="Z35" s="249"/>
      <c r="AA35" s="249"/>
      <c r="AB35" s="249"/>
      <c r="AC35" s="249"/>
      <c r="AD35" s="249"/>
      <c r="AE35" s="249"/>
      <c r="AF35" s="249"/>
      <c r="AG35" s="249"/>
      <c r="AH35" s="249"/>
      <c r="AI35" s="249"/>
      <c r="AJ35" s="249"/>
      <c r="AK35" s="249"/>
      <c r="AL35" s="249"/>
      <c r="AM35" s="249"/>
      <c r="AN35" s="249"/>
      <c r="AO35" s="250"/>
      <c r="AP35" s="249"/>
      <c r="AQ35" s="249"/>
      <c r="AR35" s="249"/>
      <c r="AS35" s="249"/>
      <c r="AT35" s="249"/>
      <c r="AU35" s="249"/>
      <c r="AV35" s="249"/>
      <c r="AW35" s="250"/>
      <c r="AX35" s="31"/>
    </row>
    <row r="36" spans="1:50" s="26" customFormat="1" x14ac:dyDescent="0.3">
      <c r="A36" s="31"/>
      <c r="B36" s="56" t="s">
        <v>185</v>
      </c>
      <c r="C36" s="56"/>
      <c r="D36" s="56" t="s">
        <v>157</v>
      </c>
      <c r="E36" s="56"/>
      <c r="F36" s="108">
        <f>F33+F34</f>
        <v>1.9531323408699326</v>
      </c>
      <c r="G36" s="109">
        <f>G33+G34</f>
        <v>1.9884480667244482</v>
      </c>
      <c r="H36" s="109">
        <f>H33+H34</f>
        <v>2.091603433472025</v>
      </c>
      <c r="I36" s="109">
        <f>I33+I34</f>
        <v>2.091603433472025</v>
      </c>
      <c r="J36" s="183"/>
      <c r="K36" s="109">
        <f>K33+K34</f>
        <v>2.091603433472025</v>
      </c>
      <c r="L36" s="109">
        <f>L33+L34</f>
        <v>1.9950518865251752</v>
      </c>
      <c r="M36" s="109">
        <f t="shared" ref="M36:AW36" si="33">M33+M34</f>
        <v>2.0039370840204667</v>
      </c>
      <c r="N36" s="109">
        <f>N33+N34</f>
        <v>1.4769852717273158</v>
      </c>
      <c r="O36" s="109">
        <f t="shared" si="33"/>
        <v>1.4769852717273158</v>
      </c>
      <c r="P36" s="109">
        <f t="shared" si="33"/>
        <v>1.4715826960072849</v>
      </c>
      <c r="Q36" s="109">
        <f t="shared" si="33"/>
        <v>1.4846146565408405</v>
      </c>
      <c r="R36" s="109">
        <f t="shared" si="33"/>
        <v>1.3998625408843326</v>
      </c>
      <c r="S36" s="109">
        <f t="shared" si="33"/>
        <v>1.4589998968935274</v>
      </c>
      <c r="T36" s="109">
        <f t="shared" si="33"/>
        <v>1.4474516229110055</v>
      </c>
      <c r="U36" s="109">
        <f t="shared" si="33"/>
        <v>0</v>
      </c>
      <c r="V36" s="109">
        <f t="shared" si="33"/>
        <v>0</v>
      </c>
      <c r="W36" s="109">
        <f t="shared" si="33"/>
        <v>0</v>
      </c>
      <c r="X36" s="109">
        <f t="shared" si="33"/>
        <v>0</v>
      </c>
      <c r="Y36" s="109">
        <f t="shared" si="33"/>
        <v>0</v>
      </c>
      <c r="Z36" s="109">
        <f t="shared" si="33"/>
        <v>0</v>
      </c>
      <c r="AA36" s="109">
        <f t="shared" si="33"/>
        <v>0</v>
      </c>
      <c r="AB36" s="109">
        <f t="shared" si="33"/>
        <v>0</v>
      </c>
      <c r="AC36" s="109">
        <f t="shared" si="33"/>
        <v>0</v>
      </c>
      <c r="AD36" s="109">
        <f t="shared" si="33"/>
        <v>0</v>
      </c>
      <c r="AE36" s="109">
        <f t="shared" si="33"/>
        <v>0</v>
      </c>
      <c r="AF36" s="109">
        <f t="shared" si="33"/>
        <v>0</v>
      </c>
      <c r="AG36" s="109">
        <f t="shared" si="33"/>
        <v>0</v>
      </c>
      <c r="AH36" s="109">
        <f t="shared" si="33"/>
        <v>0</v>
      </c>
      <c r="AI36" s="109">
        <f t="shared" si="33"/>
        <v>0</v>
      </c>
      <c r="AJ36" s="109">
        <f t="shared" si="33"/>
        <v>0</v>
      </c>
      <c r="AK36" s="109">
        <f t="shared" si="33"/>
        <v>0</v>
      </c>
      <c r="AL36" s="109">
        <f t="shared" si="33"/>
        <v>0</v>
      </c>
      <c r="AM36" s="109">
        <f t="shared" si="33"/>
        <v>0</v>
      </c>
      <c r="AN36" s="109">
        <f t="shared" si="33"/>
        <v>0</v>
      </c>
      <c r="AO36" s="109">
        <f t="shared" si="33"/>
        <v>0</v>
      </c>
      <c r="AP36" s="109">
        <f t="shared" si="33"/>
        <v>0</v>
      </c>
      <c r="AQ36" s="109">
        <f t="shared" si="33"/>
        <v>0</v>
      </c>
      <c r="AR36" s="109">
        <f t="shared" si="33"/>
        <v>0</v>
      </c>
      <c r="AS36" s="109">
        <f t="shared" si="33"/>
        <v>0</v>
      </c>
      <c r="AT36" s="109">
        <f t="shared" si="33"/>
        <v>0</v>
      </c>
      <c r="AU36" s="109">
        <f t="shared" si="33"/>
        <v>0</v>
      </c>
      <c r="AV36" s="109">
        <f t="shared" si="33"/>
        <v>0</v>
      </c>
      <c r="AW36" s="109">
        <f t="shared" si="33"/>
        <v>0</v>
      </c>
      <c r="AX36" s="31"/>
    </row>
    <row r="37" spans="1:50" s="31" customFormat="1" x14ac:dyDescent="0.3">
      <c r="B37" s="62"/>
      <c r="C37" s="62"/>
      <c r="D37" s="62"/>
      <c r="E37" s="62"/>
      <c r="F37" s="62"/>
      <c r="G37" s="62"/>
      <c r="H37" s="62"/>
      <c r="I37" s="62"/>
      <c r="J37" s="62"/>
      <c r="K37" s="175"/>
      <c r="L37" s="62"/>
      <c r="M37" s="62"/>
      <c r="N37" s="62"/>
      <c r="O37" s="62"/>
      <c r="P37" s="62"/>
      <c r="Q37" s="62"/>
      <c r="R37" s="62"/>
      <c r="S37" s="62"/>
      <c r="T37" s="62"/>
      <c r="U37" s="62"/>
    </row>
    <row r="38" spans="1:50" s="31" customFormat="1" x14ac:dyDescent="0.3">
      <c r="B38" s="62"/>
      <c r="C38" s="62"/>
      <c r="D38" s="62"/>
      <c r="E38" s="62"/>
      <c r="F38" s="62"/>
      <c r="G38" s="62"/>
      <c r="H38" s="62"/>
      <c r="I38" s="62"/>
      <c r="J38" s="62"/>
      <c r="K38" s="62"/>
      <c r="L38" s="62"/>
      <c r="M38" s="62"/>
      <c r="N38" s="62"/>
      <c r="O38" s="62"/>
      <c r="P38" s="62"/>
      <c r="Q38" s="62"/>
      <c r="R38" s="62"/>
      <c r="S38" s="62"/>
      <c r="T38" s="62"/>
      <c r="U38" s="62"/>
    </row>
    <row r="39" spans="1:50" s="31" customFormat="1" x14ac:dyDescent="0.3">
      <c r="B39" s="62" t="s">
        <v>186</v>
      </c>
      <c r="C39" s="62"/>
      <c r="D39" s="62"/>
      <c r="E39" s="62"/>
      <c r="F39" s="62"/>
      <c r="G39" s="62"/>
      <c r="H39" s="62"/>
      <c r="I39" s="62"/>
      <c r="J39" s="62"/>
      <c r="K39" s="62"/>
      <c r="L39" s="62"/>
      <c r="M39" s="62"/>
      <c r="N39" s="62"/>
      <c r="O39" s="62"/>
      <c r="P39" s="62"/>
      <c r="Q39" s="62"/>
      <c r="R39" s="62"/>
      <c r="S39" s="62"/>
      <c r="T39" s="62"/>
      <c r="U39" s="62"/>
    </row>
    <row r="40" spans="1:50" s="31" customFormat="1" x14ac:dyDescent="0.3">
      <c r="B40" s="245" t="s">
        <v>187</v>
      </c>
      <c r="C40" s="245"/>
      <c r="D40" s="245"/>
      <c r="E40" s="245"/>
      <c r="F40" s="62"/>
      <c r="G40" s="62"/>
      <c r="H40" s="62"/>
      <c r="I40" s="62"/>
      <c r="J40" s="62"/>
      <c r="K40" s="62"/>
      <c r="L40" s="62"/>
      <c r="M40" s="62"/>
      <c r="N40" s="62"/>
      <c r="O40" s="62"/>
      <c r="P40" s="62"/>
      <c r="Q40" s="62"/>
      <c r="R40" s="62"/>
      <c r="S40" s="62"/>
      <c r="T40" s="62"/>
      <c r="U40" s="62"/>
    </row>
    <row r="41" spans="1:50" s="31" customFormat="1" ht="14.25" customHeight="1" x14ac:dyDescent="0.3">
      <c r="B41" s="245" t="s">
        <v>188</v>
      </c>
      <c r="C41" s="245"/>
      <c r="D41" s="245"/>
      <c r="E41" s="245"/>
      <c r="F41" s="62"/>
      <c r="G41" s="62"/>
      <c r="H41" s="62"/>
      <c r="I41" s="62"/>
      <c r="J41" s="62"/>
      <c r="K41" s="62"/>
      <c r="L41" s="62"/>
      <c r="M41" s="62"/>
      <c r="N41" s="62"/>
      <c r="O41" s="62"/>
      <c r="P41" s="62"/>
      <c r="Q41" s="62"/>
      <c r="R41" s="62"/>
      <c r="S41" s="62"/>
      <c r="T41" s="62"/>
      <c r="U41" s="62"/>
    </row>
    <row r="42" spans="1:50" s="31" customFormat="1" ht="16.5" customHeight="1" x14ac:dyDescent="0.3">
      <c r="B42" s="245" t="s">
        <v>189</v>
      </c>
      <c r="C42" s="245"/>
      <c r="D42" s="245"/>
      <c r="E42" s="245"/>
      <c r="F42" s="62"/>
      <c r="G42" s="62"/>
      <c r="H42" s="62"/>
      <c r="I42" s="62"/>
      <c r="J42" s="62"/>
      <c r="K42" s="62"/>
      <c r="L42" s="62"/>
      <c r="M42" s="62"/>
      <c r="N42" s="62"/>
      <c r="O42" s="62"/>
      <c r="P42" s="62"/>
      <c r="Q42" s="62"/>
      <c r="R42" s="62"/>
      <c r="S42" s="62"/>
      <c r="T42" s="62"/>
      <c r="U42" s="62"/>
    </row>
    <row r="43" spans="1:50" s="31" customFormat="1" ht="45" customHeight="1" x14ac:dyDescent="0.3">
      <c r="B43" s="245" t="s">
        <v>190</v>
      </c>
      <c r="C43" s="245"/>
      <c r="D43" s="245"/>
      <c r="E43" s="245"/>
      <c r="F43" s="62"/>
      <c r="G43" s="62"/>
      <c r="H43" s="62"/>
      <c r="I43" s="62"/>
      <c r="J43" s="62"/>
      <c r="K43" s="62"/>
      <c r="L43" s="62"/>
      <c r="M43" s="62"/>
      <c r="N43" s="62"/>
      <c r="O43" s="62"/>
      <c r="P43" s="62"/>
      <c r="Q43" s="62"/>
      <c r="R43" s="62"/>
      <c r="S43" s="62"/>
      <c r="T43" s="62"/>
      <c r="U43" s="62"/>
    </row>
    <row r="44" spans="1:50" s="31" customFormat="1" ht="54" customHeight="1" x14ac:dyDescent="0.3">
      <c r="B44" s="62"/>
      <c r="C44" s="62"/>
      <c r="D44" s="62"/>
      <c r="E44" s="62"/>
      <c r="F44" s="62"/>
      <c r="G44" s="62"/>
      <c r="H44" s="62"/>
      <c r="I44" s="62"/>
      <c r="J44" s="62"/>
      <c r="K44" s="62"/>
      <c r="L44" s="62"/>
      <c r="M44" s="62"/>
      <c r="N44" s="62"/>
      <c r="O44" s="62"/>
      <c r="P44" s="62"/>
      <c r="Q44" s="62"/>
      <c r="R44" s="62"/>
      <c r="S44" s="62"/>
      <c r="T44" s="62"/>
      <c r="U44" s="62"/>
    </row>
    <row r="45" spans="1:50" s="31" customFormat="1" x14ac:dyDescent="0.3">
      <c r="B45" s="62"/>
      <c r="C45" s="62"/>
      <c r="D45" s="62"/>
      <c r="E45" s="62"/>
      <c r="F45" s="62"/>
      <c r="G45" s="62"/>
      <c r="H45" s="62"/>
      <c r="I45" s="62"/>
      <c r="J45" s="62"/>
      <c r="K45" s="62"/>
      <c r="L45" s="62"/>
      <c r="M45" s="62"/>
      <c r="N45" s="62"/>
      <c r="O45" s="62"/>
      <c r="P45" s="62"/>
      <c r="Q45" s="62"/>
      <c r="R45" s="62"/>
      <c r="S45" s="62"/>
      <c r="T45" s="62"/>
      <c r="U45" s="62"/>
    </row>
    <row r="46" spans="1:50" s="31" customFormat="1" x14ac:dyDescent="0.3">
      <c r="B46" s="62"/>
      <c r="C46" s="62"/>
      <c r="D46" s="62"/>
      <c r="E46" s="62"/>
      <c r="F46" s="62"/>
      <c r="G46" s="62"/>
      <c r="H46" s="62"/>
      <c r="I46" s="62"/>
      <c r="J46" s="62"/>
      <c r="K46" s="62"/>
      <c r="L46" s="62"/>
      <c r="M46" s="62"/>
      <c r="N46" s="62"/>
      <c r="O46" s="62"/>
      <c r="P46" s="62"/>
      <c r="Q46" s="62"/>
      <c r="R46" s="62"/>
      <c r="S46" s="62"/>
      <c r="T46" s="62"/>
      <c r="U46" s="62"/>
    </row>
    <row r="47" spans="1:50" s="169" customFormat="1" x14ac:dyDescent="0.25"/>
    <row r="48" spans="1:50" s="169" customFormat="1" x14ac:dyDescent="0.25"/>
    <row r="49" s="169" customFormat="1" x14ac:dyDescent="0.25"/>
    <row r="50" s="169" customFormat="1" x14ac:dyDescent="0.25"/>
    <row r="51" s="169" customFormat="1" x14ac:dyDescent="0.25"/>
    <row r="52" s="169" customFormat="1" x14ac:dyDescent="0.25"/>
    <row r="53" s="169" customFormat="1" x14ac:dyDescent="0.25"/>
    <row r="54" s="169" customFormat="1" x14ac:dyDescent="0.25"/>
    <row r="55" s="169" customFormat="1" x14ac:dyDescent="0.25"/>
    <row r="56" s="169" customFormat="1" x14ac:dyDescent="0.25"/>
    <row r="57" s="169" customFormat="1" x14ac:dyDescent="0.25"/>
  </sheetData>
  <mergeCells count="24">
    <mergeCell ref="AP19:AW19"/>
    <mergeCell ref="K6:AW6"/>
    <mergeCell ref="K7:AW7"/>
    <mergeCell ref="B43:E43"/>
    <mergeCell ref="B41:E41"/>
    <mergeCell ref="B42:E42"/>
    <mergeCell ref="E22:E34"/>
    <mergeCell ref="B35:U35"/>
    <mergeCell ref="C20:C34"/>
    <mergeCell ref="F6:I6"/>
    <mergeCell ref="F7:I7"/>
    <mergeCell ref="V11:AO11"/>
    <mergeCell ref="AP11:AW11"/>
    <mergeCell ref="V35:AO35"/>
    <mergeCell ref="AP35:AW35"/>
    <mergeCell ref="V19:AO19"/>
    <mergeCell ref="B3:L3"/>
    <mergeCell ref="B40:E40"/>
    <mergeCell ref="B6:B10"/>
    <mergeCell ref="C6:C10"/>
    <mergeCell ref="D6:D10"/>
    <mergeCell ref="E6:E7"/>
    <mergeCell ref="B11:U11"/>
    <mergeCell ref="B19:U19"/>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pageSetUpPr autoPageBreaks="0"/>
  </sheetPr>
  <dimension ref="A1:AX67"/>
  <sheetViews>
    <sheetView topLeftCell="B1" zoomScale="70" zoomScaleNormal="70" workbookViewId="0">
      <selection activeCell="AW57" sqref="AW57"/>
    </sheetView>
  </sheetViews>
  <sheetFormatPr defaultColWidth="0" defaultRowHeight="13.5" zeroHeight="1" x14ac:dyDescent="0.25"/>
  <cols>
    <col min="1" max="1" width="9" style="24" customWidth="1"/>
    <col min="2" max="2" width="48.08984375" style="24" bestFit="1" customWidth="1"/>
    <col min="3" max="3" width="32.90625" style="24" customWidth="1"/>
    <col min="4" max="4" width="11.54296875" style="24" bestFit="1" customWidth="1"/>
    <col min="5" max="5" width="29.54296875" style="24" bestFit="1" customWidth="1"/>
    <col min="6" max="9" width="19.54296875" style="24" customWidth="1"/>
    <col min="10" max="10" width="1.08984375" style="24" customWidth="1"/>
    <col min="11" max="49" width="18.90625" style="24" customWidth="1"/>
    <col min="50" max="50" width="9" style="24" customWidth="1"/>
    <col min="51" max="16384" width="9" style="24" hidden="1"/>
  </cols>
  <sheetData>
    <row r="1" spans="1:50" s="22" customFormat="1" ht="12.75" customHeight="1" x14ac:dyDescent="0.25"/>
    <row r="2" spans="1:50" s="22" customFormat="1" ht="18.75" customHeight="1" x14ac:dyDescent="0.35">
      <c r="B2" s="5" t="s">
        <v>191</v>
      </c>
      <c r="C2" s="5"/>
      <c r="D2" s="5"/>
      <c r="E2" s="5"/>
      <c r="F2" s="5"/>
      <c r="G2" s="5"/>
      <c r="H2" s="5"/>
      <c r="I2" s="5"/>
      <c r="J2" s="5"/>
    </row>
    <row r="3" spans="1:50" s="22" customFormat="1" ht="14.25" customHeight="1" x14ac:dyDescent="0.3">
      <c r="B3" s="73" t="s">
        <v>192</v>
      </c>
      <c r="C3" s="32"/>
      <c r="D3" s="32"/>
      <c r="E3" s="32"/>
      <c r="F3" s="32"/>
      <c r="G3" s="32"/>
      <c r="H3" s="32"/>
      <c r="I3" s="32"/>
      <c r="J3" s="32"/>
      <c r="K3" s="32"/>
      <c r="L3" s="32"/>
      <c r="V3" s="23"/>
      <c r="W3" s="23"/>
      <c r="X3" s="23"/>
      <c r="Y3" s="23"/>
      <c r="Z3" s="23"/>
      <c r="AA3" s="23"/>
    </row>
    <row r="4" spans="1:50" s="22" customFormat="1" ht="12.75" customHeight="1" x14ac:dyDescent="0.25"/>
    <row r="5" spans="1:50" s="169" customFormat="1" x14ac:dyDescent="0.25"/>
    <row r="6" spans="1:50" s="26" customFormat="1" ht="16.5" customHeight="1" x14ac:dyDescent="0.3">
      <c r="A6" s="31"/>
      <c r="B6" s="243" t="s">
        <v>29</v>
      </c>
      <c r="C6" s="243" t="s">
        <v>151</v>
      </c>
      <c r="D6" s="243" t="s">
        <v>74</v>
      </c>
      <c r="E6" s="247"/>
      <c r="F6" s="212" t="s">
        <v>75</v>
      </c>
      <c r="G6" s="213"/>
      <c r="H6" s="213"/>
      <c r="I6" s="214"/>
      <c r="J6" s="180"/>
      <c r="K6" s="251" t="s">
        <v>76</v>
      </c>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3"/>
      <c r="AX6" s="31"/>
    </row>
    <row r="7" spans="1:50" s="26" customFormat="1" ht="31.5" customHeight="1" x14ac:dyDescent="0.3">
      <c r="A7" s="31"/>
      <c r="B7" s="246"/>
      <c r="C7" s="246"/>
      <c r="D7" s="246"/>
      <c r="E7" s="247"/>
      <c r="F7" s="258" t="s">
        <v>152</v>
      </c>
      <c r="G7" s="259"/>
      <c r="H7" s="259"/>
      <c r="I7" s="260"/>
      <c r="J7" s="181"/>
      <c r="K7" s="254" t="s">
        <v>78</v>
      </c>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6"/>
      <c r="AX7" s="31"/>
    </row>
    <row r="8" spans="1:50" s="26" customFormat="1" ht="27" x14ac:dyDescent="0.3">
      <c r="A8" s="31"/>
      <c r="B8" s="246"/>
      <c r="C8" s="246"/>
      <c r="D8" s="246"/>
      <c r="E8" s="96" t="s">
        <v>153</v>
      </c>
      <c r="F8" s="76" t="s">
        <v>80</v>
      </c>
      <c r="G8" s="76" t="s">
        <v>81</v>
      </c>
      <c r="H8" s="76" t="s">
        <v>82</v>
      </c>
      <c r="I8" s="76" t="s">
        <v>83</v>
      </c>
      <c r="J8" s="181"/>
      <c r="K8" s="76" t="s">
        <v>84</v>
      </c>
      <c r="L8" s="76" t="s">
        <v>85</v>
      </c>
      <c r="M8" s="76" t="s">
        <v>86</v>
      </c>
      <c r="N8" s="76" t="s">
        <v>87</v>
      </c>
      <c r="O8" s="76" t="s">
        <v>88</v>
      </c>
      <c r="P8" s="76" t="s">
        <v>89</v>
      </c>
      <c r="Q8" s="76" t="s">
        <v>90</v>
      </c>
      <c r="R8" s="76" t="s">
        <v>91</v>
      </c>
      <c r="S8" s="76" t="s">
        <v>92</v>
      </c>
      <c r="T8" s="76" t="s">
        <v>93</v>
      </c>
      <c r="U8" s="76" t="s">
        <v>94</v>
      </c>
      <c r="V8" s="76" t="s">
        <v>597</v>
      </c>
      <c r="W8" s="76" t="s">
        <v>598</v>
      </c>
      <c r="X8" s="76" t="s">
        <v>599</v>
      </c>
      <c r="Y8" s="76" t="s">
        <v>600</v>
      </c>
      <c r="Z8" s="76" t="s">
        <v>632</v>
      </c>
      <c r="AA8" s="76" t="s">
        <v>602</v>
      </c>
      <c r="AB8" s="76" t="s">
        <v>603</v>
      </c>
      <c r="AC8" s="76" t="s">
        <v>604</v>
      </c>
      <c r="AD8" s="76" t="s">
        <v>605</v>
      </c>
      <c r="AE8" s="76" t="s">
        <v>606</v>
      </c>
      <c r="AF8" s="76" t="s">
        <v>607</v>
      </c>
      <c r="AG8" s="76" t="s">
        <v>608</v>
      </c>
      <c r="AH8" s="76" t="s">
        <v>609</v>
      </c>
      <c r="AI8" s="76" t="s">
        <v>611</v>
      </c>
      <c r="AJ8" s="76" t="s">
        <v>612</v>
      </c>
      <c r="AK8" s="76" t="s">
        <v>613</v>
      </c>
      <c r="AL8" s="76" t="s">
        <v>614</v>
      </c>
      <c r="AM8" s="76" t="s">
        <v>610</v>
      </c>
      <c r="AN8" s="76" t="s">
        <v>615</v>
      </c>
      <c r="AO8" s="76" t="s">
        <v>616</v>
      </c>
      <c r="AP8" s="76" t="s">
        <v>617</v>
      </c>
      <c r="AQ8" s="76" t="s">
        <v>618</v>
      </c>
      <c r="AR8" s="76" t="s">
        <v>619</v>
      </c>
      <c r="AS8" s="76" t="s">
        <v>620</v>
      </c>
      <c r="AT8" s="76" t="s">
        <v>621</v>
      </c>
      <c r="AU8" s="76" t="s">
        <v>622</v>
      </c>
      <c r="AV8" s="76" t="s">
        <v>623</v>
      </c>
      <c r="AW8" s="76" t="s">
        <v>624</v>
      </c>
      <c r="AX8" s="31"/>
    </row>
    <row r="9" spans="1:50" s="26" customFormat="1" x14ac:dyDescent="0.3">
      <c r="A9" s="31"/>
      <c r="B9" s="246"/>
      <c r="C9" s="246"/>
      <c r="D9" s="246"/>
      <c r="E9" s="97" t="s">
        <v>95</v>
      </c>
      <c r="F9" s="78" t="s">
        <v>96</v>
      </c>
      <c r="G9" s="78" t="s">
        <v>97</v>
      </c>
      <c r="H9" s="78" t="s">
        <v>98</v>
      </c>
      <c r="I9" s="79" t="s">
        <v>99</v>
      </c>
      <c r="J9" s="181"/>
      <c r="K9" s="80" t="s">
        <v>100</v>
      </c>
      <c r="L9" s="78" t="s">
        <v>101</v>
      </c>
      <c r="M9" s="78" t="s">
        <v>102</v>
      </c>
      <c r="N9" s="78" t="s">
        <v>103</v>
      </c>
      <c r="O9" s="78" t="s">
        <v>104</v>
      </c>
      <c r="P9" s="78" t="s">
        <v>105</v>
      </c>
      <c r="Q9" s="78" t="s">
        <v>106</v>
      </c>
      <c r="R9" s="78">
        <v>44593</v>
      </c>
      <c r="S9" s="78" t="s">
        <v>108</v>
      </c>
      <c r="T9" s="78" t="s">
        <v>109</v>
      </c>
      <c r="U9" s="78" t="s">
        <v>110</v>
      </c>
      <c r="V9" s="78" t="s">
        <v>110</v>
      </c>
      <c r="W9" s="78" t="s">
        <v>625</v>
      </c>
      <c r="X9" s="78" t="s">
        <v>625</v>
      </c>
      <c r="Y9" s="78" t="s">
        <v>590</v>
      </c>
      <c r="Z9" s="78" t="s">
        <v>590</v>
      </c>
      <c r="AA9" s="78" t="s">
        <v>626</v>
      </c>
      <c r="AB9" s="78" t="s">
        <v>626</v>
      </c>
      <c r="AC9" s="78" t="s">
        <v>591</v>
      </c>
      <c r="AD9" s="78" t="s">
        <v>591</v>
      </c>
      <c r="AE9" s="78" t="s">
        <v>627</v>
      </c>
      <c r="AF9" s="78" t="s">
        <v>627</v>
      </c>
      <c r="AG9" s="78" t="s">
        <v>592</v>
      </c>
      <c r="AH9" s="78" t="s">
        <v>592</v>
      </c>
      <c r="AI9" s="78" t="s">
        <v>628</v>
      </c>
      <c r="AJ9" s="78" t="s">
        <v>628</v>
      </c>
      <c r="AK9" s="78" t="s">
        <v>593</v>
      </c>
      <c r="AL9" s="78" t="s">
        <v>593</v>
      </c>
      <c r="AM9" s="78" t="s">
        <v>629</v>
      </c>
      <c r="AN9" s="78" t="s">
        <v>629</v>
      </c>
      <c r="AO9" s="78" t="s">
        <v>594</v>
      </c>
      <c r="AP9" s="78" t="s">
        <v>594</v>
      </c>
      <c r="AQ9" s="78" t="s">
        <v>630</v>
      </c>
      <c r="AR9" s="78" t="s">
        <v>630</v>
      </c>
      <c r="AS9" s="78" t="s">
        <v>595</v>
      </c>
      <c r="AT9" s="78" t="s">
        <v>595</v>
      </c>
      <c r="AU9" s="78" t="s">
        <v>631</v>
      </c>
      <c r="AV9" s="78" t="s">
        <v>631</v>
      </c>
      <c r="AW9" s="78" t="s">
        <v>596</v>
      </c>
      <c r="AX9" s="31"/>
    </row>
    <row r="10" spans="1:50" s="26" customFormat="1" ht="15" customHeight="1" x14ac:dyDescent="0.3">
      <c r="A10" s="31"/>
      <c r="B10" s="244"/>
      <c r="C10" s="244"/>
      <c r="D10" s="244"/>
      <c r="E10" s="97" t="s">
        <v>111</v>
      </c>
      <c r="F10" s="81" t="s">
        <v>112</v>
      </c>
      <c r="G10" s="78" t="s">
        <v>112</v>
      </c>
      <c r="H10" s="78" t="s">
        <v>113</v>
      </c>
      <c r="I10" s="78" t="s">
        <v>113</v>
      </c>
      <c r="J10" s="181"/>
      <c r="K10" s="78" t="s">
        <v>114</v>
      </c>
      <c r="L10" s="78" t="s">
        <v>115</v>
      </c>
      <c r="M10" s="78" t="s">
        <v>115</v>
      </c>
      <c r="N10" s="78" t="s">
        <v>116</v>
      </c>
      <c r="O10" s="78" t="s">
        <v>116</v>
      </c>
      <c r="P10" s="78" t="s">
        <v>117</v>
      </c>
      <c r="Q10" s="78" t="s">
        <v>117</v>
      </c>
      <c r="R10" s="78" t="s">
        <v>118</v>
      </c>
      <c r="S10" s="78" t="s">
        <v>118</v>
      </c>
      <c r="T10" s="78" t="s">
        <v>119</v>
      </c>
      <c r="U10" s="78" t="s">
        <v>119</v>
      </c>
      <c r="V10" s="78" t="s">
        <v>119</v>
      </c>
      <c r="W10" s="78" t="s">
        <v>647</v>
      </c>
      <c r="X10" s="78" t="s">
        <v>647</v>
      </c>
      <c r="Y10" s="78" t="s">
        <v>647</v>
      </c>
      <c r="Z10" s="78" t="s">
        <v>647</v>
      </c>
      <c r="AA10" s="78" t="s">
        <v>648</v>
      </c>
      <c r="AB10" s="78" t="s">
        <v>648</v>
      </c>
      <c r="AC10" s="78" t="s">
        <v>648</v>
      </c>
      <c r="AD10" s="78" t="s">
        <v>648</v>
      </c>
      <c r="AE10" s="78" t="s">
        <v>649</v>
      </c>
      <c r="AF10" s="78" t="s">
        <v>649</v>
      </c>
      <c r="AG10" s="78" t="s">
        <v>649</v>
      </c>
      <c r="AH10" s="78" t="s">
        <v>649</v>
      </c>
      <c r="AI10" s="78" t="s">
        <v>650</v>
      </c>
      <c r="AJ10" s="78" t="s">
        <v>650</v>
      </c>
      <c r="AK10" s="78" t="s">
        <v>650</v>
      </c>
      <c r="AL10" s="78" t="s">
        <v>650</v>
      </c>
      <c r="AM10" s="78" t="s">
        <v>651</v>
      </c>
      <c r="AN10" s="78" t="s">
        <v>651</v>
      </c>
      <c r="AO10" s="78" t="s">
        <v>651</v>
      </c>
      <c r="AP10" s="78" t="s">
        <v>651</v>
      </c>
      <c r="AQ10" s="78" t="s">
        <v>652</v>
      </c>
      <c r="AR10" s="78" t="s">
        <v>652</v>
      </c>
      <c r="AS10" s="78" t="s">
        <v>652</v>
      </c>
      <c r="AT10" s="78" t="s">
        <v>652</v>
      </c>
      <c r="AU10" s="78" t="s">
        <v>653</v>
      </c>
      <c r="AV10" s="78" t="s">
        <v>653</v>
      </c>
      <c r="AW10" s="78" t="s">
        <v>653</v>
      </c>
      <c r="AX10" s="31"/>
    </row>
    <row r="11" spans="1:50" s="26" customFormat="1" x14ac:dyDescent="0.3">
      <c r="A11" s="31"/>
      <c r="B11" s="248" t="s">
        <v>154</v>
      </c>
      <c r="C11" s="249"/>
      <c r="D11" s="249"/>
      <c r="E11" s="249"/>
      <c r="F11" s="249"/>
      <c r="G11" s="249"/>
      <c r="H11" s="249"/>
      <c r="I11" s="249"/>
      <c r="J11" s="249"/>
      <c r="K11" s="249"/>
      <c r="L11" s="249"/>
      <c r="M11" s="249"/>
      <c r="N11" s="249"/>
      <c r="O11" s="249"/>
      <c r="P11" s="249"/>
      <c r="Q11" s="249"/>
      <c r="R11" s="249"/>
      <c r="S11" s="249"/>
      <c r="T11" s="249"/>
      <c r="U11" s="250"/>
      <c r="V11" s="249"/>
      <c r="W11" s="249"/>
      <c r="X11" s="249"/>
      <c r="Y11" s="249"/>
      <c r="Z11" s="249"/>
      <c r="AA11" s="249"/>
      <c r="AB11" s="249"/>
      <c r="AC11" s="249"/>
      <c r="AD11" s="249"/>
      <c r="AE11" s="249"/>
      <c r="AF11" s="249"/>
      <c r="AG11" s="249"/>
      <c r="AH11" s="249"/>
      <c r="AI11" s="249"/>
      <c r="AJ11" s="249"/>
      <c r="AK11" s="249"/>
      <c r="AL11" s="249"/>
      <c r="AM11" s="249"/>
      <c r="AN11" s="249"/>
      <c r="AO11" s="250"/>
      <c r="AP11" s="249"/>
      <c r="AQ11" s="249"/>
      <c r="AR11" s="249"/>
      <c r="AS11" s="249"/>
      <c r="AT11" s="249"/>
      <c r="AU11" s="249"/>
      <c r="AV11" s="249"/>
      <c r="AW11" s="250"/>
      <c r="AX11" s="31"/>
    </row>
    <row r="12" spans="1:50" s="26" customFormat="1" x14ac:dyDescent="0.3">
      <c r="A12" s="31"/>
      <c r="B12" s="56" t="s">
        <v>160</v>
      </c>
      <c r="C12" s="56" t="s">
        <v>161</v>
      </c>
      <c r="D12" s="56" t="s">
        <v>162</v>
      </c>
      <c r="E12" s="209"/>
      <c r="F12" s="100">
        <v>28094000</v>
      </c>
      <c r="G12" s="100">
        <v>28094000</v>
      </c>
      <c r="H12" s="100">
        <v>28094000</v>
      </c>
      <c r="I12" s="100">
        <v>28094000</v>
      </c>
      <c r="J12" s="181"/>
      <c r="K12" s="100">
        <v>28094000</v>
      </c>
      <c r="L12" s="100">
        <v>28254000</v>
      </c>
      <c r="M12" s="100">
        <v>28254000</v>
      </c>
      <c r="N12" s="100">
        <v>28402000</v>
      </c>
      <c r="O12" s="100">
        <v>28402000</v>
      </c>
      <c r="P12" s="100">
        <v>28712000</v>
      </c>
      <c r="Q12" s="100">
        <v>28712000</v>
      </c>
      <c r="R12" s="100">
        <v>28946000</v>
      </c>
      <c r="S12" s="147">
        <v>28946000</v>
      </c>
      <c r="T12" s="100">
        <v>29179000</v>
      </c>
      <c r="U12" s="147"/>
      <c r="V12" s="100"/>
      <c r="W12" s="147"/>
      <c r="X12" s="100"/>
      <c r="Y12" s="147"/>
      <c r="Z12" s="100"/>
      <c r="AA12" s="147"/>
      <c r="AB12" s="100"/>
      <c r="AC12" s="147"/>
      <c r="AD12" s="100"/>
      <c r="AE12" s="147"/>
      <c r="AF12" s="100"/>
      <c r="AG12" s="147"/>
      <c r="AH12" s="100"/>
      <c r="AI12" s="147"/>
      <c r="AJ12" s="100"/>
      <c r="AK12" s="147"/>
      <c r="AL12" s="100"/>
      <c r="AM12" s="147"/>
      <c r="AN12" s="100"/>
      <c r="AO12" s="147"/>
      <c r="AP12" s="100"/>
      <c r="AQ12" s="147"/>
      <c r="AR12" s="100"/>
      <c r="AS12" s="147"/>
      <c r="AT12" s="100"/>
      <c r="AU12" s="147"/>
      <c r="AV12" s="100"/>
      <c r="AW12" s="147"/>
      <c r="AX12" s="31"/>
    </row>
    <row r="13" spans="1:50" s="26" customFormat="1" x14ac:dyDescent="0.3">
      <c r="A13" s="31"/>
      <c r="B13" s="56" t="s">
        <v>163</v>
      </c>
      <c r="C13" s="56" t="s">
        <v>161</v>
      </c>
      <c r="D13" s="56" t="s">
        <v>162</v>
      </c>
      <c r="E13" s="235"/>
      <c r="F13" s="100">
        <v>23714000</v>
      </c>
      <c r="G13" s="100">
        <v>23714000</v>
      </c>
      <c r="H13" s="100">
        <v>23714000</v>
      </c>
      <c r="I13" s="100">
        <v>23714000</v>
      </c>
      <c r="J13" s="181"/>
      <c r="K13" s="100">
        <v>23714000</v>
      </c>
      <c r="L13" s="100">
        <v>23915000</v>
      </c>
      <c r="M13" s="100">
        <v>23915000</v>
      </c>
      <c r="N13" s="100">
        <v>24177000</v>
      </c>
      <c r="O13" s="100">
        <v>24177000</v>
      </c>
      <c r="P13" s="100">
        <v>24096000</v>
      </c>
      <c r="Q13" s="100">
        <v>24096000</v>
      </c>
      <c r="R13" s="100">
        <v>24152000</v>
      </c>
      <c r="S13" s="147">
        <v>24152000</v>
      </c>
      <c r="T13" s="100">
        <v>24336000</v>
      </c>
      <c r="U13" s="147"/>
      <c r="V13" s="100"/>
      <c r="W13" s="147"/>
      <c r="X13" s="100"/>
      <c r="Y13" s="147"/>
      <c r="Z13" s="100"/>
      <c r="AA13" s="147"/>
      <c r="AB13" s="100"/>
      <c r="AC13" s="147"/>
      <c r="AD13" s="100"/>
      <c r="AE13" s="147"/>
      <c r="AF13" s="100"/>
      <c r="AG13" s="147"/>
      <c r="AH13" s="100"/>
      <c r="AI13" s="147"/>
      <c r="AJ13" s="100"/>
      <c r="AK13" s="147"/>
      <c r="AL13" s="100"/>
      <c r="AM13" s="147"/>
      <c r="AN13" s="100"/>
      <c r="AO13" s="147"/>
      <c r="AP13" s="100"/>
      <c r="AQ13" s="147"/>
      <c r="AR13" s="100"/>
      <c r="AS13" s="147"/>
      <c r="AT13" s="100"/>
      <c r="AU13" s="147"/>
      <c r="AV13" s="100"/>
      <c r="AW13" s="147"/>
      <c r="AX13" s="31"/>
    </row>
    <row r="14" spans="1:50" s="26" customFormat="1" x14ac:dyDescent="0.3">
      <c r="A14" s="31"/>
      <c r="B14" s="56" t="s">
        <v>193</v>
      </c>
      <c r="C14" s="56" t="s">
        <v>194</v>
      </c>
      <c r="D14" s="56" t="s">
        <v>162</v>
      </c>
      <c r="E14" s="235"/>
      <c r="F14" s="100">
        <v>0</v>
      </c>
      <c r="G14" s="100">
        <v>0</v>
      </c>
      <c r="H14" s="100">
        <v>0</v>
      </c>
      <c r="I14" s="100">
        <v>767273</v>
      </c>
      <c r="J14" s="181"/>
      <c r="K14" s="100">
        <v>767273</v>
      </c>
      <c r="L14" s="100">
        <v>3069092</v>
      </c>
      <c r="M14" s="100">
        <v>6138184</v>
      </c>
      <c r="N14" s="100">
        <v>9261038</v>
      </c>
      <c r="O14" s="100">
        <v>3553039.7513767211</v>
      </c>
      <c r="P14" s="100">
        <v>5243412.9567544768</v>
      </c>
      <c r="Q14" s="100">
        <v>8618063</v>
      </c>
      <c r="R14" s="100">
        <v>9857400.5</v>
      </c>
      <c r="S14" s="147">
        <v>10543550.576983877</v>
      </c>
      <c r="T14" s="100">
        <v>12140593</v>
      </c>
      <c r="U14" s="147"/>
      <c r="V14" s="100"/>
      <c r="W14" s="147"/>
      <c r="X14" s="100"/>
      <c r="Y14" s="147"/>
      <c r="Z14" s="100"/>
      <c r="AA14" s="147"/>
      <c r="AB14" s="100"/>
      <c r="AC14" s="147"/>
      <c r="AD14" s="100"/>
      <c r="AE14" s="147"/>
      <c r="AF14" s="100"/>
      <c r="AG14" s="147"/>
      <c r="AH14" s="100"/>
      <c r="AI14" s="147"/>
      <c r="AJ14" s="100"/>
      <c r="AK14" s="147"/>
      <c r="AL14" s="100"/>
      <c r="AM14" s="147"/>
      <c r="AN14" s="100"/>
      <c r="AO14" s="147"/>
      <c r="AP14" s="100"/>
      <c r="AQ14" s="147"/>
      <c r="AR14" s="100"/>
      <c r="AS14" s="147"/>
      <c r="AT14" s="100"/>
      <c r="AU14" s="147"/>
      <c r="AV14" s="100"/>
      <c r="AW14" s="147"/>
      <c r="AX14" s="31"/>
    </row>
    <row r="15" spans="1:50" s="26" customFormat="1" x14ac:dyDescent="0.3">
      <c r="A15" s="31"/>
      <c r="B15" s="56" t="s">
        <v>195</v>
      </c>
      <c r="C15" s="56" t="s">
        <v>194</v>
      </c>
      <c r="D15" s="56" t="s">
        <v>162</v>
      </c>
      <c r="E15" s="235"/>
      <c r="F15" s="100">
        <v>0</v>
      </c>
      <c r="G15" s="100">
        <v>0</v>
      </c>
      <c r="H15" s="100">
        <v>0</v>
      </c>
      <c r="I15" s="100">
        <v>689010</v>
      </c>
      <c r="J15" s="181"/>
      <c r="K15" s="100">
        <v>689010</v>
      </c>
      <c r="L15" s="100">
        <v>2756039</v>
      </c>
      <c r="M15" s="100">
        <v>5512078</v>
      </c>
      <c r="N15" s="100">
        <v>8334231</v>
      </c>
      <c r="O15" s="100">
        <v>3011025.1506722383</v>
      </c>
      <c r="P15" s="100">
        <v>4453157.0197238941</v>
      </c>
      <c r="Q15" s="100">
        <v>6770234</v>
      </c>
      <c r="R15" s="100">
        <v>7718950.5</v>
      </c>
      <c r="S15" s="147">
        <v>8235808.8795108208</v>
      </c>
      <c r="T15" s="100">
        <v>9472191</v>
      </c>
      <c r="U15" s="147"/>
      <c r="V15" s="100"/>
      <c r="W15" s="147"/>
      <c r="X15" s="100"/>
      <c r="Y15" s="147"/>
      <c r="Z15" s="100"/>
      <c r="AA15" s="147"/>
      <c r="AB15" s="100"/>
      <c r="AC15" s="147"/>
      <c r="AD15" s="100"/>
      <c r="AE15" s="147"/>
      <c r="AF15" s="100"/>
      <c r="AG15" s="147"/>
      <c r="AH15" s="100"/>
      <c r="AI15" s="147"/>
      <c r="AJ15" s="100"/>
      <c r="AK15" s="147"/>
      <c r="AL15" s="100"/>
      <c r="AM15" s="147"/>
      <c r="AN15" s="100"/>
      <c r="AO15" s="147"/>
      <c r="AP15" s="100"/>
      <c r="AQ15" s="147"/>
      <c r="AR15" s="100"/>
      <c r="AS15" s="147"/>
      <c r="AT15" s="100"/>
      <c r="AU15" s="147"/>
      <c r="AV15" s="100"/>
      <c r="AW15" s="147"/>
      <c r="AX15" s="31"/>
    </row>
    <row r="16" spans="1:50" s="26" customFormat="1" ht="12.75" customHeight="1" x14ac:dyDescent="0.3">
      <c r="A16" s="31"/>
      <c r="B16" s="56" t="s">
        <v>196</v>
      </c>
      <c r="C16" s="56" t="s">
        <v>197</v>
      </c>
      <c r="D16" s="56" t="s">
        <v>166</v>
      </c>
      <c r="E16" s="235"/>
      <c r="F16" s="110">
        <v>1</v>
      </c>
      <c r="G16" s="111"/>
      <c r="H16" s="110">
        <v>1</v>
      </c>
      <c r="I16" s="111"/>
      <c r="J16" s="181"/>
      <c r="K16" s="111"/>
      <c r="L16" s="110">
        <v>0.70070070070070067</v>
      </c>
      <c r="M16" s="111"/>
      <c r="N16" s="110">
        <v>0.95172715887997161</v>
      </c>
      <c r="O16" s="111"/>
      <c r="P16" s="110">
        <v>0.68674495812464831</v>
      </c>
      <c r="Q16" s="111"/>
      <c r="R16" s="110">
        <v>0.67753175433080082</v>
      </c>
      <c r="S16" s="111"/>
      <c r="T16" s="110">
        <v>0.71749498151284707</v>
      </c>
      <c r="U16" s="111"/>
      <c r="V16" s="110"/>
      <c r="W16" s="111"/>
      <c r="X16" s="110"/>
      <c r="Y16" s="111"/>
      <c r="Z16" s="110"/>
      <c r="AA16" s="111"/>
      <c r="AB16" s="110"/>
      <c r="AC16" s="111"/>
      <c r="AD16" s="110"/>
      <c r="AE16" s="111"/>
      <c r="AF16" s="110"/>
      <c r="AG16" s="111"/>
      <c r="AH16" s="110"/>
      <c r="AI16" s="111"/>
      <c r="AJ16" s="110"/>
      <c r="AK16" s="111"/>
      <c r="AL16" s="110"/>
      <c r="AM16" s="111"/>
      <c r="AN16" s="110"/>
      <c r="AO16" s="111"/>
      <c r="AP16" s="110"/>
      <c r="AQ16" s="111"/>
      <c r="AR16" s="110"/>
      <c r="AS16" s="111"/>
      <c r="AT16" s="110"/>
      <c r="AU16" s="111"/>
      <c r="AV16" s="110"/>
      <c r="AW16" s="111"/>
      <c r="AX16" s="31"/>
    </row>
    <row r="17" spans="1:50" s="26" customFormat="1" ht="12.75" customHeight="1" x14ac:dyDescent="0.3">
      <c r="A17" s="31"/>
      <c r="B17" s="56" t="s">
        <v>198</v>
      </c>
      <c r="C17" s="56" t="s">
        <v>197</v>
      </c>
      <c r="D17" s="56" t="s">
        <v>166</v>
      </c>
      <c r="E17" s="235"/>
      <c r="F17" s="112">
        <f>1-F16</f>
        <v>0</v>
      </c>
      <c r="G17" s="111"/>
      <c r="H17" s="112">
        <f>1-H16</f>
        <v>0</v>
      </c>
      <c r="I17" s="111"/>
      <c r="J17" s="181"/>
      <c r="K17" s="111"/>
      <c r="L17" s="112">
        <v>0.29929929929929933</v>
      </c>
      <c r="M17" s="111" t="str">
        <f t="shared" ref="M17:U17" si="0">IF(M16="","",1-M16)</f>
        <v/>
      </c>
      <c r="N17" s="112">
        <v>4.8272841120028387E-2</v>
      </c>
      <c r="O17" s="111" t="str">
        <f t="shared" si="0"/>
        <v/>
      </c>
      <c r="P17" s="112">
        <v>0.31325504187535169</v>
      </c>
      <c r="Q17" s="111" t="str">
        <f t="shared" si="0"/>
        <v/>
      </c>
      <c r="R17" s="112">
        <f>IF(R16="","",1-R16)</f>
        <v>0.32246824566919918</v>
      </c>
      <c r="S17" s="111" t="str">
        <f t="shared" si="0"/>
        <v/>
      </c>
      <c r="T17" s="112">
        <f t="shared" si="0"/>
        <v>0.28250501848715293</v>
      </c>
      <c r="U17" s="111" t="str">
        <f t="shared" si="0"/>
        <v/>
      </c>
      <c r="V17" s="112" t="str">
        <f t="shared" ref="V17:AW17" si="1">IF(V16="","",1-V16)</f>
        <v/>
      </c>
      <c r="W17" s="111" t="str">
        <f t="shared" si="1"/>
        <v/>
      </c>
      <c r="X17" s="112" t="str">
        <f t="shared" si="1"/>
        <v/>
      </c>
      <c r="Y17" s="111" t="str">
        <f t="shared" si="1"/>
        <v/>
      </c>
      <c r="Z17" s="112" t="str">
        <f t="shared" si="1"/>
        <v/>
      </c>
      <c r="AA17" s="111" t="str">
        <f t="shared" si="1"/>
        <v/>
      </c>
      <c r="AB17" s="112" t="str">
        <f t="shared" si="1"/>
        <v/>
      </c>
      <c r="AC17" s="111" t="str">
        <f t="shared" si="1"/>
        <v/>
      </c>
      <c r="AD17" s="112" t="str">
        <f t="shared" si="1"/>
        <v/>
      </c>
      <c r="AE17" s="111" t="str">
        <f t="shared" si="1"/>
        <v/>
      </c>
      <c r="AF17" s="112" t="str">
        <f t="shared" si="1"/>
        <v/>
      </c>
      <c r="AG17" s="111" t="str">
        <f t="shared" si="1"/>
        <v/>
      </c>
      <c r="AH17" s="112" t="str">
        <f t="shared" si="1"/>
        <v/>
      </c>
      <c r="AI17" s="111" t="str">
        <f t="shared" si="1"/>
        <v/>
      </c>
      <c r="AJ17" s="112" t="str">
        <f t="shared" si="1"/>
        <v/>
      </c>
      <c r="AK17" s="111" t="str">
        <f t="shared" si="1"/>
        <v/>
      </c>
      <c r="AL17" s="112" t="str">
        <f t="shared" si="1"/>
        <v/>
      </c>
      <c r="AM17" s="111" t="str">
        <f t="shared" si="1"/>
        <v/>
      </c>
      <c r="AN17" s="112" t="str">
        <f t="shared" si="1"/>
        <v/>
      </c>
      <c r="AO17" s="111" t="str">
        <f t="shared" si="1"/>
        <v/>
      </c>
      <c r="AP17" s="112" t="str">
        <f t="shared" si="1"/>
        <v/>
      </c>
      <c r="AQ17" s="111" t="str">
        <f t="shared" si="1"/>
        <v/>
      </c>
      <c r="AR17" s="112" t="str">
        <f t="shared" si="1"/>
        <v/>
      </c>
      <c r="AS17" s="111" t="str">
        <f t="shared" si="1"/>
        <v/>
      </c>
      <c r="AT17" s="112" t="str">
        <f t="shared" si="1"/>
        <v/>
      </c>
      <c r="AU17" s="111" t="str">
        <f t="shared" si="1"/>
        <v/>
      </c>
      <c r="AV17" s="112" t="str">
        <f t="shared" si="1"/>
        <v/>
      </c>
      <c r="AW17" s="111" t="str">
        <f t="shared" si="1"/>
        <v/>
      </c>
      <c r="AX17" s="31"/>
    </row>
    <row r="18" spans="1:50" s="26" customFormat="1" x14ac:dyDescent="0.3">
      <c r="A18" s="31"/>
      <c r="B18" s="56" t="s">
        <v>199</v>
      </c>
      <c r="C18" s="56" t="s">
        <v>200</v>
      </c>
      <c r="D18" s="56" t="s">
        <v>166</v>
      </c>
      <c r="E18" s="235"/>
      <c r="F18" s="111"/>
      <c r="G18" s="110">
        <v>1</v>
      </c>
      <c r="H18" s="111"/>
      <c r="I18" s="110">
        <f>11227566/(11227566+16500)</f>
        <v>0.99853255930728257</v>
      </c>
      <c r="J18" s="181"/>
      <c r="K18" s="110">
        <v>0.99853255930728257</v>
      </c>
      <c r="L18" s="111"/>
      <c r="M18" s="110">
        <v>0.70070070070070067</v>
      </c>
      <c r="N18" s="111"/>
      <c r="O18" s="110">
        <v>0.95172715887997161</v>
      </c>
      <c r="P18" s="111"/>
      <c r="Q18" s="110">
        <v>0.68674495812464831</v>
      </c>
      <c r="R18" s="111"/>
      <c r="S18" s="148">
        <v>0.67753175433080082</v>
      </c>
      <c r="T18" s="111"/>
      <c r="U18" s="148"/>
      <c r="V18" s="111"/>
      <c r="W18" s="148"/>
      <c r="X18" s="111"/>
      <c r="Y18" s="148"/>
      <c r="Z18" s="111"/>
      <c r="AA18" s="148"/>
      <c r="AB18" s="111"/>
      <c r="AC18" s="148"/>
      <c r="AD18" s="111"/>
      <c r="AE18" s="148"/>
      <c r="AF18" s="111"/>
      <c r="AG18" s="148"/>
      <c r="AH18" s="111"/>
      <c r="AI18" s="148"/>
      <c r="AJ18" s="111"/>
      <c r="AK18" s="148"/>
      <c r="AL18" s="111"/>
      <c r="AM18" s="148"/>
      <c r="AN18" s="111"/>
      <c r="AO18" s="148"/>
      <c r="AP18" s="111"/>
      <c r="AQ18" s="148"/>
      <c r="AR18" s="111"/>
      <c r="AS18" s="148"/>
      <c r="AT18" s="111"/>
      <c r="AU18" s="148"/>
      <c r="AV18" s="111"/>
      <c r="AW18" s="148"/>
      <c r="AX18" s="31"/>
    </row>
    <row r="19" spans="1:50" s="26" customFormat="1" x14ac:dyDescent="0.3">
      <c r="A19" s="31"/>
      <c r="B19" s="56" t="s">
        <v>201</v>
      </c>
      <c r="C19" s="56" t="s">
        <v>200</v>
      </c>
      <c r="D19" s="56" t="s">
        <v>166</v>
      </c>
      <c r="E19" s="235"/>
      <c r="F19" s="111"/>
      <c r="G19" s="112">
        <f>1-G18</f>
        <v>0</v>
      </c>
      <c r="H19" s="111"/>
      <c r="I19" s="112">
        <f>1-I18</f>
        <v>1.4674406927174255E-3</v>
      </c>
      <c r="J19" s="181"/>
      <c r="K19" s="112">
        <f>IF(K18="","",1-K18)</f>
        <v>1.4674406927174255E-3</v>
      </c>
      <c r="L19" s="111" t="str">
        <f t="shared" ref="L19:U19" si="2">IF(L18="","",1-L18)</f>
        <v/>
      </c>
      <c r="M19" s="112">
        <v>0.29929929929929933</v>
      </c>
      <c r="N19" s="111" t="str">
        <f t="shared" si="2"/>
        <v/>
      </c>
      <c r="O19" s="112">
        <v>4.8272841120028387E-2</v>
      </c>
      <c r="P19" s="111" t="str">
        <f t="shared" si="2"/>
        <v/>
      </c>
      <c r="Q19" s="112">
        <v>0.31325504187535169</v>
      </c>
      <c r="R19" s="111" t="str">
        <f t="shared" si="2"/>
        <v/>
      </c>
      <c r="S19" s="148">
        <f t="shared" si="2"/>
        <v>0.32246824566919918</v>
      </c>
      <c r="T19" s="111" t="str">
        <f t="shared" si="2"/>
        <v/>
      </c>
      <c r="U19" s="148" t="str">
        <f t="shared" si="2"/>
        <v/>
      </c>
      <c r="V19" s="111" t="str">
        <f t="shared" ref="V19:AW19" si="3">IF(V18="","",1-V18)</f>
        <v/>
      </c>
      <c r="W19" s="148" t="str">
        <f t="shared" si="3"/>
        <v/>
      </c>
      <c r="X19" s="111" t="str">
        <f t="shared" si="3"/>
        <v/>
      </c>
      <c r="Y19" s="148" t="str">
        <f t="shared" si="3"/>
        <v/>
      </c>
      <c r="Z19" s="111" t="str">
        <f t="shared" si="3"/>
        <v/>
      </c>
      <c r="AA19" s="148" t="str">
        <f t="shared" si="3"/>
        <v/>
      </c>
      <c r="AB19" s="111" t="str">
        <f t="shared" si="3"/>
        <v/>
      </c>
      <c r="AC19" s="148" t="str">
        <f t="shared" si="3"/>
        <v/>
      </c>
      <c r="AD19" s="111" t="str">
        <f t="shared" si="3"/>
        <v/>
      </c>
      <c r="AE19" s="148" t="str">
        <f t="shared" si="3"/>
        <v/>
      </c>
      <c r="AF19" s="111" t="str">
        <f t="shared" si="3"/>
        <v/>
      </c>
      <c r="AG19" s="148" t="str">
        <f t="shared" si="3"/>
        <v/>
      </c>
      <c r="AH19" s="111" t="str">
        <f t="shared" si="3"/>
        <v/>
      </c>
      <c r="AI19" s="148" t="str">
        <f t="shared" si="3"/>
        <v/>
      </c>
      <c r="AJ19" s="111" t="str">
        <f t="shared" si="3"/>
        <v/>
      </c>
      <c r="AK19" s="148" t="str">
        <f t="shared" si="3"/>
        <v/>
      </c>
      <c r="AL19" s="111" t="str">
        <f t="shared" si="3"/>
        <v/>
      </c>
      <c r="AM19" s="148" t="str">
        <f t="shared" si="3"/>
        <v/>
      </c>
      <c r="AN19" s="111" t="str">
        <f t="shared" si="3"/>
        <v/>
      </c>
      <c r="AO19" s="148" t="str">
        <f t="shared" si="3"/>
        <v/>
      </c>
      <c r="AP19" s="111" t="str">
        <f t="shared" si="3"/>
        <v/>
      </c>
      <c r="AQ19" s="148" t="str">
        <f t="shared" si="3"/>
        <v/>
      </c>
      <c r="AR19" s="111" t="str">
        <f t="shared" si="3"/>
        <v/>
      </c>
      <c r="AS19" s="148" t="str">
        <f t="shared" si="3"/>
        <v/>
      </c>
      <c r="AT19" s="111" t="str">
        <f t="shared" si="3"/>
        <v/>
      </c>
      <c r="AU19" s="148" t="str">
        <f t="shared" si="3"/>
        <v/>
      </c>
      <c r="AV19" s="111" t="str">
        <f t="shared" si="3"/>
        <v/>
      </c>
      <c r="AW19" s="148" t="str">
        <f t="shared" si="3"/>
        <v/>
      </c>
      <c r="AX19" s="31"/>
    </row>
    <row r="20" spans="1:50" s="26" customFormat="1" x14ac:dyDescent="0.3">
      <c r="A20" s="31"/>
      <c r="B20" s="56" t="s">
        <v>202</v>
      </c>
      <c r="C20" s="56" t="s">
        <v>197</v>
      </c>
      <c r="D20" s="56" t="s">
        <v>157</v>
      </c>
      <c r="E20" s="235"/>
      <c r="F20" s="113">
        <v>0.47299999999999998</v>
      </c>
      <c r="G20" s="111"/>
      <c r="H20" s="113">
        <v>0.65100000000000002</v>
      </c>
      <c r="I20" s="111"/>
      <c r="J20" s="181"/>
      <c r="K20" s="111"/>
      <c r="L20" s="113">
        <v>0.79600000000000004</v>
      </c>
      <c r="M20" s="111"/>
      <c r="N20" s="113">
        <v>0.97699999999999998</v>
      </c>
      <c r="O20" s="111"/>
      <c r="P20" s="113">
        <v>0.91500000000000004</v>
      </c>
      <c r="Q20" s="111"/>
      <c r="R20" s="113">
        <v>0.91500000000000004</v>
      </c>
      <c r="S20" s="111"/>
      <c r="T20" s="113">
        <v>0.92</v>
      </c>
      <c r="U20" s="111"/>
      <c r="V20" s="113"/>
      <c r="W20" s="111"/>
      <c r="X20" s="113"/>
      <c r="Y20" s="111"/>
      <c r="Z20" s="113"/>
      <c r="AA20" s="111"/>
      <c r="AB20" s="113"/>
      <c r="AC20" s="111"/>
      <c r="AD20" s="113"/>
      <c r="AE20" s="111"/>
      <c r="AF20" s="113"/>
      <c r="AG20" s="111"/>
      <c r="AH20" s="113"/>
      <c r="AI20" s="111"/>
      <c r="AJ20" s="113"/>
      <c r="AK20" s="111"/>
      <c r="AL20" s="113"/>
      <c r="AM20" s="111"/>
      <c r="AN20" s="113"/>
      <c r="AO20" s="111"/>
      <c r="AP20" s="113"/>
      <c r="AQ20" s="111"/>
      <c r="AR20" s="113"/>
      <c r="AS20" s="111"/>
      <c r="AT20" s="113"/>
      <c r="AU20" s="111"/>
      <c r="AV20" s="113"/>
      <c r="AW20" s="111"/>
      <c r="AX20" s="31"/>
    </row>
    <row r="21" spans="1:50" s="26" customFormat="1" x14ac:dyDescent="0.3">
      <c r="A21" s="31"/>
      <c r="B21" s="56" t="s">
        <v>203</v>
      </c>
      <c r="C21" s="56" t="s">
        <v>197</v>
      </c>
      <c r="D21" s="56" t="s">
        <v>157</v>
      </c>
      <c r="E21" s="235"/>
      <c r="F21" s="113">
        <v>0.35799999999999998</v>
      </c>
      <c r="G21" s="111"/>
      <c r="H21" s="113">
        <v>0.49199999999999999</v>
      </c>
      <c r="I21" s="111"/>
      <c r="J21" s="181"/>
      <c r="K21" s="111"/>
      <c r="L21" s="113">
        <v>0.60099999999999998</v>
      </c>
      <c r="M21" s="111"/>
      <c r="N21" s="113">
        <v>0.73699999999999999</v>
      </c>
      <c r="O21" s="111"/>
      <c r="P21" s="113">
        <v>0.69099999999999995</v>
      </c>
      <c r="Q21" s="111"/>
      <c r="R21" s="113">
        <v>0.69099999999999995</v>
      </c>
      <c r="S21" s="111"/>
      <c r="T21" s="113">
        <v>0.69399999999999995</v>
      </c>
      <c r="U21" s="111"/>
      <c r="V21" s="113"/>
      <c r="W21" s="111"/>
      <c r="X21" s="113"/>
      <c r="Y21" s="111"/>
      <c r="Z21" s="113"/>
      <c r="AA21" s="111"/>
      <c r="AB21" s="113"/>
      <c r="AC21" s="111"/>
      <c r="AD21" s="113"/>
      <c r="AE21" s="111"/>
      <c r="AF21" s="113"/>
      <c r="AG21" s="111"/>
      <c r="AH21" s="113"/>
      <c r="AI21" s="111"/>
      <c r="AJ21" s="113"/>
      <c r="AK21" s="111"/>
      <c r="AL21" s="113"/>
      <c r="AM21" s="111"/>
      <c r="AN21" s="113"/>
      <c r="AO21" s="111"/>
      <c r="AP21" s="113"/>
      <c r="AQ21" s="111"/>
      <c r="AR21" s="113"/>
      <c r="AS21" s="111"/>
      <c r="AT21" s="113"/>
      <c r="AU21" s="111"/>
      <c r="AV21" s="113"/>
      <c r="AW21" s="111"/>
      <c r="AX21" s="31"/>
    </row>
    <row r="22" spans="1:50" s="26" customFormat="1" x14ac:dyDescent="0.3">
      <c r="A22" s="31"/>
      <c r="B22" s="56" t="s">
        <v>204</v>
      </c>
      <c r="C22" s="56" t="s">
        <v>197</v>
      </c>
      <c r="D22" s="56" t="s">
        <v>157</v>
      </c>
      <c r="E22" s="235"/>
      <c r="F22" s="113">
        <v>0.01</v>
      </c>
      <c r="G22" s="111"/>
      <c r="H22" s="113">
        <v>3.5000000000000003E-2</v>
      </c>
      <c r="I22" s="111"/>
      <c r="J22" s="181"/>
      <c r="K22" s="111"/>
      <c r="L22" s="113">
        <v>9.7000000000000003E-2</v>
      </c>
      <c r="M22" s="111"/>
      <c r="N22" s="113">
        <v>0.04</v>
      </c>
      <c r="O22" s="111"/>
      <c r="P22" s="113">
        <v>4.2999999999999997E-2</v>
      </c>
      <c r="Q22" s="111"/>
      <c r="R22" s="113">
        <v>2.4E-2</v>
      </c>
      <c r="S22" s="111"/>
      <c r="T22" s="113">
        <v>0.04</v>
      </c>
      <c r="U22" s="111"/>
      <c r="V22" s="113"/>
      <c r="W22" s="111"/>
      <c r="X22" s="113"/>
      <c r="Y22" s="111"/>
      <c r="Z22" s="113"/>
      <c r="AA22" s="111"/>
      <c r="AB22" s="113"/>
      <c r="AC22" s="111"/>
      <c r="AD22" s="113"/>
      <c r="AE22" s="111"/>
      <c r="AF22" s="113"/>
      <c r="AG22" s="111"/>
      <c r="AH22" s="113"/>
      <c r="AI22" s="111"/>
      <c r="AJ22" s="113"/>
      <c r="AK22" s="111"/>
      <c r="AL22" s="113"/>
      <c r="AM22" s="111"/>
      <c r="AN22" s="113"/>
      <c r="AO22" s="111"/>
      <c r="AP22" s="113"/>
      <c r="AQ22" s="111"/>
      <c r="AR22" s="113"/>
      <c r="AS22" s="111"/>
      <c r="AT22" s="113"/>
      <c r="AU22" s="111"/>
      <c r="AV22" s="113"/>
      <c r="AW22" s="111"/>
      <c r="AX22" s="31"/>
    </row>
    <row r="23" spans="1:50" s="26" customFormat="1" x14ac:dyDescent="0.3">
      <c r="A23" s="31"/>
      <c r="B23" s="56" t="s">
        <v>205</v>
      </c>
      <c r="C23" s="56" t="s">
        <v>197</v>
      </c>
      <c r="D23" s="56" t="s">
        <v>157</v>
      </c>
      <c r="E23" s="235"/>
      <c r="F23" s="113">
        <v>0.01</v>
      </c>
      <c r="G23" s="111"/>
      <c r="H23" s="113">
        <v>3.5000000000000003E-2</v>
      </c>
      <c r="I23" s="111"/>
      <c r="J23" s="181"/>
      <c r="K23" s="111"/>
      <c r="L23" s="113">
        <v>9.7000000000000003E-2</v>
      </c>
      <c r="M23" s="111"/>
      <c r="N23" s="113">
        <v>0.04</v>
      </c>
      <c r="O23" s="111"/>
      <c r="P23" s="113">
        <v>4.2999999999999997E-2</v>
      </c>
      <c r="Q23" s="111"/>
      <c r="R23" s="113">
        <v>2.4E-2</v>
      </c>
      <c r="S23" s="111"/>
      <c r="T23" s="113">
        <v>0.04</v>
      </c>
      <c r="U23" s="111"/>
      <c r="V23" s="113"/>
      <c r="W23" s="111"/>
      <c r="X23" s="113"/>
      <c r="Y23" s="111"/>
      <c r="Z23" s="113"/>
      <c r="AA23" s="111"/>
      <c r="AB23" s="113"/>
      <c r="AC23" s="111"/>
      <c r="AD23" s="113"/>
      <c r="AE23" s="111"/>
      <c r="AF23" s="113"/>
      <c r="AG23" s="111"/>
      <c r="AH23" s="113"/>
      <c r="AI23" s="111"/>
      <c r="AJ23" s="113"/>
      <c r="AK23" s="111"/>
      <c r="AL23" s="113"/>
      <c r="AM23" s="111"/>
      <c r="AN23" s="113"/>
      <c r="AO23" s="111"/>
      <c r="AP23" s="113"/>
      <c r="AQ23" s="111"/>
      <c r="AR23" s="113"/>
      <c r="AS23" s="111"/>
      <c r="AT23" s="113"/>
      <c r="AU23" s="111"/>
      <c r="AV23" s="113"/>
      <c r="AW23" s="111"/>
      <c r="AX23" s="31"/>
    </row>
    <row r="24" spans="1:50" s="26" customFormat="1" x14ac:dyDescent="0.3">
      <c r="A24" s="31"/>
      <c r="B24" s="56" t="s">
        <v>206</v>
      </c>
      <c r="C24" s="56" t="s">
        <v>197</v>
      </c>
      <c r="D24" s="56" t="s">
        <v>157</v>
      </c>
      <c r="E24" s="235"/>
      <c r="F24" s="113">
        <v>0.38100000000000001</v>
      </c>
      <c r="G24" s="111"/>
      <c r="H24" s="113">
        <v>0.34200000000000003</v>
      </c>
      <c r="I24" s="111"/>
      <c r="J24" s="181"/>
      <c r="K24" s="111"/>
      <c r="L24" s="113">
        <v>0.32500000000000001</v>
      </c>
      <c r="M24" s="111"/>
      <c r="N24" s="113">
        <v>0.34599999999999997</v>
      </c>
      <c r="O24" s="111"/>
      <c r="P24" s="113">
        <v>0.32600000000000001</v>
      </c>
      <c r="Q24" s="111"/>
      <c r="R24" s="113">
        <v>0.35899999999999999</v>
      </c>
      <c r="S24" s="111"/>
      <c r="T24" s="113">
        <v>0.39400000000000002</v>
      </c>
      <c r="U24" s="111"/>
      <c r="V24" s="113"/>
      <c r="W24" s="111"/>
      <c r="X24" s="113"/>
      <c r="Y24" s="111"/>
      <c r="Z24" s="113"/>
      <c r="AA24" s="111"/>
      <c r="AB24" s="113"/>
      <c r="AC24" s="111"/>
      <c r="AD24" s="113"/>
      <c r="AE24" s="111"/>
      <c r="AF24" s="113"/>
      <c r="AG24" s="111"/>
      <c r="AH24" s="113"/>
      <c r="AI24" s="111"/>
      <c r="AJ24" s="113"/>
      <c r="AK24" s="111"/>
      <c r="AL24" s="113"/>
      <c r="AM24" s="111"/>
      <c r="AN24" s="113"/>
      <c r="AO24" s="111"/>
      <c r="AP24" s="113"/>
      <c r="AQ24" s="111"/>
      <c r="AR24" s="113"/>
      <c r="AS24" s="111"/>
      <c r="AT24" s="113"/>
      <c r="AU24" s="111"/>
      <c r="AV24" s="113"/>
      <c r="AW24" s="111"/>
      <c r="AX24" s="31"/>
    </row>
    <row r="25" spans="1:50" s="26" customFormat="1" x14ac:dyDescent="0.3">
      <c r="A25" s="31"/>
      <c r="B25" s="56" t="s">
        <v>207</v>
      </c>
      <c r="C25" s="56" t="s">
        <v>197</v>
      </c>
      <c r="D25" s="56" t="s">
        <v>157</v>
      </c>
      <c r="E25" s="235"/>
      <c r="F25" s="113">
        <v>0.28799999999999998</v>
      </c>
      <c r="G25" s="111"/>
      <c r="H25" s="113">
        <v>0.25900000000000001</v>
      </c>
      <c r="I25" s="111"/>
      <c r="J25" s="181"/>
      <c r="K25" s="111"/>
      <c r="L25" s="113">
        <v>0.245</v>
      </c>
      <c r="M25" s="111"/>
      <c r="N25" s="113">
        <v>0.26100000000000001</v>
      </c>
      <c r="O25" s="111"/>
      <c r="P25" s="113">
        <v>0.24399999999999999</v>
      </c>
      <c r="Q25" s="111"/>
      <c r="R25" s="113">
        <v>0.26900000000000002</v>
      </c>
      <c r="S25" s="111"/>
      <c r="T25" s="113">
        <v>0.29499999999999998</v>
      </c>
      <c r="U25" s="111"/>
      <c r="V25" s="113"/>
      <c r="W25" s="111"/>
      <c r="X25" s="113"/>
      <c r="Y25" s="111"/>
      <c r="Z25" s="113"/>
      <c r="AA25" s="111"/>
      <c r="AB25" s="113"/>
      <c r="AC25" s="111"/>
      <c r="AD25" s="113"/>
      <c r="AE25" s="111"/>
      <c r="AF25" s="113"/>
      <c r="AG25" s="111"/>
      <c r="AH25" s="113"/>
      <c r="AI25" s="111"/>
      <c r="AJ25" s="113"/>
      <c r="AK25" s="111"/>
      <c r="AL25" s="113"/>
      <c r="AM25" s="111"/>
      <c r="AN25" s="113"/>
      <c r="AO25" s="111"/>
      <c r="AP25" s="113"/>
      <c r="AQ25" s="111"/>
      <c r="AR25" s="113"/>
      <c r="AS25" s="111"/>
      <c r="AT25" s="113"/>
      <c r="AU25" s="111"/>
      <c r="AV25" s="113"/>
      <c r="AW25" s="111"/>
      <c r="AX25" s="31"/>
    </row>
    <row r="26" spans="1:50" s="26" customFormat="1" x14ac:dyDescent="0.3">
      <c r="A26" s="31"/>
      <c r="B26" s="56" t="s">
        <v>208</v>
      </c>
      <c r="C26" s="56" t="s">
        <v>197</v>
      </c>
      <c r="D26" s="56" t="s">
        <v>157</v>
      </c>
      <c r="E26" s="235"/>
      <c r="F26" s="113" t="e">
        <f>NA()</f>
        <v>#N/A</v>
      </c>
      <c r="G26" s="111"/>
      <c r="H26" s="113" t="e">
        <f>NA()</f>
        <v>#N/A</v>
      </c>
      <c r="I26" s="111"/>
      <c r="J26" s="181"/>
      <c r="K26" s="111"/>
      <c r="L26" s="113">
        <v>0.53200000000000003</v>
      </c>
      <c r="M26" s="111"/>
      <c r="N26" s="113">
        <v>0.54700000000000004</v>
      </c>
      <c r="O26" s="111"/>
      <c r="P26" s="113">
        <v>0.58899999999999997</v>
      </c>
      <c r="Q26" s="111"/>
      <c r="R26" s="113">
        <v>0.59399999999999997</v>
      </c>
      <c r="S26" s="111"/>
      <c r="T26" s="113">
        <v>1.012</v>
      </c>
      <c r="U26" s="111"/>
      <c r="V26" s="113"/>
      <c r="W26" s="111"/>
      <c r="X26" s="113"/>
      <c r="Y26" s="111"/>
      <c r="Z26" s="113"/>
      <c r="AA26" s="111"/>
      <c r="AB26" s="113"/>
      <c r="AC26" s="111"/>
      <c r="AD26" s="113"/>
      <c r="AE26" s="111"/>
      <c r="AF26" s="113"/>
      <c r="AG26" s="111"/>
      <c r="AH26" s="113"/>
      <c r="AI26" s="111"/>
      <c r="AJ26" s="113"/>
      <c r="AK26" s="111"/>
      <c r="AL26" s="113"/>
      <c r="AM26" s="111"/>
      <c r="AN26" s="113"/>
      <c r="AO26" s="111"/>
      <c r="AP26" s="113"/>
      <c r="AQ26" s="111"/>
      <c r="AR26" s="113"/>
      <c r="AS26" s="111"/>
      <c r="AT26" s="113"/>
      <c r="AU26" s="111"/>
      <c r="AV26" s="113"/>
      <c r="AW26" s="111"/>
      <c r="AX26" s="31"/>
    </row>
    <row r="27" spans="1:50" s="26" customFormat="1" x14ac:dyDescent="0.3">
      <c r="A27" s="31"/>
      <c r="B27" s="56" t="s">
        <v>209</v>
      </c>
      <c r="C27" s="56" t="s">
        <v>197</v>
      </c>
      <c r="D27" s="56" t="s">
        <v>157</v>
      </c>
      <c r="E27" s="235"/>
      <c r="F27" s="113" t="e">
        <f>NA()</f>
        <v>#N/A</v>
      </c>
      <c r="G27" s="111"/>
      <c r="H27" s="113" t="e">
        <f>NA()</f>
        <v>#N/A</v>
      </c>
      <c r="I27" s="111"/>
      <c r="J27" s="181"/>
      <c r="K27" s="111"/>
      <c r="L27" s="113">
        <v>0.40200000000000002</v>
      </c>
      <c r="M27" s="111"/>
      <c r="N27" s="113">
        <v>0.41299999999999998</v>
      </c>
      <c r="O27" s="111"/>
      <c r="P27" s="113">
        <v>0.442</v>
      </c>
      <c r="Q27" s="111"/>
      <c r="R27" s="113">
        <v>0.44500000000000001</v>
      </c>
      <c r="S27" s="111"/>
      <c r="T27" s="113">
        <v>0.75900000000000001</v>
      </c>
      <c r="U27" s="111"/>
      <c r="V27" s="113"/>
      <c r="W27" s="111"/>
      <c r="X27" s="113"/>
      <c r="Y27" s="111"/>
      <c r="Z27" s="113"/>
      <c r="AA27" s="111"/>
      <c r="AB27" s="113"/>
      <c r="AC27" s="111"/>
      <c r="AD27" s="113"/>
      <c r="AE27" s="111"/>
      <c r="AF27" s="113"/>
      <c r="AG27" s="111"/>
      <c r="AH27" s="113"/>
      <c r="AI27" s="111"/>
      <c r="AJ27" s="113"/>
      <c r="AK27" s="111"/>
      <c r="AL27" s="113"/>
      <c r="AM27" s="111"/>
      <c r="AN27" s="113"/>
      <c r="AO27" s="111"/>
      <c r="AP27" s="113"/>
      <c r="AQ27" s="111"/>
      <c r="AR27" s="113"/>
      <c r="AS27" s="111"/>
      <c r="AT27" s="113"/>
      <c r="AU27" s="111"/>
      <c r="AV27" s="113"/>
      <c r="AW27" s="111"/>
      <c r="AX27" s="31"/>
    </row>
    <row r="28" spans="1:50" s="26" customFormat="1" x14ac:dyDescent="0.3">
      <c r="A28" s="31"/>
      <c r="B28" s="56" t="s">
        <v>210</v>
      </c>
      <c r="C28" s="56" t="s">
        <v>197</v>
      </c>
      <c r="D28" s="56" t="s">
        <v>157</v>
      </c>
      <c r="E28" s="235"/>
      <c r="F28" s="100">
        <v>5700000</v>
      </c>
      <c r="G28" s="114"/>
      <c r="H28" s="100">
        <v>9500000</v>
      </c>
      <c r="I28" s="114"/>
      <c r="J28" s="181"/>
      <c r="K28" s="114"/>
      <c r="L28" s="100">
        <v>4800000</v>
      </c>
      <c r="M28" s="114"/>
      <c r="N28" s="100">
        <v>3500000</v>
      </c>
      <c r="O28" s="114"/>
      <c r="P28" s="100">
        <v>4600000</v>
      </c>
      <c r="Q28" s="114"/>
      <c r="R28" s="100">
        <v>3700000</v>
      </c>
      <c r="S28" s="114"/>
      <c r="T28" s="100">
        <v>6700000</v>
      </c>
      <c r="U28" s="114"/>
      <c r="V28" s="100"/>
      <c r="W28" s="114"/>
      <c r="X28" s="100"/>
      <c r="Y28" s="114"/>
      <c r="Z28" s="100"/>
      <c r="AA28" s="114"/>
      <c r="AB28" s="100"/>
      <c r="AC28" s="114"/>
      <c r="AD28" s="100"/>
      <c r="AE28" s="114"/>
      <c r="AF28" s="100"/>
      <c r="AG28" s="114"/>
      <c r="AH28" s="100"/>
      <c r="AI28" s="114"/>
      <c r="AJ28" s="100"/>
      <c r="AK28" s="114"/>
      <c r="AL28" s="100"/>
      <c r="AM28" s="114"/>
      <c r="AN28" s="100"/>
      <c r="AO28" s="114"/>
      <c r="AP28" s="100"/>
      <c r="AQ28" s="114"/>
      <c r="AR28" s="100"/>
      <c r="AS28" s="114"/>
      <c r="AT28" s="100"/>
      <c r="AU28" s="114"/>
      <c r="AV28" s="100"/>
      <c r="AW28" s="114"/>
      <c r="AX28" s="31"/>
    </row>
    <row r="29" spans="1:50" s="26" customFormat="1" x14ac:dyDescent="0.3">
      <c r="A29" s="31"/>
      <c r="B29" s="56" t="s">
        <v>211</v>
      </c>
      <c r="C29" s="56" t="s">
        <v>200</v>
      </c>
      <c r="D29" s="56" t="s">
        <v>157</v>
      </c>
      <c r="E29" s="235"/>
      <c r="F29" s="111"/>
      <c r="G29" s="113">
        <v>0.46300000000000002</v>
      </c>
      <c r="H29" s="111"/>
      <c r="I29" s="113">
        <v>0.65300000000000002</v>
      </c>
      <c r="J29" s="181"/>
      <c r="K29" s="113">
        <v>0.65300000000000002</v>
      </c>
      <c r="L29" s="111"/>
      <c r="M29" s="113">
        <v>0.78800000000000003</v>
      </c>
      <c r="N29" s="111"/>
      <c r="O29" s="113">
        <v>0.97699999999999998</v>
      </c>
      <c r="P29" s="111"/>
      <c r="Q29" s="113">
        <v>0.91300000000000003</v>
      </c>
      <c r="R29" s="111"/>
      <c r="S29" s="149">
        <v>0.91900000000000004</v>
      </c>
      <c r="T29" s="111"/>
      <c r="U29" s="149"/>
      <c r="V29" s="111"/>
      <c r="W29" s="149"/>
      <c r="X29" s="111"/>
      <c r="Y29" s="149"/>
      <c r="Z29" s="111"/>
      <c r="AA29" s="149"/>
      <c r="AB29" s="111"/>
      <c r="AC29" s="149"/>
      <c r="AD29" s="111"/>
      <c r="AE29" s="149"/>
      <c r="AF29" s="111"/>
      <c r="AG29" s="149"/>
      <c r="AH29" s="111"/>
      <c r="AI29" s="149"/>
      <c r="AJ29" s="111"/>
      <c r="AK29" s="149"/>
      <c r="AL29" s="111"/>
      <c r="AM29" s="149"/>
      <c r="AN29" s="111"/>
      <c r="AO29" s="149"/>
      <c r="AP29" s="111"/>
      <c r="AQ29" s="149"/>
      <c r="AR29" s="111"/>
      <c r="AS29" s="149"/>
      <c r="AT29" s="111"/>
      <c r="AU29" s="149"/>
      <c r="AV29" s="111"/>
      <c r="AW29" s="149"/>
      <c r="AX29" s="31"/>
    </row>
    <row r="30" spans="1:50" s="26" customFormat="1" x14ac:dyDescent="0.3">
      <c r="A30" s="31"/>
      <c r="B30" s="56" t="s">
        <v>212</v>
      </c>
      <c r="C30" s="56" t="s">
        <v>200</v>
      </c>
      <c r="D30" s="56" t="s">
        <v>157</v>
      </c>
      <c r="E30" s="235"/>
      <c r="F30" s="111"/>
      <c r="G30" s="113">
        <v>0.35</v>
      </c>
      <c r="H30" s="111"/>
      <c r="I30" s="113">
        <v>0.49399999999999999</v>
      </c>
      <c r="J30" s="181"/>
      <c r="K30" s="113">
        <v>0.49399999999999999</v>
      </c>
      <c r="L30" s="111"/>
      <c r="M30" s="113">
        <v>0.59499999999999997</v>
      </c>
      <c r="N30" s="111"/>
      <c r="O30" s="113">
        <v>0.73799999999999999</v>
      </c>
      <c r="P30" s="111"/>
      <c r="Q30" s="113">
        <v>0.68899999999999995</v>
      </c>
      <c r="R30" s="111"/>
      <c r="S30" s="149">
        <v>0.69399999999999995</v>
      </c>
      <c r="T30" s="111"/>
      <c r="U30" s="149"/>
      <c r="V30" s="111"/>
      <c r="W30" s="149"/>
      <c r="X30" s="111"/>
      <c r="Y30" s="149"/>
      <c r="Z30" s="111"/>
      <c r="AA30" s="149"/>
      <c r="AB30" s="111"/>
      <c r="AC30" s="149"/>
      <c r="AD30" s="111"/>
      <c r="AE30" s="149"/>
      <c r="AF30" s="111"/>
      <c r="AG30" s="149"/>
      <c r="AH30" s="111"/>
      <c r="AI30" s="149"/>
      <c r="AJ30" s="111"/>
      <c r="AK30" s="149"/>
      <c r="AL30" s="111"/>
      <c r="AM30" s="149"/>
      <c r="AN30" s="111"/>
      <c r="AO30" s="149"/>
      <c r="AP30" s="111"/>
      <c r="AQ30" s="149"/>
      <c r="AR30" s="111"/>
      <c r="AS30" s="149"/>
      <c r="AT30" s="111"/>
      <c r="AU30" s="149"/>
      <c r="AV30" s="111"/>
      <c r="AW30" s="149"/>
      <c r="AX30" s="31"/>
    </row>
    <row r="31" spans="1:50" s="26" customFormat="1" x14ac:dyDescent="0.3">
      <c r="A31" s="31"/>
      <c r="B31" s="56" t="s">
        <v>213</v>
      </c>
      <c r="C31" s="56" t="s">
        <v>200</v>
      </c>
      <c r="D31" s="56" t="s">
        <v>157</v>
      </c>
      <c r="E31" s="235"/>
      <c r="F31" s="111"/>
      <c r="G31" s="113">
        <v>0.01</v>
      </c>
      <c r="H31" s="111"/>
      <c r="I31" s="113">
        <v>3.5000000000000003E-2</v>
      </c>
      <c r="J31" s="181"/>
      <c r="K31" s="113">
        <v>3.5000000000000003E-2</v>
      </c>
      <c r="L31" s="111"/>
      <c r="M31" s="113">
        <v>3.7999999999999999E-2</v>
      </c>
      <c r="N31" s="111"/>
      <c r="O31" s="113">
        <v>0.04</v>
      </c>
      <c r="P31" s="111"/>
      <c r="Q31" s="113">
        <v>4.2999999999999997E-2</v>
      </c>
      <c r="R31" s="111"/>
      <c r="S31" s="149">
        <v>2.4E-2</v>
      </c>
      <c r="T31" s="111"/>
      <c r="U31" s="149"/>
      <c r="V31" s="111"/>
      <c r="W31" s="149"/>
      <c r="X31" s="111"/>
      <c r="Y31" s="149"/>
      <c r="Z31" s="111"/>
      <c r="AA31" s="149"/>
      <c r="AB31" s="111"/>
      <c r="AC31" s="149"/>
      <c r="AD31" s="111"/>
      <c r="AE31" s="149"/>
      <c r="AF31" s="111"/>
      <c r="AG31" s="149"/>
      <c r="AH31" s="111"/>
      <c r="AI31" s="149"/>
      <c r="AJ31" s="111"/>
      <c r="AK31" s="149"/>
      <c r="AL31" s="111"/>
      <c r="AM31" s="149"/>
      <c r="AN31" s="111"/>
      <c r="AO31" s="149"/>
      <c r="AP31" s="111"/>
      <c r="AQ31" s="149"/>
      <c r="AR31" s="111"/>
      <c r="AS31" s="149"/>
      <c r="AT31" s="111"/>
      <c r="AU31" s="149"/>
      <c r="AV31" s="111"/>
      <c r="AW31" s="149"/>
      <c r="AX31" s="31"/>
    </row>
    <row r="32" spans="1:50" s="26" customFormat="1" x14ac:dyDescent="0.3">
      <c r="A32" s="31"/>
      <c r="B32" s="56" t="s">
        <v>214</v>
      </c>
      <c r="C32" s="56" t="s">
        <v>200</v>
      </c>
      <c r="D32" s="56" t="s">
        <v>157</v>
      </c>
      <c r="E32" s="235"/>
      <c r="F32" s="111"/>
      <c r="G32" s="113">
        <v>0.01</v>
      </c>
      <c r="H32" s="111"/>
      <c r="I32" s="113">
        <v>3.5000000000000003E-2</v>
      </c>
      <c r="J32" s="181"/>
      <c r="K32" s="113">
        <v>3.5000000000000003E-2</v>
      </c>
      <c r="L32" s="111"/>
      <c r="M32" s="113">
        <v>3.7999999999999999E-2</v>
      </c>
      <c r="N32" s="111"/>
      <c r="O32" s="113">
        <v>0.04</v>
      </c>
      <c r="P32" s="111"/>
      <c r="Q32" s="113">
        <v>4.2999999999999997E-2</v>
      </c>
      <c r="R32" s="111"/>
      <c r="S32" s="149">
        <v>2.4E-2</v>
      </c>
      <c r="T32" s="111"/>
      <c r="U32" s="149"/>
      <c r="V32" s="111"/>
      <c r="W32" s="149"/>
      <c r="X32" s="111"/>
      <c r="Y32" s="149"/>
      <c r="Z32" s="111"/>
      <c r="AA32" s="149"/>
      <c r="AB32" s="111"/>
      <c r="AC32" s="149"/>
      <c r="AD32" s="111"/>
      <c r="AE32" s="149"/>
      <c r="AF32" s="111"/>
      <c r="AG32" s="149"/>
      <c r="AH32" s="111"/>
      <c r="AI32" s="149"/>
      <c r="AJ32" s="111"/>
      <c r="AK32" s="149"/>
      <c r="AL32" s="111"/>
      <c r="AM32" s="149"/>
      <c r="AN32" s="111"/>
      <c r="AO32" s="149"/>
      <c r="AP32" s="111"/>
      <c r="AQ32" s="149"/>
      <c r="AR32" s="111"/>
      <c r="AS32" s="149"/>
      <c r="AT32" s="111"/>
      <c r="AU32" s="149"/>
      <c r="AV32" s="111"/>
      <c r="AW32" s="149"/>
      <c r="AX32" s="31"/>
    </row>
    <row r="33" spans="1:50" s="26" customFormat="1" x14ac:dyDescent="0.3">
      <c r="A33" s="31"/>
      <c r="B33" s="56" t="s">
        <v>215</v>
      </c>
      <c r="C33" s="56" t="s">
        <v>197</v>
      </c>
      <c r="D33" s="56" t="s">
        <v>157</v>
      </c>
      <c r="E33" s="235"/>
      <c r="F33" s="111"/>
      <c r="G33" s="113">
        <v>0.38100000000000001</v>
      </c>
      <c r="H33" s="111"/>
      <c r="I33" s="113">
        <v>0.34300000000000003</v>
      </c>
      <c r="J33" s="181"/>
      <c r="K33" s="113">
        <v>0.34300000000000003</v>
      </c>
      <c r="L33" s="111"/>
      <c r="M33" s="113">
        <v>0.32500000000000001</v>
      </c>
      <c r="N33" s="111"/>
      <c r="O33" s="113">
        <v>0.34599999999999997</v>
      </c>
      <c r="P33" s="111"/>
      <c r="Q33" s="113">
        <v>0.32600000000000001</v>
      </c>
      <c r="R33" s="111"/>
      <c r="S33" s="149">
        <v>0.35899999999999999</v>
      </c>
      <c r="T33" s="111"/>
      <c r="U33" s="149"/>
      <c r="V33" s="111"/>
      <c r="W33" s="149"/>
      <c r="X33" s="111"/>
      <c r="Y33" s="149"/>
      <c r="Z33" s="111"/>
      <c r="AA33" s="149"/>
      <c r="AB33" s="111"/>
      <c r="AC33" s="149"/>
      <c r="AD33" s="111"/>
      <c r="AE33" s="149"/>
      <c r="AF33" s="111"/>
      <c r="AG33" s="149"/>
      <c r="AH33" s="111"/>
      <c r="AI33" s="149"/>
      <c r="AJ33" s="111"/>
      <c r="AK33" s="149"/>
      <c r="AL33" s="111"/>
      <c r="AM33" s="149"/>
      <c r="AN33" s="111"/>
      <c r="AO33" s="149"/>
      <c r="AP33" s="111"/>
      <c r="AQ33" s="149"/>
      <c r="AR33" s="111"/>
      <c r="AS33" s="149"/>
      <c r="AT33" s="111"/>
      <c r="AU33" s="149"/>
      <c r="AV33" s="111"/>
      <c r="AW33" s="149"/>
      <c r="AX33" s="31"/>
    </row>
    <row r="34" spans="1:50" s="26" customFormat="1" x14ac:dyDescent="0.3">
      <c r="A34" s="31"/>
      <c r="B34" s="56" t="s">
        <v>216</v>
      </c>
      <c r="C34" s="56" t="s">
        <v>197</v>
      </c>
      <c r="D34" s="56" t="s">
        <v>157</v>
      </c>
      <c r="E34" s="235"/>
      <c r="F34" s="111"/>
      <c r="G34" s="113">
        <v>0.28799999999999998</v>
      </c>
      <c r="H34" s="111"/>
      <c r="I34" s="113">
        <v>0.25900000000000001</v>
      </c>
      <c r="J34" s="181"/>
      <c r="K34" s="113">
        <v>0.25900000000000001</v>
      </c>
      <c r="L34" s="111"/>
      <c r="M34" s="113">
        <v>0.245</v>
      </c>
      <c r="N34" s="111"/>
      <c r="O34" s="113">
        <v>0.26100000000000001</v>
      </c>
      <c r="P34" s="111"/>
      <c r="Q34" s="113">
        <v>0.24399999999999999</v>
      </c>
      <c r="R34" s="111"/>
      <c r="S34" s="149">
        <v>0.26900000000000002</v>
      </c>
      <c r="T34" s="111"/>
      <c r="U34" s="149"/>
      <c r="V34" s="111"/>
      <c r="W34" s="149"/>
      <c r="X34" s="111"/>
      <c r="Y34" s="149"/>
      <c r="Z34" s="111"/>
      <c r="AA34" s="149"/>
      <c r="AB34" s="111"/>
      <c r="AC34" s="149"/>
      <c r="AD34" s="111"/>
      <c r="AE34" s="149"/>
      <c r="AF34" s="111"/>
      <c r="AG34" s="149"/>
      <c r="AH34" s="111"/>
      <c r="AI34" s="149"/>
      <c r="AJ34" s="111"/>
      <c r="AK34" s="149"/>
      <c r="AL34" s="111"/>
      <c r="AM34" s="149"/>
      <c r="AN34" s="111"/>
      <c r="AO34" s="149"/>
      <c r="AP34" s="111"/>
      <c r="AQ34" s="149"/>
      <c r="AR34" s="111"/>
      <c r="AS34" s="149"/>
      <c r="AT34" s="111"/>
      <c r="AU34" s="149"/>
      <c r="AV34" s="111"/>
      <c r="AW34" s="149"/>
      <c r="AX34" s="31"/>
    </row>
    <row r="35" spans="1:50" s="26" customFormat="1" x14ac:dyDescent="0.3">
      <c r="A35" s="31"/>
      <c r="B35" s="56" t="s">
        <v>217</v>
      </c>
      <c r="C35" s="56" t="s">
        <v>197</v>
      </c>
      <c r="D35" s="56" t="s">
        <v>157</v>
      </c>
      <c r="E35" s="235"/>
      <c r="F35" s="111"/>
      <c r="G35" s="113" t="e">
        <f>NA()</f>
        <v>#N/A</v>
      </c>
      <c r="H35" s="111"/>
      <c r="I35" s="113">
        <v>0.44500000000000001</v>
      </c>
      <c r="J35" s="181"/>
      <c r="K35" s="113">
        <v>0.44500000000000001</v>
      </c>
      <c r="L35" s="111"/>
      <c r="M35" s="113">
        <v>0.53200000000000003</v>
      </c>
      <c r="N35" s="111"/>
      <c r="O35" s="113">
        <v>0.54700000000000004</v>
      </c>
      <c r="P35" s="111"/>
      <c r="Q35" s="113">
        <v>0.58899999999999997</v>
      </c>
      <c r="R35" s="111"/>
      <c r="S35" s="149">
        <v>0.59399999999999997</v>
      </c>
      <c r="T35" s="111"/>
      <c r="U35" s="149"/>
      <c r="V35" s="111"/>
      <c r="W35" s="149"/>
      <c r="X35" s="111"/>
      <c r="Y35" s="149"/>
      <c r="Z35" s="111"/>
      <c r="AA35" s="149"/>
      <c r="AB35" s="111"/>
      <c r="AC35" s="149"/>
      <c r="AD35" s="111"/>
      <c r="AE35" s="149"/>
      <c r="AF35" s="111"/>
      <c r="AG35" s="149"/>
      <c r="AH35" s="111"/>
      <c r="AI35" s="149"/>
      <c r="AJ35" s="111"/>
      <c r="AK35" s="149"/>
      <c r="AL35" s="111"/>
      <c r="AM35" s="149"/>
      <c r="AN35" s="111"/>
      <c r="AO35" s="149"/>
      <c r="AP35" s="111"/>
      <c r="AQ35" s="149"/>
      <c r="AR35" s="111"/>
      <c r="AS35" s="149"/>
      <c r="AT35" s="111"/>
      <c r="AU35" s="149"/>
      <c r="AV35" s="111"/>
      <c r="AW35" s="149"/>
      <c r="AX35" s="31"/>
    </row>
    <row r="36" spans="1:50" s="26" customFormat="1" x14ac:dyDescent="0.3">
      <c r="A36" s="31"/>
      <c r="B36" s="56" t="s">
        <v>218</v>
      </c>
      <c r="C36" s="56" t="s">
        <v>197</v>
      </c>
      <c r="D36" s="56" t="s">
        <v>157</v>
      </c>
      <c r="E36" s="235"/>
      <c r="F36" s="111"/>
      <c r="G36" s="113" t="e">
        <f>NA()</f>
        <v>#N/A</v>
      </c>
      <c r="H36" s="111"/>
      <c r="I36" s="113">
        <v>0.33600000000000002</v>
      </c>
      <c r="J36" s="181"/>
      <c r="K36" s="113">
        <v>0.33600000000000002</v>
      </c>
      <c r="L36" s="111"/>
      <c r="M36" s="113">
        <v>0.40200000000000002</v>
      </c>
      <c r="N36" s="111"/>
      <c r="O36" s="113">
        <v>0.41299999999999998</v>
      </c>
      <c r="P36" s="111"/>
      <c r="Q36" s="113">
        <v>0.442</v>
      </c>
      <c r="R36" s="111"/>
      <c r="S36" s="149">
        <v>0.44500000000000001</v>
      </c>
      <c r="T36" s="111"/>
      <c r="U36" s="149"/>
      <c r="V36" s="111"/>
      <c r="W36" s="149"/>
      <c r="X36" s="111"/>
      <c r="Y36" s="149"/>
      <c r="Z36" s="111"/>
      <c r="AA36" s="149"/>
      <c r="AB36" s="111"/>
      <c r="AC36" s="149"/>
      <c r="AD36" s="111"/>
      <c r="AE36" s="149"/>
      <c r="AF36" s="111"/>
      <c r="AG36" s="149"/>
      <c r="AH36" s="111"/>
      <c r="AI36" s="149"/>
      <c r="AJ36" s="111"/>
      <c r="AK36" s="149"/>
      <c r="AL36" s="111"/>
      <c r="AM36" s="149"/>
      <c r="AN36" s="111"/>
      <c r="AO36" s="149"/>
      <c r="AP36" s="111"/>
      <c r="AQ36" s="149"/>
      <c r="AR36" s="111"/>
      <c r="AS36" s="149"/>
      <c r="AT36" s="111"/>
      <c r="AU36" s="149"/>
      <c r="AV36" s="111"/>
      <c r="AW36" s="149"/>
      <c r="AX36" s="31"/>
    </row>
    <row r="37" spans="1:50" s="26" customFormat="1" x14ac:dyDescent="0.3">
      <c r="A37" s="31"/>
      <c r="B37" s="56" t="s">
        <v>219</v>
      </c>
      <c r="C37" s="56" t="s">
        <v>200</v>
      </c>
      <c r="D37" s="56" t="s">
        <v>157</v>
      </c>
      <c r="E37" s="235"/>
      <c r="F37" s="114"/>
      <c r="G37" s="100">
        <v>5700000</v>
      </c>
      <c r="H37" s="114"/>
      <c r="I37" s="100">
        <v>9500000</v>
      </c>
      <c r="J37" s="181"/>
      <c r="K37" s="100">
        <v>9500000</v>
      </c>
      <c r="L37" s="114"/>
      <c r="M37" s="100">
        <v>4800000</v>
      </c>
      <c r="N37" s="114"/>
      <c r="O37" s="100">
        <v>3500000</v>
      </c>
      <c r="P37" s="114"/>
      <c r="Q37" s="100">
        <v>4600000</v>
      </c>
      <c r="R37" s="114"/>
      <c r="S37" s="147">
        <v>3700000</v>
      </c>
      <c r="T37" s="114"/>
      <c r="U37" s="147"/>
      <c r="V37" s="114"/>
      <c r="W37" s="147"/>
      <c r="X37" s="114"/>
      <c r="Y37" s="147"/>
      <c r="Z37" s="114"/>
      <c r="AA37" s="147"/>
      <c r="AB37" s="114"/>
      <c r="AC37" s="147"/>
      <c r="AD37" s="114"/>
      <c r="AE37" s="147"/>
      <c r="AF37" s="114"/>
      <c r="AG37" s="147"/>
      <c r="AH37" s="114"/>
      <c r="AI37" s="147"/>
      <c r="AJ37" s="114"/>
      <c r="AK37" s="147"/>
      <c r="AL37" s="114"/>
      <c r="AM37" s="147"/>
      <c r="AN37" s="114"/>
      <c r="AO37" s="147"/>
      <c r="AP37" s="114"/>
      <c r="AQ37" s="147"/>
      <c r="AR37" s="114"/>
      <c r="AS37" s="147"/>
      <c r="AT37" s="114"/>
      <c r="AU37" s="147"/>
      <c r="AV37" s="114"/>
      <c r="AW37" s="147"/>
      <c r="AX37" s="31"/>
    </row>
    <row r="38" spans="1:50" s="26" customFormat="1" x14ac:dyDescent="0.3">
      <c r="A38" s="31"/>
      <c r="B38" s="56" t="s">
        <v>220</v>
      </c>
      <c r="C38" s="56"/>
      <c r="D38" s="56" t="s">
        <v>221</v>
      </c>
      <c r="E38" s="235"/>
      <c r="F38" s="100">
        <v>12</v>
      </c>
      <c r="G38" s="100">
        <v>12</v>
      </c>
      <c r="H38" s="100">
        <v>12</v>
      </c>
      <c r="I38" s="100">
        <v>12</v>
      </c>
      <c r="J38" s="181"/>
      <c r="K38" s="100">
        <v>12</v>
      </c>
      <c r="L38" s="100">
        <v>12</v>
      </c>
      <c r="M38" s="100">
        <v>12</v>
      </c>
      <c r="N38" s="100">
        <v>12</v>
      </c>
      <c r="O38" s="100">
        <v>12</v>
      </c>
      <c r="P38" s="100">
        <v>12</v>
      </c>
      <c r="Q38" s="100">
        <v>12</v>
      </c>
      <c r="R38" s="100">
        <v>12</v>
      </c>
      <c r="S38" s="100">
        <v>12</v>
      </c>
      <c r="T38" s="100">
        <v>12</v>
      </c>
      <c r="U38" s="100">
        <v>12</v>
      </c>
      <c r="V38" s="100">
        <v>12</v>
      </c>
      <c r="W38" s="100">
        <v>12</v>
      </c>
      <c r="X38" s="100">
        <v>12</v>
      </c>
      <c r="Y38" s="100">
        <v>12</v>
      </c>
      <c r="Z38" s="100">
        <v>12</v>
      </c>
      <c r="AA38" s="100">
        <v>12</v>
      </c>
      <c r="AB38" s="100">
        <v>12</v>
      </c>
      <c r="AC38" s="100">
        <v>12</v>
      </c>
      <c r="AD38" s="100">
        <v>12</v>
      </c>
      <c r="AE38" s="100">
        <v>12</v>
      </c>
      <c r="AF38" s="100">
        <v>12</v>
      </c>
      <c r="AG38" s="100">
        <v>12</v>
      </c>
      <c r="AH38" s="100">
        <v>12</v>
      </c>
      <c r="AI38" s="100">
        <v>12</v>
      </c>
      <c r="AJ38" s="100">
        <v>12</v>
      </c>
      <c r="AK38" s="100">
        <v>12</v>
      </c>
      <c r="AL38" s="100">
        <v>12</v>
      </c>
      <c r="AM38" s="100">
        <v>12</v>
      </c>
      <c r="AN38" s="100">
        <v>12</v>
      </c>
      <c r="AO38" s="100">
        <v>12</v>
      </c>
      <c r="AP38" s="100">
        <v>12</v>
      </c>
      <c r="AQ38" s="100">
        <v>12</v>
      </c>
      <c r="AR38" s="100">
        <v>12</v>
      </c>
      <c r="AS38" s="100">
        <v>12</v>
      </c>
      <c r="AT38" s="100">
        <v>12</v>
      </c>
      <c r="AU38" s="100">
        <v>12</v>
      </c>
      <c r="AV38" s="100">
        <v>12</v>
      </c>
      <c r="AW38" s="100">
        <v>12</v>
      </c>
      <c r="AX38" s="31"/>
    </row>
    <row r="39" spans="1:50" s="26" customFormat="1" x14ac:dyDescent="0.3">
      <c r="A39" s="31"/>
      <c r="B39" s="248" t="s">
        <v>168</v>
      </c>
      <c r="C39" s="249"/>
      <c r="D39" s="249"/>
      <c r="E39" s="249"/>
      <c r="F39" s="249"/>
      <c r="G39" s="249"/>
      <c r="H39" s="249"/>
      <c r="I39" s="249"/>
      <c r="J39" s="249"/>
      <c r="K39" s="249"/>
      <c r="L39" s="249"/>
      <c r="M39" s="249"/>
      <c r="N39" s="249"/>
      <c r="O39" s="249"/>
      <c r="P39" s="249"/>
      <c r="Q39" s="249"/>
      <c r="R39" s="249"/>
      <c r="S39" s="249"/>
      <c r="T39" s="249"/>
      <c r="U39" s="250"/>
      <c r="V39" s="249"/>
      <c r="W39" s="249"/>
      <c r="X39" s="249"/>
      <c r="Y39" s="249"/>
      <c r="Z39" s="249"/>
      <c r="AA39" s="249"/>
      <c r="AB39" s="249"/>
      <c r="AC39" s="249"/>
      <c r="AD39" s="249"/>
      <c r="AE39" s="249"/>
      <c r="AF39" s="249"/>
      <c r="AG39" s="249"/>
      <c r="AH39" s="249"/>
      <c r="AI39" s="249"/>
      <c r="AJ39" s="249"/>
      <c r="AK39" s="249"/>
      <c r="AL39" s="249"/>
      <c r="AM39" s="249"/>
      <c r="AN39" s="249"/>
      <c r="AO39" s="250"/>
      <c r="AP39" s="249"/>
      <c r="AQ39" s="249"/>
      <c r="AR39" s="249"/>
      <c r="AS39" s="249"/>
      <c r="AT39" s="249"/>
      <c r="AU39" s="249"/>
      <c r="AV39" s="249"/>
      <c r="AW39" s="250"/>
      <c r="AX39" s="31"/>
    </row>
    <row r="40" spans="1:50" s="26" customFormat="1" x14ac:dyDescent="0.3">
      <c r="A40" s="31"/>
      <c r="B40" s="56" t="s">
        <v>173</v>
      </c>
      <c r="C40" s="209"/>
      <c r="D40" s="56" t="s">
        <v>166</v>
      </c>
      <c r="E40" s="235"/>
      <c r="F40" s="106">
        <f t="shared" ref="F40:H41" si="4">IFERROR(F12/SUM(F$12:F$13),"")</f>
        <v>0.54227146386658431</v>
      </c>
      <c r="G40" s="106">
        <f t="shared" si="4"/>
        <v>0.54227146386658431</v>
      </c>
      <c r="H40" s="106">
        <f t="shared" si="4"/>
        <v>0.54227146386658431</v>
      </c>
      <c r="I40" s="106">
        <f>IFERROR(I12/SUM(I$12:I$13),"")</f>
        <v>0.54227146386658431</v>
      </c>
      <c r="J40" s="181"/>
      <c r="K40" s="106">
        <f t="shared" ref="K40:T40" si="5">IFERROR(K12/SUM(K$12:K$13),"")</f>
        <v>0.54227146386658431</v>
      </c>
      <c r="L40" s="106">
        <f t="shared" ref="L40:O41" si="6">IFERROR(L12/SUM(L$12:L$13),"")</f>
        <v>0.54158599934827201</v>
      </c>
      <c r="M40" s="106">
        <f t="shared" si="6"/>
        <v>0.54158599934827201</v>
      </c>
      <c r="N40" s="106">
        <f t="shared" si="6"/>
        <v>0.54017763745982239</v>
      </c>
      <c r="O40" s="106">
        <f t="shared" si="6"/>
        <v>0.54017763745982239</v>
      </c>
      <c r="P40" s="106">
        <f t="shared" si="5"/>
        <v>0.54370549916679289</v>
      </c>
      <c r="Q40" s="106">
        <f>IFERROR(Q12/SUM(Q$12:Q$13),"")</f>
        <v>0.54370549916679289</v>
      </c>
      <c r="R40" s="106">
        <f t="shared" si="5"/>
        <v>0.54514294323703338</v>
      </c>
      <c r="S40" s="106">
        <f>IFERROR(S12/SUM(S$12:S$13),"")</f>
        <v>0.54514294323703338</v>
      </c>
      <c r="T40" s="106">
        <f t="shared" si="5"/>
        <v>0.54524899560870788</v>
      </c>
      <c r="U40" s="106" t="str">
        <f>IFERROR(U12/SUM(U$12:U$13),"")</f>
        <v/>
      </c>
      <c r="V40" s="106" t="str">
        <f t="shared" ref="V40:AW40" si="7">IFERROR(V12/SUM(V$12:V$13),"")</f>
        <v/>
      </c>
      <c r="W40" s="106" t="str">
        <f t="shared" si="7"/>
        <v/>
      </c>
      <c r="X40" s="106" t="str">
        <f t="shared" si="7"/>
        <v/>
      </c>
      <c r="Y40" s="106" t="str">
        <f t="shared" si="7"/>
        <v/>
      </c>
      <c r="Z40" s="106" t="str">
        <f t="shared" si="7"/>
        <v/>
      </c>
      <c r="AA40" s="106" t="str">
        <f t="shared" si="7"/>
        <v/>
      </c>
      <c r="AB40" s="106" t="str">
        <f t="shared" si="7"/>
        <v/>
      </c>
      <c r="AC40" s="106" t="str">
        <f t="shared" si="7"/>
        <v/>
      </c>
      <c r="AD40" s="106" t="str">
        <f t="shared" si="7"/>
        <v/>
      </c>
      <c r="AE40" s="106" t="str">
        <f t="shared" si="7"/>
        <v/>
      </c>
      <c r="AF40" s="106" t="str">
        <f t="shared" si="7"/>
        <v/>
      </c>
      <c r="AG40" s="106" t="str">
        <f t="shared" si="7"/>
        <v/>
      </c>
      <c r="AH40" s="106" t="str">
        <f t="shared" si="7"/>
        <v/>
      </c>
      <c r="AI40" s="106" t="str">
        <f t="shared" si="7"/>
        <v/>
      </c>
      <c r="AJ40" s="106" t="str">
        <f t="shared" si="7"/>
        <v/>
      </c>
      <c r="AK40" s="106" t="str">
        <f t="shared" si="7"/>
        <v/>
      </c>
      <c r="AL40" s="106" t="str">
        <f t="shared" si="7"/>
        <v/>
      </c>
      <c r="AM40" s="106" t="str">
        <f t="shared" si="7"/>
        <v/>
      </c>
      <c r="AN40" s="106" t="str">
        <f t="shared" si="7"/>
        <v/>
      </c>
      <c r="AO40" s="106" t="str">
        <f t="shared" si="7"/>
        <v/>
      </c>
      <c r="AP40" s="106" t="str">
        <f t="shared" si="7"/>
        <v/>
      </c>
      <c r="AQ40" s="106" t="str">
        <f t="shared" si="7"/>
        <v/>
      </c>
      <c r="AR40" s="106" t="str">
        <f t="shared" si="7"/>
        <v/>
      </c>
      <c r="AS40" s="106" t="str">
        <f t="shared" si="7"/>
        <v/>
      </c>
      <c r="AT40" s="106" t="str">
        <f t="shared" si="7"/>
        <v/>
      </c>
      <c r="AU40" s="106" t="str">
        <f t="shared" si="7"/>
        <v/>
      </c>
      <c r="AV40" s="106" t="str">
        <f t="shared" si="7"/>
        <v/>
      </c>
      <c r="AW40" s="106" t="str">
        <f t="shared" si="7"/>
        <v/>
      </c>
      <c r="AX40" s="31"/>
    </row>
    <row r="41" spans="1:50" s="26" customFormat="1" x14ac:dyDescent="0.3">
      <c r="A41" s="31"/>
      <c r="B41" s="56" t="s">
        <v>174</v>
      </c>
      <c r="C41" s="235"/>
      <c r="D41" s="56" t="s">
        <v>166</v>
      </c>
      <c r="E41" s="235"/>
      <c r="F41" s="106">
        <f t="shared" si="4"/>
        <v>0.45772853613341569</v>
      </c>
      <c r="G41" s="106">
        <f t="shared" si="4"/>
        <v>0.45772853613341569</v>
      </c>
      <c r="H41" s="106">
        <f t="shared" si="4"/>
        <v>0.45772853613341569</v>
      </c>
      <c r="I41" s="106">
        <f>IFERROR(I13/SUM(I$12:I$13),"")</f>
        <v>0.45772853613341569</v>
      </c>
      <c r="J41" s="181"/>
      <c r="K41" s="106">
        <f t="shared" ref="K41:T41" si="8">IFERROR(K13/SUM(K$12:K$13),"")</f>
        <v>0.45772853613341569</v>
      </c>
      <c r="L41" s="106">
        <f t="shared" si="6"/>
        <v>0.45841400065172805</v>
      </c>
      <c r="M41" s="106">
        <f t="shared" si="6"/>
        <v>0.45841400065172805</v>
      </c>
      <c r="N41" s="106">
        <f t="shared" si="6"/>
        <v>0.45982236254017766</v>
      </c>
      <c r="O41" s="106">
        <f t="shared" si="6"/>
        <v>0.45982236254017766</v>
      </c>
      <c r="P41" s="106">
        <f t="shared" si="8"/>
        <v>0.45629450083320711</v>
      </c>
      <c r="Q41" s="106">
        <f>IFERROR(Q13/SUM(Q$12:Q$13),"")</f>
        <v>0.45629450083320711</v>
      </c>
      <c r="R41" s="106">
        <f t="shared" si="8"/>
        <v>0.45485705676296662</v>
      </c>
      <c r="S41" s="106">
        <f>IFERROR(S13/SUM(S$12:S$13),"")</f>
        <v>0.45485705676296662</v>
      </c>
      <c r="T41" s="106">
        <f t="shared" si="8"/>
        <v>0.45475100439129218</v>
      </c>
      <c r="U41" s="106" t="str">
        <f>IFERROR(U13/SUM(U$12:U$13),"")</f>
        <v/>
      </c>
      <c r="V41" s="106" t="str">
        <f t="shared" ref="V41:AW41" si="9">IFERROR(V13/SUM(V$12:V$13),"")</f>
        <v/>
      </c>
      <c r="W41" s="106" t="str">
        <f t="shared" si="9"/>
        <v/>
      </c>
      <c r="X41" s="106" t="str">
        <f t="shared" si="9"/>
        <v/>
      </c>
      <c r="Y41" s="106" t="str">
        <f t="shared" si="9"/>
        <v/>
      </c>
      <c r="Z41" s="106" t="str">
        <f t="shared" si="9"/>
        <v/>
      </c>
      <c r="AA41" s="106" t="str">
        <f t="shared" si="9"/>
        <v/>
      </c>
      <c r="AB41" s="106" t="str">
        <f t="shared" si="9"/>
        <v/>
      </c>
      <c r="AC41" s="106" t="str">
        <f t="shared" si="9"/>
        <v/>
      </c>
      <c r="AD41" s="106" t="str">
        <f t="shared" si="9"/>
        <v/>
      </c>
      <c r="AE41" s="106" t="str">
        <f t="shared" si="9"/>
        <v/>
      </c>
      <c r="AF41" s="106" t="str">
        <f t="shared" si="9"/>
        <v/>
      </c>
      <c r="AG41" s="106" t="str">
        <f t="shared" si="9"/>
        <v/>
      </c>
      <c r="AH41" s="106" t="str">
        <f t="shared" si="9"/>
        <v/>
      </c>
      <c r="AI41" s="106" t="str">
        <f t="shared" si="9"/>
        <v/>
      </c>
      <c r="AJ41" s="106" t="str">
        <f t="shared" si="9"/>
        <v/>
      </c>
      <c r="AK41" s="106" t="str">
        <f t="shared" si="9"/>
        <v/>
      </c>
      <c r="AL41" s="106" t="str">
        <f t="shared" si="9"/>
        <v/>
      </c>
      <c r="AM41" s="106" t="str">
        <f t="shared" si="9"/>
        <v/>
      </c>
      <c r="AN41" s="106" t="str">
        <f t="shared" si="9"/>
        <v/>
      </c>
      <c r="AO41" s="106" t="str">
        <f t="shared" si="9"/>
        <v/>
      </c>
      <c r="AP41" s="106" t="str">
        <f t="shared" si="9"/>
        <v/>
      </c>
      <c r="AQ41" s="106" t="str">
        <f t="shared" si="9"/>
        <v/>
      </c>
      <c r="AR41" s="106" t="str">
        <f t="shared" si="9"/>
        <v/>
      </c>
      <c r="AS41" s="106" t="str">
        <f t="shared" si="9"/>
        <v/>
      </c>
      <c r="AT41" s="106" t="str">
        <f t="shared" si="9"/>
        <v/>
      </c>
      <c r="AU41" s="106" t="str">
        <f t="shared" si="9"/>
        <v/>
      </c>
      <c r="AV41" s="106" t="str">
        <f t="shared" si="9"/>
        <v/>
      </c>
      <c r="AW41" s="106" t="str">
        <f t="shared" si="9"/>
        <v/>
      </c>
      <c r="AX41" s="31"/>
    </row>
    <row r="42" spans="1:50" s="26" customFormat="1" x14ac:dyDescent="0.3">
      <c r="A42" s="31"/>
      <c r="B42" s="56" t="s">
        <v>222</v>
      </c>
      <c r="C42" s="235"/>
      <c r="D42" s="56" t="s">
        <v>157</v>
      </c>
      <c r="E42" s="235"/>
      <c r="F42" s="109">
        <f>((F20+F29)*F12*F$38)</f>
        <v>159461544</v>
      </c>
      <c r="G42" s="109">
        <f>((G20+G29)*G12*G$38)</f>
        <v>156090264</v>
      </c>
      <c r="H42" s="109">
        <f>((H20+H29)*H12*H$38)</f>
        <v>219470328</v>
      </c>
      <c r="I42" s="109">
        <f>((I20+I29)*I12*I$38)</f>
        <v>220144584</v>
      </c>
      <c r="J42" s="181"/>
      <c r="K42" s="109">
        <f t="shared" ref="K42:T42" si="10">((K20+K29)*K12*K$38)</f>
        <v>220144584</v>
      </c>
      <c r="L42" s="109">
        <f t="shared" si="10"/>
        <v>269882208</v>
      </c>
      <c r="M42" s="109">
        <f>((M20+M29)*M12*M$38)</f>
        <v>267169824</v>
      </c>
      <c r="N42" s="109">
        <f>((N20+N29)*N12*N$38)</f>
        <v>332985048</v>
      </c>
      <c r="O42" s="109">
        <f>((O20+O29)*O12*O$38)</f>
        <v>332985048</v>
      </c>
      <c r="P42" s="109">
        <f t="shared" si="10"/>
        <v>315257760</v>
      </c>
      <c r="Q42" s="109">
        <f>((Q20+Q29)*Q12*Q$38)</f>
        <v>314568672</v>
      </c>
      <c r="R42" s="109">
        <f t="shared" si="10"/>
        <v>317827080</v>
      </c>
      <c r="S42" s="109">
        <f>((S20+S29)*S12*S$38)</f>
        <v>319216488</v>
      </c>
      <c r="T42" s="109">
        <f t="shared" si="10"/>
        <v>322136160</v>
      </c>
      <c r="U42" s="109">
        <f>((U20+U29)*U12*U$38)</f>
        <v>0</v>
      </c>
      <c r="V42" s="109">
        <f t="shared" ref="V42:AW42" si="11">((V20+V29)*V12*V$38)</f>
        <v>0</v>
      </c>
      <c r="W42" s="109">
        <f t="shared" si="11"/>
        <v>0</v>
      </c>
      <c r="X42" s="109">
        <f t="shared" si="11"/>
        <v>0</v>
      </c>
      <c r="Y42" s="109">
        <f t="shared" si="11"/>
        <v>0</v>
      </c>
      <c r="Z42" s="109">
        <f t="shared" si="11"/>
        <v>0</v>
      </c>
      <c r="AA42" s="109">
        <f t="shared" si="11"/>
        <v>0</v>
      </c>
      <c r="AB42" s="109">
        <f t="shared" si="11"/>
        <v>0</v>
      </c>
      <c r="AC42" s="109">
        <f t="shared" si="11"/>
        <v>0</v>
      </c>
      <c r="AD42" s="109">
        <f t="shared" si="11"/>
        <v>0</v>
      </c>
      <c r="AE42" s="109">
        <f t="shared" si="11"/>
        <v>0</v>
      </c>
      <c r="AF42" s="109">
        <f t="shared" si="11"/>
        <v>0</v>
      </c>
      <c r="AG42" s="109">
        <f t="shared" si="11"/>
        <v>0</v>
      </c>
      <c r="AH42" s="109">
        <f t="shared" si="11"/>
        <v>0</v>
      </c>
      <c r="AI42" s="109">
        <f t="shared" si="11"/>
        <v>0</v>
      </c>
      <c r="AJ42" s="109">
        <f t="shared" si="11"/>
        <v>0</v>
      </c>
      <c r="AK42" s="109">
        <f t="shared" si="11"/>
        <v>0</v>
      </c>
      <c r="AL42" s="109">
        <f t="shared" si="11"/>
        <v>0</v>
      </c>
      <c r="AM42" s="109">
        <f t="shared" si="11"/>
        <v>0</v>
      </c>
      <c r="AN42" s="109">
        <f t="shared" si="11"/>
        <v>0</v>
      </c>
      <c r="AO42" s="109">
        <f t="shared" si="11"/>
        <v>0</v>
      </c>
      <c r="AP42" s="109">
        <f t="shared" si="11"/>
        <v>0</v>
      </c>
      <c r="AQ42" s="109">
        <f t="shared" si="11"/>
        <v>0</v>
      </c>
      <c r="AR42" s="109">
        <f t="shared" si="11"/>
        <v>0</v>
      </c>
      <c r="AS42" s="109">
        <f t="shared" si="11"/>
        <v>0</v>
      </c>
      <c r="AT42" s="109">
        <f t="shared" si="11"/>
        <v>0</v>
      </c>
      <c r="AU42" s="109">
        <f t="shared" si="11"/>
        <v>0</v>
      </c>
      <c r="AV42" s="109">
        <f t="shared" si="11"/>
        <v>0</v>
      </c>
      <c r="AW42" s="109">
        <f t="shared" si="11"/>
        <v>0</v>
      </c>
      <c r="AX42" s="31"/>
    </row>
    <row r="43" spans="1:50" s="26" customFormat="1" x14ac:dyDescent="0.3">
      <c r="A43" s="31"/>
      <c r="B43" s="56" t="s">
        <v>223</v>
      </c>
      <c r="C43" s="235"/>
      <c r="D43" s="56" t="s">
        <v>157</v>
      </c>
      <c r="E43" s="235"/>
      <c r="F43" s="109">
        <f>(F21+F30)*F13*F$38</f>
        <v>101875344</v>
      </c>
      <c r="G43" s="109">
        <f>(G21+G30)*G13*G$38</f>
        <v>99598799.999999985</v>
      </c>
      <c r="H43" s="109">
        <f>(H21+H30)*H13*H$38</f>
        <v>140007456</v>
      </c>
      <c r="I43" s="109">
        <f>(I21+I30)*I13*I$38</f>
        <v>140576592</v>
      </c>
      <c r="J43" s="181"/>
      <c r="K43" s="109">
        <f t="shared" ref="K43:T43" si="12">(K21+K30)*K13*K$38</f>
        <v>140576592</v>
      </c>
      <c r="L43" s="109">
        <f t="shared" si="12"/>
        <v>172474980</v>
      </c>
      <c r="M43" s="109">
        <f>(M21+M30)*M13*M$38</f>
        <v>170753100</v>
      </c>
      <c r="N43" s="109">
        <f>(N21+N30)*N13*N$38</f>
        <v>213821388</v>
      </c>
      <c r="O43" s="109">
        <f>(O21+O30)*O13*O$38</f>
        <v>214111512</v>
      </c>
      <c r="P43" s="109">
        <f t="shared" si="12"/>
        <v>199804031.99999997</v>
      </c>
      <c r="Q43" s="109">
        <f>(Q21+Q30)*Q13*Q$38</f>
        <v>199225727.99999997</v>
      </c>
      <c r="R43" s="109">
        <f t="shared" si="12"/>
        <v>200268383.99999997</v>
      </c>
      <c r="S43" s="109">
        <f>(S21+S30)*S13*S$38</f>
        <v>201137855.99999997</v>
      </c>
      <c r="T43" s="109">
        <f t="shared" si="12"/>
        <v>202670208</v>
      </c>
      <c r="U43" s="109">
        <f>(U21+U30)*U13*U$38</f>
        <v>0</v>
      </c>
      <c r="V43" s="109">
        <f t="shared" ref="V43:AW43" si="13">(V21+V30)*V13*V$38</f>
        <v>0</v>
      </c>
      <c r="W43" s="109">
        <f t="shared" si="13"/>
        <v>0</v>
      </c>
      <c r="X43" s="109">
        <f t="shared" si="13"/>
        <v>0</v>
      </c>
      <c r="Y43" s="109">
        <f t="shared" si="13"/>
        <v>0</v>
      </c>
      <c r="Z43" s="109">
        <f t="shared" si="13"/>
        <v>0</v>
      </c>
      <c r="AA43" s="109">
        <f t="shared" si="13"/>
        <v>0</v>
      </c>
      <c r="AB43" s="109">
        <f t="shared" si="13"/>
        <v>0</v>
      </c>
      <c r="AC43" s="109">
        <f t="shared" si="13"/>
        <v>0</v>
      </c>
      <c r="AD43" s="109">
        <f t="shared" si="13"/>
        <v>0</v>
      </c>
      <c r="AE43" s="109">
        <f t="shared" si="13"/>
        <v>0</v>
      </c>
      <c r="AF43" s="109">
        <f t="shared" si="13"/>
        <v>0</v>
      </c>
      <c r="AG43" s="109">
        <f t="shared" si="13"/>
        <v>0</v>
      </c>
      <c r="AH43" s="109">
        <f t="shared" si="13"/>
        <v>0</v>
      </c>
      <c r="AI43" s="109">
        <f t="shared" si="13"/>
        <v>0</v>
      </c>
      <c r="AJ43" s="109">
        <f t="shared" si="13"/>
        <v>0</v>
      </c>
      <c r="AK43" s="109">
        <f t="shared" si="13"/>
        <v>0</v>
      </c>
      <c r="AL43" s="109">
        <f t="shared" si="13"/>
        <v>0</v>
      </c>
      <c r="AM43" s="109">
        <f t="shared" si="13"/>
        <v>0</v>
      </c>
      <c r="AN43" s="109">
        <f t="shared" si="13"/>
        <v>0</v>
      </c>
      <c r="AO43" s="109">
        <f t="shared" si="13"/>
        <v>0</v>
      </c>
      <c r="AP43" s="109">
        <f t="shared" si="13"/>
        <v>0</v>
      </c>
      <c r="AQ43" s="109">
        <f t="shared" si="13"/>
        <v>0</v>
      </c>
      <c r="AR43" s="109">
        <f t="shared" si="13"/>
        <v>0</v>
      </c>
      <c r="AS43" s="109">
        <f t="shared" si="13"/>
        <v>0</v>
      </c>
      <c r="AT43" s="109">
        <f t="shared" si="13"/>
        <v>0</v>
      </c>
      <c r="AU43" s="109">
        <f t="shared" si="13"/>
        <v>0</v>
      </c>
      <c r="AV43" s="109">
        <f t="shared" si="13"/>
        <v>0</v>
      </c>
      <c r="AW43" s="109">
        <f t="shared" si="13"/>
        <v>0</v>
      </c>
      <c r="AX43" s="31"/>
    </row>
    <row r="44" spans="1:50" s="26" customFormat="1" x14ac:dyDescent="0.3">
      <c r="A44" s="31"/>
      <c r="B44" s="56" t="s">
        <v>224</v>
      </c>
      <c r="C44" s="235"/>
      <c r="D44" s="56" t="s">
        <v>157</v>
      </c>
      <c r="E44" s="235"/>
      <c r="F44" s="109">
        <f t="shared" ref="F44:I45" si="14">F12*(F22+F31)*F$38</f>
        <v>3371280</v>
      </c>
      <c r="G44" s="109">
        <f t="shared" si="14"/>
        <v>3371280</v>
      </c>
      <c r="H44" s="109">
        <f>H12*(H22+H31)*H$38</f>
        <v>11799480.000000002</v>
      </c>
      <c r="I44" s="109">
        <f>I12*(I22+I31)*I$38</f>
        <v>11799480.000000002</v>
      </c>
      <c r="J44" s="181"/>
      <c r="K44" s="109">
        <f>K12*(K22+K31)*K$38</f>
        <v>11799480.000000002</v>
      </c>
      <c r="L44" s="109">
        <f t="shared" ref="L44:T44" si="15">L12*(L22+L31)*L$38</f>
        <v>32887656</v>
      </c>
      <c r="M44" s="109">
        <f t="shared" ref="M44:O45" si="16">M12*(M22+M31)*M$38</f>
        <v>12883824</v>
      </c>
      <c r="N44" s="109">
        <f t="shared" si="16"/>
        <v>13632960</v>
      </c>
      <c r="O44" s="109">
        <f t="shared" si="16"/>
        <v>13632960</v>
      </c>
      <c r="P44" s="109">
        <f t="shared" si="15"/>
        <v>14815392</v>
      </c>
      <c r="Q44" s="109">
        <f>Q12*(Q22+Q31)*Q$38</f>
        <v>14815392</v>
      </c>
      <c r="R44" s="109">
        <f t="shared" si="15"/>
        <v>8336448</v>
      </c>
      <c r="S44" s="109">
        <f>S12*(S22+S31)*S$38</f>
        <v>8336448</v>
      </c>
      <c r="T44" s="109">
        <f t="shared" si="15"/>
        <v>14005920</v>
      </c>
      <c r="U44" s="109">
        <f>U12*(U22+U31)*U$38</f>
        <v>0</v>
      </c>
      <c r="V44" s="109">
        <f t="shared" ref="V44:AW44" si="17">V12*(V22+V31)*V$38</f>
        <v>0</v>
      </c>
      <c r="W44" s="109">
        <f t="shared" si="17"/>
        <v>0</v>
      </c>
      <c r="X44" s="109">
        <f t="shared" si="17"/>
        <v>0</v>
      </c>
      <c r="Y44" s="109">
        <f t="shared" si="17"/>
        <v>0</v>
      </c>
      <c r="Z44" s="109">
        <f t="shared" si="17"/>
        <v>0</v>
      </c>
      <c r="AA44" s="109">
        <f t="shared" si="17"/>
        <v>0</v>
      </c>
      <c r="AB44" s="109">
        <f t="shared" si="17"/>
        <v>0</v>
      </c>
      <c r="AC44" s="109">
        <f t="shared" si="17"/>
        <v>0</v>
      </c>
      <c r="AD44" s="109">
        <f t="shared" si="17"/>
        <v>0</v>
      </c>
      <c r="AE44" s="109">
        <f t="shared" si="17"/>
        <v>0</v>
      </c>
      <c r="AF44" s="109">
        <f t="shared" si="17"/>
        <v>0</v>
      </c>
      <c r="AG44" s="109">
        <f t="shared" si="17"/>
        <v>0</v>
      </c>
      <c r="AH44" s="109">
        <f t="shared" si="17"/>
        <v>0</v>
      </c>
      <c r="AI44" s="109">
        <f t="shared" si="17"/>
        <v>0</v>
      </c>
      <c r="AJ44" s="109">
        <f t="shared" si="17"/>
        <v>0</v>
      </c>
      <c r="AK44" s="109">
        <f t="shared" si="17"/>
        <v>0</v>
      </c>
      <c r="AL44" s="109">
        <f t="shared" si="17"/>
        <v>0</v>
      </c>
      <c r="AM44" s="109">
        <f t="shared" si="17"/>
        <v>0</v>
      </c>
      <c r="AN44" s="109">
        <f t="shared" si="17"/>
        <v>0</v>
      </c>
      <c r="AO44" s="109">
        <f t="shared" si="17"/>
        <v>0</v>
      </c>
      <c r="AP44" s="109">
        <f t="shared" si="17"/>
        <v>0</v>
      </c>
      <c r="AQ44" s="109">
        <f t="shared" si="17"/>
        <v>0</v>
      </c>
      <c r="AR44" s="109">
        <f t="shared" si="17"/>
        <v>0</v>
      </c>
      <c r="AS44" s="109">
        <f t="shared" si="17"/>
        <v>0</v>
      </c>
      <c r="AT44" s="109">
        <f t="shared" si="17"/>
        <v>0</v>
      </c>
      <c r="AU44" s="109">
        <f t="shared" si="17"/>
        <v>0</v>
      </c>
      <c r="AV44" s="109">
        <f t="shared" si="17"/>
        <v>0</v>
      </c>
      <c r="AW44" s="109">
        <f t="shared" si="17"/>
        <v>0</v>
      </c>
      <c r="AX44" s="31"/>
    </row>
    <row r="45" spans="1:50" s="26" customFormat="1" x14ac:dyDescent="0.3">
      <c r="A45" s="31"/>
      <c r="B45" s="56" t="s">
        <v>225</v>
      </c>
      <c r="C45" s="235"/>
      <c r="D45" s="56" t="s">
        <v>157</v>
      </c>
      <c r="E45" s="235"/>
      <c r="F45" s="109">
        <f t="shared" si="14"/>
        <v>2845680</v>
      </c>
      <c r="G45" s="109">
        <f t="shared" si="14"/>
        <v>2845680</v>
      </c>
      <c r="H45" s="109">
        <f t="shared" si="14"/>
        <v>9959880.0000000019</v>
      </c>
      <c r="I45" s="109">
        <f t="shared" si="14"/>
        <v>9959880.0000000019</v>
      </c>
      <c r="J45" s="181"/>
      <c r="K45" s="109">
        <f t="shared" ref="K45:R45" si="18">K13*(K23+K32)*K$38</f>
        <v>9959880.0000000019</v>
      </c>
      <c r="L45" s="109">
        <f>L13*(L23+L32)*L$38</f>
        <v>27837060</v>
      </c>
      <c r="M45" s="109">
        <f t="shared" si="16"/>
        <v>10905240</v>
      </c>
      <c r="N45" s="109">
        <f t="shared" si="16"/>
        <v>11604960</v>
      </c>
      <c r="O45" s="109">
        <f t="shared" si="16"/>
        <v>11604960</v>
      </c>
      <c r="P45" s="109">
        <f t="shared" si="18"/>
        <v>12433535.999999998</v>
      </c>
      <c r="Q45" s="109">
        <f>Q13*(Q23+Q32)*Q$38</f>
        <v>12433535.999999998</v>
      </c>
      <c r="R45" s="109">
        <f t="shared" si="18"/>
        <v>6955776</v>
      </c>
      <c r="S45" s="109">
        <f>S13*(S23+S32)*S$38</f>
        <v>6955776</v>
      </c>
      <c r="T45" s="109">
        <f>T13*(T23+T32)*T$38</f>
        <v>11681280</v>
      </c>
      <c r="U45" s="109">
        <f>U13*(U23+U32)*U$38</f>
        <v>0</v>
      </c>
      <c r="V45" s="109">
        <f t="shared" ref="V45:AW45" si="19">V13*(V23+V32)*V$38</f>
        <v>0</v>
      </c>
      <c r="W45" s="109">
        <f t="shared" si="19"/>
        <v>0</v>
      </c>
      <c r="X45" s="109">
        <f t="shared" si="19"/>
        <v>0</v>
      </c>
      <c r="Y45" s="109">
        <f t="shared" si="19"/>
        <v>0</v>
      </c>
      <c r="Z45" s="109">
        <f t="shared" si="19"/>
        <v>0</v>
      </c>
      <c r="AA45" s="109">
        <f t="shared" si="19"/>
        <v>0</v>
      </c>
      <c r="AB45" s="109">
        <f t="shared" si="19"/>
        <v>0</v>
      </c>
      <c r="AC45" s="109">
        <f t="shared" si="19"/>
        <v>0</v>
      </c>
      <c r="AD45" s="109">
        <f t="shared" si="19"/>
        <v>0</v>
      </c>
      <c r="AE45" s="109">
        <f t="shared" si="19"/>
        <v>0</v>
      </c>
      <c r="AF45" s="109">
        <f t="shared" si="19"/>
        <v>0</v>
      </c>
      <c r="AG45" s="109">
        <f t="shared" si="19"/>
        <v>0</v>
      </c>
      <c r="AH45" s="109">
        <f t="shared" si="19"/>
        <v>0</v>
      </c>
      <c r="AI45" s="109">
        <f t="shared" si="19"/>
        <v>0</v>
      </c>
      <c r="AJ45" s="109">
        <f t="shared" si="19"/>
        <v>0</v>
      </c>
      <c r="AK45" s="109">
        <f t="shared" si="19"/>
        <v>0</v>
      </c>
      <c r="AL45" s="109">
        <f t="shared" si="19"/>
        <v>0</v>
      </c>
      <c r="AM45" s="109">
        <f t="shared" si="19"/>
        <v>0</v>
      </c>
      <c r="AN45" s="109">
        <f t="shared" si="19"/>
        <v>0</v>
      </c>
      <c r="AO45" s="109">
        <f t="shared" si="19"/>
        <v>0</v>
      </c>
      <c r="AP45" s="109">
        <f t="shared" si="19"/>
        <v>0</v>
      </c>
      <c r="AQ45" s="109">
        <f t="shared" si="19"/>
        <v>0</v>
      </c>
      <c r="AR45" s="109">
        <f t="shared" si="19"/>
        <v>0</v>
      </c>
      <c r="AS45" s="109">
        <f t="shared" si="19"/>
        <v>0</v>
      </c>
      <c r="AT45" s="109">
        <f t="shared" si="19"/>
        <v>0</v>
      </c>
      <c r="AU45" s="109">
        <f t="shared" si="19"/>
        <v>0</v>
      </c>
      <c r="AV45" s="109">
        <f t="shared" si="19"/>
        <v>0</v>
      </c>
      <c r="AW45" s="109">
        <f t="shared" si="19"/>
        <v>0</v>
      </c>
      <c r="AX45" s="31"/>
    </row>
    <row r="46" spans="1:50" s="26" customFormat="1" x14ac:dyDescent="0.3">
      <c r="A46" s="31"/>
      <c r="B46" s="56" t="s">
        <v>226</v>
      </c>
      <c r="C46" s="235"/>
      <c r="D46" s="56" t="s">
        <v>157</v>
      </c>
      <c r="E46" s="235"/>
      <c r="F46" s="109">
        <f>F14*F16*(F33+F24)*F$38</f>
        <v>0</v>
      </c>
      <c r="G46" s="109">
        <f>G14*G18*(G33+G24)*G$38</f>
        <v>0</v>
      </c>
      <c r="H46" s="109">
        <f>H14*H16*(H33+H24)*H$38</f>
        <v>0</v>
      </c>
      <c r="I46" s="109">
        <f>I14*I18*(I33+I24)*I$38</f>
        <v>3153461.3499052823</v>
      </c>
      <c r="J46" s="181"/>
      <c r="K46" s="109">
        <f>K14*K18*(K33+K24)*K$38</f>
        <v>3153461.3499052823</v>
      </c>
      <c r="L46" s="109">
        <f>L14*L16*(L33+L24)*L$38</f>
        <v>8387008.1681681685</v>
      </c>
      <c r="M46" s="109">
        <f>M14*M18*(M33+M24)*M$38</f>
        <v>16774016.336336337</v>
      </c>
      <c r="N46" s="109">
        <f>N14*N16*(N33+N24)*N$38</f>
        <v>36595650.706448779</v>
      </c>
      <c r="O46" s="109">
        <f>O14*O18*(O33+O24)*O$38</f>
        <v>14040089.424912207</v>
      </c>
      <c r="P46" s="109">
        <f t="shared" ref="P46:T46" si="20">P14*P16*(P33+P24)*P$38</f>
        <v>14086671.553461708</v>
      </c>
      <c r="Q46" s="109">
        <f>Q14*Q18*(Q33+Q24)*Q$38</f>
        <v>23152825.060565874</v>
      </c>
      <c r="R46" s="109">
        <f t="shared" si="20"/>
        <v>28771847.586628396</v>
      </c>
      <c r="S46" s="109">
        <f>S14*S18*(S33+S24)*S$38</f>
        <v>30774587.095541872</v>
      </c>
      <c r="T46" s="109">
        <f t="shared" si="20"/>
        <v>41184731.192825526</v>
      </c>
      <c r="U46" s="109">
        <f>U14*U18*(U33+U24)*U$38</f>
        <v>0</v>
      </c>
      <c r="V46" s="109">
        <f t="shared" ref="V46:AW46" si="21">V14*V18*(V33+V24)*V$38</f>
        <v>0</v>
      </c>
      <c r="W46" s="109">
        <f t="shared" si="21"/>
        <v>0</v>
      </c>
      <c r="X46" s="109">
        <f t="shared" si="21"/>
        <v>0</v>
      </c>
      <c r="Y46" s="109">
        <f t="shared" si="21"/>
        <v>0</v>
      </c>
      <c r="Z46" s="109">
        <f t="shared" si="21"/>
        <v>0</v>
      </c>
      <c r="AA46" s="109">
        <f t="shared" si="21"/>
        <v>0</v>
      </c>
      <c r="AB46" s="109">
        <f t="shared" si="21"/>
        <v>0</v>
      </c>
      <c r="AC46" s="109">
        <f t="shared" si="21"/>
        <v>0</v>
      </c>
      <c r="AD46" s="109">
        <f t="shared" si="21"/>
        <v>0</v>
      </c>
      <c r="AE46" s="109">
        <f t="shared" si="21"/>
        <v>0</v>
      </c>
      <c r="AF46" s="109">
        <f t="shared" si="21"/>
        <v>0</v>
      </c>
      <c r="AG46" s="109">
        <f t="shared" si="21"/>
        <v>0</v>
      </c>
      <c r="AH46" s="109">
        <f t="shared" si="21"/>
        <v>0</v>
      </c>
      <c r="AI46" s="109">
        <f t="shared" si="21"/>
        <v>0</v>
      </c>
      <c r="AJ46" s="109">
        <f t="shared" si="21"/>
        <v>0</v>
      </c>
      <c r="AK46" s="109">
        <f t="shared" si="21"/>
        <v>0</v>
      </c>
      <c r="AL46" s="109">
        <f t="shared" si="21"/>
        <v>0</v>
      </c>
      <c r="AM46" s="109">
        <f t="shared" si="21"/>
        <v>0</v>
      </c>
      <c r="AN46" s="109">
        <f t="shared" si="21"/>
        <v>0</v>
      </c>
      <c r="AO46" s="109">
        <f t="shared" si="21"/>
        <v>0</v>
      </c>
      <c r="AP46" s="109">
        <f t="shared" si="21"/>
        <v>0</v>
      </c>
      <c r="AQ46" s="109">
        <f t="shared" si="21"/>
        <v>0</v>
      </c>
      <c r="AR46" s="109">
        <f t="shared" si="21"/>
        <v>0</v>
      </c>
      <c r="AS46" s="109">
        <f t="shared" si="21"/>
        <v>0</v>
      </c>
      <c r="AT46" s="109">
        <f t="shared" si="21"/>
        <v>0</v>
      </c>
      <c r="AU46" s="109">
        <f t="shared" si="21"/>
        <v>0</v>
      </c>
      <c r="AV46" s="109">
        <f t="shared" si="21"/>
        <v>0</v>
      </c>
      <c r="AW46" s="109">
        <f t="shared" si="21"/>
        <v>0</v>
      </c>
      <c r="AX46" s="31"/>
    </row>
    <row r="47" spans="1:50" s="26" customFormat="1" x14ac:dyDescent="0.3">
      <c r="A47" s="31"/>
      <c r="B47" s="56" t="s">
        <v>227</v>
      </c>
      <c r="C47" s="235"/>
      <c r="D47" s="56" t="s">
        <v>157</v>
      </c>
      <c r="E47" s="235"/>
      <c r="F47" s="109">
        <f>F15*F16*(F34+F25)*F$38</f>
        <v>0</v>
      </c>
      <c r="G47" s="109">
        <f>G15*G16*(G34+G25)*G$38</f>
        <v>0</v>
      </c>
      <c r="H47" s="109">
        <f>H15*H16*(H34+H25)*H$38</f>
        <v>0</v>
      </c>
      <c r="I47" s="109">
        <f>I15*I18*(I34+I25)*I$38</f>
        <v>2138300.6392832701</v>
      </c>
      <c r="J47" s="181"/>
      <c r="K47" s="109">
        <f>K15*K18*(K34+K25)*K$38</f>
        <v>2138300.6392832701</v>
      </c>
      <c r="L47" s="109">
        <f>L15*L16*(L34+L25)*L$38</f>
        <v>5677605.8678678675</v>
      </c>
      <c r="M47" s="109">
        <f>M15*M18*(M34+M25)*M$38</f>
        <v>11355211.735735735</v>
      </c>
      <c r="N47" s="109">
        <f>N15*N16*(N34+N25)*N$38</f>
        <v>24842754.620060634</v>
      </c>
      <c r="O47" s="109">
        <f>O15*O18*(O34+O25)*O$38</f>
        <v>8975292.2582757212</v>
      </c>
      <c r="P47" s="109">
        <f t="shared" ref="P47:T47" si="22">P15*P16*(P34+P25)*P$38</f>
        <v>8954360.2076639477</v>
      </c>
      <c r="Q47" s="109">
        <f>Q15*Q18*(Q34+Q25)*Q$38</f>
        <v>13613513.661804875</v>
      </c>
      <c r="R47" s="109">
        <f>R15*R16*(R34+R25)*R$38</f>
        <v>16881904.390412372</v>
      </c>
      <c r="S47" s="109">
        <f>S15*S18*(S34+S25)*S$38</f>
        <v>18012311.140175201</v>
      </c>
      <c r="T47" s="109">
        <f t="shared" si="22"/>
        <v>24058723.252766296</v>
      </c>
      <c r="U47" s="109">
        <f>U15*U18*(U34+U25)*U$38</f>
        <v>0</v>
      </c>
      <c r="V47" s="109">
        <f t="shared" ref="V47:AW47" si="23">V15*V18*(V34+V25)*V$38</f>
        <v>0</v>
      </c>
      <c r="W47" s="109">
        <f t="shared" si="23"/>
        <v>0</v>
      </c>
      <c r="X47" s="109">
        <f t="shared" si="23"/>
        <v>0</v>
      </c>
      <c r="Y47" s="109">
        <f t="shared" si="23"/>
        <v>0</v>
      </c>
      <c r="Z47" s="109">
        <f t="shared" si="23"/>
        <v>0</v>
      </c>
      <c r="AA47" s="109">
        <f t="shared" si="23"/>
        <v>0</v>
      </c>
      <c r="AB47" s="109">
        <f t="shared" si="23"/>
        <v>0</v>
      </c>
      <c r="AC47" s="109">
        <f t="shared" si="23"/>
        <v>0</v>
      </c>
      <c r="AD47" s="109">
        <f t="shared" si="23"/>
        <v>0</v>
      </c>
      <c r="AE47" s="109">
        <f t="shared" si="23"/>
        <v>0</v>
      </c>
      <c r="AF47" s="109">
        <f t="shared" si="23"/>
        <v>0</v>
      </c>
      <c r="AG47" s="109">
        <f t="shared" si="23"/>
        <v>0</v>
      </c>
      <c r="AH47" s="109">
        <f t="shared" si="23"/>
        <v>0</v>
      </c>
      <c r="AI47" s="109">
        <f t="shared" si="23"/>
        <v>0</v>
      </c>
      <c r="AJ47" s="109">
        <f t="shared" si="23"/>
        <v>0</v>
      </c>
      <c r="AK47" s="109">
        <f t="shared" si="23"/>
        <v>0</v>
      </c>
      <c r="AL47" s="109">
        <f t="shared" si="23"/>
        <v>0</v>
      </c>
      <c r="AM47" s="109">
        <f t="shared" si="23"/>
        <v>0</v>
      </c>
      <c r="AN47" s="109">
        <f t="shared" si="23"/>
        <v>0</v>
      </c>
      <c r="AO47" s="109">
        <f t="shared" si="23"/>
        <v>0</v>
      </c>
      <c r="AP47" s="109">
        <f t="shared" si="23"/>
        <v>0</v>
      </c>
      <c r="AQ47" s="109">
        <f t="shared" si="23"/>
        <v>0</v>
      </c>
      <c r="AR47" s="109">
        <f t="shared" si="23"/>
        <v>0</v>
      </c>
      <c r="AS47" s="109">
        <f t="shared" si="23"/>
        <v>0</v>
      </c>
      <c r="AT47" s="109">
        <f t="shared" si="23"/>
        <v>0</v>
      </c>
      <c r="AU47" s="109">
        <f t="shared" si="23"/>
        <v>0</v>
      </c>
      <c r="AV47" s="109">
        <f t="shared" si="23"/>
        <v>0</v>
      </c>
      <c r="AW47" s="109">
        <f t="shared" si="23"/>
        <v>0</v>
      </c>
      <c r="AX47" s="31"/>
    </row>
    <row r="48" spans="1:50" s="26" customFormat="1" x14ac:dyDescent="0.3">
      <c r="A48" s="31"/>
      <c r="B48" s="56" t="s">
        <v>228</v>
      </c>
      <c r="C48" s="235"/>
      <c r="D48" s="56" t="s">
        <v>157</v>
      </c>
      <c r="E48" s="235"/>
      <c r="F48" s="109">
        <f>IFERROR(F14*F17*(F35+F26)*F$38,0)</f>
        <v>0</v>
      </c>
      <c r="G48" s="109">
        <f>IFERROR(G14*G19*(G35+G26)*G$38,0)</f>
        <v>0</v>
      </c>
      <c r="H48" s="109">
        <f>IFERROR(H14*H17*(H35+H26)*H$38,0)</f>
        <v>0</v>
      </c>
      <c r="I48" s="109">
        <f>IFERROR(I14*I19*(I35+I26)*I$38,0)</f>
        <v>6012.4535048088346</v>
      </c>
      <c r="J48" s="181">
        <f t="shared" ref="J48:K48" si="24">IFERROR(J14*J19*(J35+J26)*J$38,0)</f>
        <v>0</v>
      </c>
      <c r="K48" s="109">
        <f t="shared" si="24"/>
        <v>6012.4535048088346</v>
      </c>
      <c r="L48" s="109">
        <f>IFERROR(L14*L17*(L35+L26)*L$38,0)</f>
        <v>5864196.1111831833</v>
      </c>
      <c r="M48" s="109">
        <f>IFERROR(M14*M19*(M35+M26)*M$38,0)</f>
        <v>11728392.222366367</v>
      </c>
      <c r="N48" s="109">
        <f>IFERROR(N14*N17*(N35+N26)*N$38,0)</f>
        <v>2934479.6272963006</v>
      </c>
      <c r="O48" s="109">
        <f t="shared" ref="O48" si="25">IFERROR(O14*O19*(O35+O26)*O$38,0)</f>
        <v>1125826.5828721253</v>
      </c>
      <c r="P48" s="109">
        <f t="shared" ref="P48" si="26">IFERROR(P14*P17*(P35+P26)*P$38,0)</f>
        <v>11609370.554448172</v>
      </c>
      <c r="Q48" s="109">
        <f t="shared" ref="Q48" si="27">IFERROR(Q14*Q19*(Q35+Q26)*Q$38,0)</f>
        <v>19081138.116290495</v>
      </c>
      <c r="R48" s="109">
        <f t="shared" ref="R48" si="28">IFERROR(R14*R17*(R35+R26)*R$38,0)</f>
        <v>22657763.9493558</v>
      </c>
      <c r="S48" s="109">
        <f t="shared" ref="S48" si="29">IFERROR(S14*S19*(S35+S26)*S$38,0)</f>
        <v>24234916.716774855</v>
      </c>
      <c r="T48" s="109">
        <f t="shared" ref="T48" si="30">IFERROR(T14*T17*(T35+T26)*T$38,0)</f>
        <v>41651229.495707035</v>
      </c>
      <c r="U48" s="109">
        <f t="shared" ref="U48:AW48" si="31">IFERROR(U14*U19*(U35+U26)*U$38,0)</f>
        <v>0</v>
      </c>
      <c r="V48" s="109">
        <f t="shared" si="31"/>
        <v>0</v>
      </c>
      <c r="W48" s="109">
        <f t="shared" si="31"/>
        <v>0</v>
      </c>
      <c r="X48" s="109">
        <f t="shared" si="31"/>
        <v>0</v>
      </c>
      <c r="Y48" s="109">
        <f t="shared" si="31"/>
        <v>0</v>
      </c>
      <c r="Z48" s="109">
        <f t="shared" si="31"/>
        <v>0</v>
      </c>
      <c r="AA48" s="109">
        <f t="shared" si="31"/>
        <v>0</v>
      </c>
      <c r="AB48" s="109">
        <f t="shared" si="31"/>
        <v>0</v>
      </c>
      <c r="AC48" s="109">
        <f t="shared" si="31"/>
        <v>0</v>
      </c>
      <c r="AD48" s="109">
        <f t="shared" si="31"/>
        <v>0</v>
      </c>
      <c r="AE48" s="109">
        <f t="shared" si="31"/>
        <v>0</v>
      </c>
      <c r="AF48" s="109">
        <f t="shared" si="31"/>
        <v>0</v>
      </c>
      <c r="AG48" s="109">
        <f t="shared" si="31"/>
        <v>0</v>
      </c>
      <c r="AH48" s="109">
        <f t="shared" si="31"/>
        <v>0</v>
      </c>
      <c r="AI48" s="109">
        <f t="shared" si="31"/>
        <v>0</v>
      </c>
      <c r="AJ48" s="109">
        <f t="shared" si="31"/>
        <v>0</v>
      </c>
      <c r="AK48" s="109">
        <f t="shared" si="31"/>
        <v>0</v>
      </c>
      <c r="AL48" s="109">
        <f t="shared" si="31"/>
        <v>0</v>
      </c>
      <c r="AM48" s="109">
        <f t="shared" si="31"/>
        <v>0</v>
      </c>
      <c r="AN48" s="109">
        <f t="shared" si="31"/>
        <v>0</v>
      </c>
      <c r="AO48" s="109">
        <f t="shared" si="31"/>
        <v>0</v>
      </c>
      <c r="AP48" s="109">
        <f t="shared" si="31"/>
        <v>0</v>
      </c>
      <c r="AQ48" s="109">
        <f t="shared" si="31"/>
        <v>0</v>
      </c>
      <c r="AR48" s="109">
        <f t="shared" si="31"/>
        <v>0</v>
      </c>
      <c r="AS48" s="109">
        <f t="shared" si="31"/>
        <v>0</v>
      </c>
      <c r="AT48" s="109">
        <f t="shared" si="31"/>
        <v>0</v>
      </c>
      <c r="AU48" s="109">
        <f t="shared" si="31"/>
        <v>0</v>
      </c>
      <c r="AV48" s="109">
        <f t="shared" si="31"/>
        <v>0</v>
      </c>
      <c r="AW48" s="109">
        <f t="shared" si="31"/>
        <v>0</v>
      </c>
      <c r="AX48" s="31"/>
    </row>
    <row r="49" spans="1:50" s="26" customFormat="1" x14ac:dyDescent="0.3">
      <c r="A49" s="31"/>
      <c r="B49" s="56" t="s">
        <v>229</v>
      </c>
      <c r="C49" s="235"/>
      <c r="D49" s="56" t="s">
        <v>157</v>
      </c>
      <c r="E49" s="235"/>
      <c r="F49" s="109">
        <f>IFERROR(F15*F17*(F36+F27)*F$38,0)</f>
        <v>0</v>
      </c>
      <c r="G49" s="109">
        <f>IFERROR(G15*G17*(G36+G27)*G$38,0)</f>
        <v>0</v>
      </c>
      <c r="H49" s="109">
        <f>IFERROR(H15*H17*(H36+H27)*H$38,0)</f>
        <v>0</v>
      </c>
      <c r="I49" s="109">
        <f>IFERROR(I15*I19*(I36+I27)*I$38,0)</f>
        <v>4076.6798487309889</v>
      </c>
      <c r="J49" s="181">
        <f t="shared" ref="J49:K49" si="32">IFERROR(J15*J19*(J36+J27)*J$38,0)</f>
        <v>0</v>
      </c>
      <c r="K49" s="109">
        <f t="shared" si="32"/>
        <v>4076.6798487309889</v>
      </c>
      <c r="L49" s="109">
        <f>IFERROR(L15*L17*(L36+L27)*L$38,0)</f>
        <v>3979223.7323963968</v>
      </c>
      <c r="M49" s="109">
        <f t="shared" ref="M49" si="33">IFERROR(M15*M19*(M36+M27)*M$38,0)</f>
        <v>7958447.4647927936</v>
      </c>
      <c r="N49" s="109">
        <f>IFERROR(N15*N17*(N36+N27)*N$38,0)</f>
        <v>1993883.0962105694</v>
      </c>
      <c r="O49" s="109">
        <f t="shared" ref="O49" si="34">IFERROR(O15*O19*(O36+O27)*O$38,0)</f>
        <v>720358.26103095268</v>
      </c>
      <c r="P49" s="109">
        <f t="shared" ref="P49" si="35">IFERROR(P15*P17*(P36+P27)*P$38,0)</f>
        <v>7398941.5056177247</v>
      </c>
      <c r="Q49" s="109">
        <f t="shared" ref="Q49" si="36">IFERROR(Q15*Q19*(Q36+Q27)*Q$38,0)</f>
        <v>11248775.896173131</v>
      </c>
      <c r="R49" s="109">
        <f t="shared" ref="R49" si="37">IFERROR(R15*R17*(R36+R27)*R$38,0)</f>
        <v>13291881.715600351</v>
      </c>
      <c r="S49" s="109">
        <f t="shared" ref="S49" si="38">IFERROR(S15*S19*(S36+S27)*S$38,0)</f>
        <v>14181901.731167845</v>
      </c>
      <c r="T49" s="109">
        <f t="shared" ref="T49" si="39">IFERROR(T15*T17*(T36+T27)*T$38,0)</f>
        <v>24372475.123425029</v>
      </c>
      <c r="U49" s="109">
        <f t="shared" ref="U49:AW49" si="40">IFERROR(U15*U19*(U36+U27)*U$38,0)</f>
        <v>0</v>
      </c>
      <c r="V49" s="109">
        <f t="shared" si="40"/>
        <v>0</v>
      </c>
      <c r="W49" s="109">
        <f t="shared" si="40"/>
        <v>0</v>
      </c>
      <c r="X49" s="109">
        <f t="shared" si="40"/>
        <v>0</v>
      </c>
      <c r="Y49" s="109">
        <f t="shared" si="40"/>
        <v>0</v>
      </c>
      <c r="Z49" s="109">
        <f t="shared" si="40"/>
        <v>0</v>
      </c>
      <c r="AA49" s="109">
        <f t="shared" si="40"/>
        <v>0</v>
      </c>
      <c r="AB49" s="109">
        <f t="shared" si="40"/>
        <v>0</v>
      </c>
      <c r="AC49" s="109">
        <f t="shared" si="40"/>
        <v>0</v>
      </c>
      <c r="AD49" s="109">
        <f t="shared" si="40"/>
        <v>0</v>
      </c>
      <c r="AE49" s="109">
        <f t="shared" si="40"/>
        <v>0</v>
      </c>
      <c r="AF49" s="109">
        <f t="shared" si="40"/>
        <v>0</v>
      </c>
      <c r="AG49" s="109">
        <f t="shared" si="40"/>
        <v>0</v>
      </c>
      <c r="AH49" s="109">
        <f t="shared" si="40"/>
        <v>0</v>
      </c>
      <c r="AI49" s="109">
        <f t="shared" si="40"/>
        <v>0</v>
      </c>
      <c r="AJ49" s="109">
        <f t="shared" si="40"/>
        <v>0</v>
      </c>
      <c r="AK49" s="109">
        <f t="shared" si="40"/>
        <v>0</v>
      </c>
      <c r="AL49" s="109">
        <f t="shared" si="40"/>
        <v>0</v>
      </c>
      <c r="AM49" s="109">
        <f t="shared" si="40"/>
        <v>0</v>
      </c>
      <c r="AN49" s="109">
        <f t="shared" si="40"/>
        <v>0</v>
      </c>
      <c r="AO49" s="109">
        <f t="shared" si="40"/>
        <v>0</v>
      </c>
      <c r="AP49" s="109">
        <f t="shared" si="40"/>
        <v>0</v>
      </c>
      <c r="AQ49" s="109">
        <f t="shared" si="40"/>
        <v>0</v>
      </c>
      <c r="AR49" s="109">
        <f t="shared" si="40"/>
        <v>0</v>
      </c>
      <c r="AS49" s="109">
        <f t="shared" si="40"/>
        <v>0</v>
      </c>
      <c r="AT49" s="109">
        <f t="shared" si="40"/>
        <v>0</v>
      </c>
      <c r="AU49" s="109">
        <f t="shared" si="40"/>
        <v>0</v>
      </c>
      <c r="AV49" s="109">
        <f t="shared" si="40"/>
        <v>0</v>
      </c>
      <c r="AW49" s="109">
        <f t="shared" si="40"/>
        <v>0</v>
      </c>
      <c r="AX49" s="31"/>
    </row>
    <row r="50" spans="1:50" s="26" customFormat="1" x14ac:dyDescent="0.3">
      <c r="A50" s="31"/>
      <c r="B50" s="56" t="s">
        <v>230</v>
      </c>
      <c r="C50" s="235"/>
      <c r="D50" s="56" t="s">
        <v>157</v>
      </c>
      <c r="E50" s="235"/>
      <c r="F50" s="109">
        <f t="shared" ref="F50:I51" si="41">IFERROR((F$28+F$37)*F40,0)</f>
        <v>3090947.3440395305</v>
      </c>
      <c r="G50" s="109">
        <f t="shared" si="41"/>
        <v>3090947.3440395305</v>
      </c>
      <c r="H50" s="109">
        <f t="shared" si="41"/>
        <v>5151578.9067325508</v>
      </c>
      <c r="I50" s="109">
        <f t="shared" si="41"/>
        <v>5151578.9067325508</v>
      </c>
      <c r="J50" s="181"/>
      <c r="K50" s="109">
        <f t="shared" ref="K50:T50" si="42">IFERROR((K$28+K$37)*K40,0)</f>
        <v>5151578.9067325508</v>
      </c>
      <c r="L50" s="109">
        <f>IFERROR((L$28+L$37)*L40,0)</f>
        <v>2599612.7968717054</v>
      </c>
      <c r="M50" s="109">
        <f>IFERROR((M$28+M$37)*M40,0)</f>
        <v>2599612.7968717054</v>
      </c>
      <c r="N50" s="109">
        <f>IFERROR((N$28+N$37)*N40,0)</f>
        <v>1890621.7311093784</v>
      </c>
      <c r="O50" s="109">
        <f>IFERROR((O$28+O$37)*O40,0)</f>
        <v>1890621.7311093784</v>
      </c>
      <c r="P50" s="109">
        <f t="shared" si="42"/>
        <v>2501045.2961672475</v>
      </c>
      <c r="Q50" s="109">
        <f>IFERROR((Q$28+Q$37)*Q40,0)</f>
        <v>2501045.2961672475</v>
      </c>
      <c r="R50" s="109">
        <f t="shared" si="42"/>
        <v>2017028.8899770235</v>
      </c>
      <c r="S50" s="109">
        <f>IFERROR((S$28+S$37)*S40,0)</f>
        <v>2017028.8899770235</v>
      </c>
      <c r="T50" s="109">
        <f t="shared" si="42"/>
        <v>3653168.270578343</v>
      </c>
      <c r="U50" s="109">
        <f>IFERROR((U$28+U$37)*U40,0)</f>
        <v>0</v>
      </c>
      <c r="V50" s="109">
        <f t="shared" ref="V50:AW50" si="43">IFERROR((V$28+V$37)*V40,0)</f>
        <v>0</v>
      </c>
      <c r="W50" s="109">
        <f t="shared" si="43"/>
        <v>0</v>
      </c>
      <c r="X50" s="109">
        <f t="shared" si="43"/>
        <v>0</v>
      </c>
      <c r="Y50" s="109">
        <f t="shared" si="43"/>
        <v>0</v>
      </c>
      <c r="Z50" s="109">
        <f t="shared" si="43"/>
        <v>0</v>
      </c>
      <c r="AA50" s="109">
        <f t="shared" si="43"/>
        <v>0</v>
      </c>
      <c r="AB50" s="109">
        <f t="shared" si="43"/>
        <v>0</v>
      </c>
      <c r="AC50" s="109">
        <f t="shared" si="43"/>
        <v>0</v>
      </c>
      <c r="AD50" s="109">
        <f t="shared" si="43"/>
        <v>0</v>
      </c>
      <c r="AE50" s="109">
        <f t="shared" si="43"/>
        <v>0</v>
      </c>
      <c r="AF50" s="109">
        <f t="shared" si="43"/>
        <v>0</v>
      </c>
      <c r="AG50" s="109">
        <f t="shared" si="43"/>
        <v>0</v>
      </c>
      <c r="AH50" s="109">
        <f t="shared" si="43"/>
        <v>0</v>
      </c>
      <c r="AI50" s="109">
        <f t="shared" si="43"/>
        <v>0</v>
      </c>
      <c r="AJ50" s="109">
        <f t="shared" si="43"/>
        <v>0</v>
      </c>
      <c r="AK50" s="109">
        <f t="shared" si="43"/>
        <v>0</v>
      </c>
      <c r="AL50" s="109">
        <f t="shared" si="43"/>
        <v>0</v>
      </c>
      <c r="AM50" s="109">
        <f t="shared" si="43"/>
        <v>0</v>
      </c>
      <c r="AN50" s="109">
        <f t="shared" si="43"/>
        <v>0</v>
      </c>
      <c r="AO50" s="109">
        <f t="shared" si="43"/>
        <v>0</v>
      </c>
      <c r="AP50" s="109">
        <f t="shared" si="43"/>
        <v>0</v>
      </c>
      <c r="AQ50" s="109">
        <f t="shared" si="43"/>
        <v>0</v>
      </c>
      <c r="AR50" s="109">
        <f t="shared" si="43"/>
        <v>0</v>
      </c>
      <c r="AS50" s="109">
        <f t="shared" si="43"/>
        <v>0</v>
      </c>
      <c r="AT50" s="109">
        <f t="shared" si="43"/>
        <v>0</v>
      </c>
      <c r="AU50" s="109">
        <f t="shared" si="43"/>
        <v>0</v>
      </c>
      <c r="AV50" s="109">
        <f t="shared" si="43"/>
        <v>0</v>
      </c>
      <c r="AW50" s="109">
        <f t="shared" si="43"/>
        <v>0</v>
      </c>
      <c r="AX50" s="31"/>
    </row>
    <row r="51" spans="1:50" s="26" customFormat="1" x14ac:dyDescent="0.3">
      <c r="A51" s="31"/>
      <c r="B51" s="56" t="s">
        <v>231</v>
      </c>
      <c r="C51" s="235"/>
      <c r="D51" s="56" t="s">
        <v>157</v>
      </c>
      <c r="E51" s="235"/>
      <c r="F51" s="109">
        <f t="shared" si="41"/>
        <v>2609052.6559604695</v>
      </c>
      <c r="G51" s="109">
        <f t="shared" si="41"/>
        <v>2609052.6559604695</v>
      </c>
      <c r="H51" s="109">
        <f t="shared" si="41"/>
        <v>4348421.0932674492</v>
      </c>
      <c r="I51" s="109">
        <f t="shared" si="41"/>
        <v>4348421.0932674492</v>
      </c>
      <c r="J51" s="181"/>
      <c r="K51" s="109">
        <f t="shared" ref="K51:T51" si="44">IFERROR((K$28+K$37)*K41,0)</f>
        <v>4348421.0932674492</v>
      </c>
      <c r="L51" s="109">
        <f t="shared" si="44"/>
        <v>2200387.2031282946</v>
      </c>
      <c r="M51" s="109">
        <f>IFERROR((M$28+M$37)*M41,0)</f>
        <v>2200387.2031282946</v>
      </c>
      <c r="N51" s="109">
        <f>IFERROR((N$28+N$37)*N41,0)</f>
        <v>1609378.2688906218</v>
      </c>
      <c r="O51" s="109">
        <f>IFERROR((O$28+O$37)*O41,0)</f>
        <v>1609378.2688906218</v>
      </c>
      <c r="P51" s="109">
        <f t="shared" si="44"/>
        <v>2098954.7038327525</v>
      </c>
      <c r="Q51" s="109">
        <f>IFERROR((Q$28+Q$37)*Q41,0)</f>
        <v>2098954.7038327525</v>
      </c>
      <c r="R51" s="109">
        <f t="shared" si="44"/>
        <v>1682971.1100229765</v>
      </c>
      <c r="S51" s="109">
        <f>IFERROR((S$28+S$37)*S41,0)</f>
        <v>1682971.1100229765</v>
      </c>
      <c r="T51" s="109">
        <f t="shared" si="44"/>
        <v>3046831.7294216575</v>
      </c>
      <c r="U51" s="109">
        <f>IFERROR((U$28+U$37)*U41,0)</f>
        <v>0</v>
      </c>
      <c r="V51" s="109">
        <f t="shared" ref="V51:AW51" si="45">IFERROR((V$28+V$37)*V41,0)</f>
        <v>0</v>
      </c>
      <c r="W51" s="109">
        <f t="shared" si="45"/>
        <v>0</v>
      </c>
      <c r="X51" s="109">
        <f t="shared" si="45"/>
        <v>0</v>
      </c>
      <c r="Y51" s="109">
        <f t="shared" si="45"/>
        <v>0</v>
      </c>
      <c r="Z51" s="109">
        <f t="shared" si="45"/>
        <v>0</v>
      </c>
      <c r="AA51" s="109">
        <f t="shared" si="45"/>
        <v>0</v>
      </c>
      <c r="AB51" s="109">
        <f t="shared" si="45"/>
        <v>0</v>
      </c>
      <c r="AC51" s="109">
        <f t="shared" si="45"/>
        <v>0</v>
      </c>
      <c r="AD51" s="109">
        <f t="shared" si="45"/>
        <v>0</v>
      </c>
      <c r="AE51" s="109">
        <f t="shared" si="45"/>
        <v>0</v>
      </c>
      <c r="AF51" s="109">
        <f t="shared" si="45"/>
        <v>0</v>
      </c>
      <c r="AG51" s="109">
        <f t="shared" si="45"/>
        <v>0</v>
      </c>
      <c r="AH51" s="109">
        <f t="shared" si="45"/>
        <v>0</v>
      </c>
      <c r="AI51" s="109">
        <f t="shared" si="45"/>
        <v>0</v>
      </c>
      <c r="AJ51" s="109">
        <f t="shared" si="45"/>
        <v>0</v>
      </c>
      <c r="AK51" s="109">
        <f t="shared" si="45"/>
        <v>0</v>
      </c>
      <c r="AL51" s="109">
        <f t="shared" si="45"/>
        <v>0</v>
      </c>
      <c r="AM51" s="109">
        <f t="shared" si="45"/>
        <v>0</v>
      </c>
      <c r="AN51" s="109">
        <f t="shared" si="45"/>
        <v>0</v>
      </c>
      <c r="AO51" s="109">
        <f t="shared" si="45"/>
        <v>0</v>
      </c>
      <c r="AP51" s="109">
        <f t="shared" si="45"/>
        <v>0</v>
      </c>
      <c r="AQ51" s="109">
        <f t="shared" si="45"/>
        <v>0</v>
      </c>
      <c r="AR51" s="109">
        <f t="shared" si="45"/>
        <v>0</v>
      </c>
      <c r="AS51" s="109">
        <f t="shared" si="45"/>
        <v>0</v>
      </c>
      <c r="AT51" s="109">
        <f t="shared" si="45"/>
        <v>0</v>
      </c>
      <c r="AU51" s="109">
        <f t="shared" si="45"/>
        <v>0</v>
      </c>
      <c r="AV51" s="109">
        <f t="shared" si="45"/>
        <v>0</v>
      </c>
      <c r="AW51" s="109">
        <f t="shared" si="45"/>
        <v>0</v>
      </c>
      <c r="AX51" s="31"/>
    </row>
    <row r="52" spans="1:50" s="26" customFormat="1" x14ac:dyDescent="0.3">
      <c r="A52" s="31"/>
      <c r="B52" s="56" t="s">
        <v>232</v>
      </c>
      <c r="C52" s="235"/>
      <c r="D52" s="56" t="s">
        <v>157</v>
      </c>
      <c r="E52" s="235"/>
      <c r="F52" s="109">
        <f t="shared" ref="F52:I53" si="46">IFERROR(F42+F44+F46+F50,0)</f>
        <v>165923771.34403953</v>
      </c>
      <c r="G52" s="109">
        <f t="shared" si="46"/>
        <v>162552491.34403953</v>
      </c>
      <c r="H52" s="109">
        <f t="shared" si="46"/>
        <v>236421386.90673256</v>
      </c>
      <c r="I52" s="109">
        <f t="shared" si="46"/>
        <v>240249104.25663784</v>
      </c>
      <c r="J52" s="181"/>
      <c r="K52" s="109">
        <f t="shared" ref="K52:L52" si="47">IFERROR(K42+K44+K46+K50,0)</f>
        <v>240249104.25663784</v>
      </c>
      <c r="L52" s="109">
        <f t="shared" si="47"/>
        <v>313756484.96503991</v>
      </c>
      <c r="M52" s="109">
        <f>IFERROR(M42+M44+M46+M48+M50,0)</f>
        <v>311155669.35557443</v>
      </c>
      <c r="N52" s="109">
        <f>IFERROR(N42+N44+N46+N48+N50,0)</f>
        <v>388038760.0648545</v>
      </c>
      <c r="O52" s="109">
        <f t="shared" ref="O52:U52" si="48">IFERROR(O42+O44+O46+O48+O50,0)</f>
        <v>363674545.73889375</v>
      </c>
      <c r="P52" s="109">
        <f t="shared" si="48"/>
        <v>358270239.40407717</v>
      </c>
      <c r="Q52" s="109">
        <f t="shared" si="48"/>
        <v>374119072.47302365</v>
      </c>
      <c r="R52" s="109">
        <f t="shared" si="48"/>
        <v>379610168.4259612</v>
      </c>
      <c r="S52" s="109">
        <f t="shared" si="48"/>
        <v>384579468.70229381</v>
      </c>
      <c r="T52" s="109">
        <f t="shared" si="48"/>
        <v>422631208.95911092</v>
      </c>
      <c r="U52" s="109">
        <f t="shared" si="48"/>
        <v>0</v>
      </c>
      <c r="V52" s="109">
        <f t="shared" ref="V52:AW52" si="49">IFERROR(V42+V44+V46+V48+V50,0)</f>
        <v>0</v>
      </c>
      <c r="W52" s="109">
        <f t="shared" si="49"/>
        <v>0</v>
      </c>
      <c r="X52" s="109">
        <f t="shared" si="49"/>
        <v>0</v>
      </c>
      <c r="Y52" s="109">
        <f t="shared" si="49"/>
        <v>0</v>
      </c>
      <c r="Z52" s="109">
        <f t="shared" si="49"/>
        <v>0</v>
      </c>
      <c r="AA52" s="109">
        <f t="shared" si="49"/>
        <v>0</v>
      </c>
      <c r="AB52" s="109">
        <f t="shared" si="49"/>
        <v>0</v>
      </c>
      <c r="AC52" s="109">
        <f t="shared" si="49"/>
        <v>0</v>
      </c>
      <c r="AD52" s="109">
        <f t="shared" si="49"/>
        <v>0</v>
      </c>
      <c r="AE52" s="109">
        <f t="shared" si="49"/>
        <v>0</v>
      </c>
      <c r="AF52" s="109">
        <f t="shared" si="49"/>
        <v>0</v>
      </c>
      <c r="AG52" s="109">
        <f t="shared" si="49"/>
        <v>0</v>
      </c>
      <c r="AH52" s="109">
        <f t="shared" si="49"/>
        <v>0</v>
      </c>
      <c r="AI52" s="109">
        <f t="shared" si="49"/>
        <v>0</v>
      </c>
      <c r="AJ52" s="109">
        <f t="shared" si="49"/>
        <v>0</v>
      </c>
      <c r="AK52" s="109">
        <f t="shared" si="49"/>
        <v>0</v>
      </c>
      <c r="AL52" s="109">
        <f t="shared" si="49"/>
        <v>0</v>
      </c>
      <c r="AM52" s="109">
        <f t="shared" si="49"/>
        <v>0</v>
      </c>
      <c r="AN52" s="109">
        <f t="shared" si="49"/>
        <v>0</v>
      </c>
      <c r="AO52" s="109">
        <f t="shared" si="49"/>
        <v>0</v>
      </c>
      <c r="AP52" s="109">
        <f t="shared" si="49"/>
        <v>0</v>
      </c>
      <c r="AQ52" s="109">
        <f t="shared" si="49"/>
        <v>0</v>
      </c>
      <c r="AR52" s="109">
        <f t="shared" si="49"/>
        <v>0</v>
      </c>
      <c r="AS52" s="109">
        <f t="shared" si="49"/>
        <v>0</v>
      </c>
      <c r="AT52" s="109">
        <f t="shared" si="49"/>
        <v>0</v>
      </c>
      <c r="AU52" s="109">
        <f t="shared" si="49"/>
        <v>0</v>
      </c>
      <c r="AV52" s="109">
        <f t="shared" si="49"/>
        <v>0</v>
      </c>
      <c r="AW52" s="109">
        <f t="shared" si="49"/>
        <v>0</v>
      </c>
      <c r="AX52" s="31"/>
    </row>
    <row r="53" spans="1:50" s="26" customFormat="1" x14ac:dyDescent="0.3">
      <c r="A53" s="31"/>
      <c r="B53" s="56" t="s">
        <v>233</v>
      </c>
      <c r="C53" s="235"/>
      <c r="D53" s="56" t="s">
        <v>157</v>
      </c>
      <c r="E53" s="235"/>
      <c r="F53" s="109">
        <f t="shared" si="46"/>
        <v>107330076.65596047</v>
      </c>
      <c r="G53" s="109">
        <f t="shared" si="46"/>
        <v>105053532.65596046</v>
      </c>
      <c r="H53" s="109">
        <f t="shared" si="46"/>
        <v>154315757.09326744</v>
      </c>
      <c r="I53" s="109">
        <f t="shared" si="46"/>
        <v>157023193.73255071</v>
      </c>
      <c r="J53" s="181"/>
      <c r="K53" s="109">
        <f t="shared" ref="K53:L53" si="50">IFERROR(K43+K45+K47+K51,0)</f>
        <v>157023193.73255071</v>
      </c>
      <c r="L53" s="109">
        <f t="shared" si="50"/>
        <v>208190033.07099617</v>
      </c>
      <c r="M53" s="109">
        <f>IFERROR(M43+M45+M47+M49+M51,0)</f>
        <v>203172386.40365684</v>
      </c>
      <c r="N53" s="109">
        <f>IFERROR(N43+N45+N47+N49+N51,0)</f>
        <v>253872363.98516181</v>
      </c>
      <c r="O53" s="109">
        <f t="shared" ref="O53:U53" si="51">IFERROR(O43+O45+O47+O49+O51,0)</f>
        <v>237021500.78819728</v>
      </c>
      <c r="P53" s="109">
        <f t="shared" si="51"/>
        <v>230689824.41711441</v>
      </c>
      <c r="Q53" s="109">
        <f t="shared" si="51"/>
        <v>238620508.26181072</v>
      </c>
      <c r="R53" s="109">
        <f t="shared" si="51"/>
        <v>239080917.21603563</v>
      </c>
      <c r="S53" s="109">
        <f t="shared" si="51"/>
        <v>241970815.98136598</v>
      </c>
      <c r="T53" s="109">
        <f t="shared" si="51"/>
        <v>265829518.10561299</v>
      </c>
      <c r="U53" s="109">
        <f t="shared" si="51"/>
        <v>0</v>
      </c>
      <c r="V53" s="109">
        <f t="shared" ref="V53:AW53" si="52">IFERROR(V43+V45+V47+V49+V51,0)</f>
        <v>0</v>
      </c>
      <c r="W53" s="109">
        <f t="shared" si="52"/>
        <v>0</v>
      </c>
      <c r="X53" s="109">
        <f t="shared" si="52"/>
        <v>0</v>
      </c>
      <c r="Y53" s="109">
        <f t="shared" si="52"/>
        <v>0</v>
      </c>
      <c r="Z53" s="109">
        <f t="shared" si="52"/>
        <v>0</v>
      </c>
      <c r="AA53" s="109">
        <f t="shared" si="52"/>
        <v>0</v>
      </c>
      <c r="AB53" s="109">
        <f t="shared" si="52"/>
        <v>0</v>
      </c>
      <c r="AC53" s="109">
        <f t="shared" si="52"/>
        <v>0</v>
      </c>
      <c r="AD53" s="109">
        <f t="shared" si="52"/>
        <v>0</v>
      </c>
      <c r="AE53" s="109">
        <f t="shared" si="52"/>
        <v>0</v>
      </c>
      <c r="AF53" s="109">
        <f t="shared" si="52"/>
        <v>0</v>
      </c>
      <c r="AG53" s="109">
        <f t="shared" si="52"/>
        <v>0</v>
      </c>
      <c r="AH53" s="109">
        <f t="shared" si="52"/>
        <v>0</v>
      </c>
      <c r="AI53" s="109">
        <f t="shared" si="52"/>
        <v>0</v>
      </c>
      <c r="AJ53" s="109">
        <f t="shared" si="52"/>
        <v>0</v>
      </c>
      <c r="AK53" s="109">
        <f t="shared" si="52"/>
        <v>0</v>
      </c>
      <c r="AL53" s="109">
        <f t="shared" si="52"/>
        <v>0</v>
      </c>
      <c r="AM53" s="109">
        <f t="shared" si="52"/>
        <v>0</v>
      </c>
      <c r="AN53" s="109">
        <f t="shared" si="52"/>
        <v>0</v>
      </c>
      <c r="AO53" s="109">
        <f t="shared" si="52"/>
        <v>0</v>
      </c>
      <c r="AP53" s="109">
        <f t="shared" si="52"/>
        <v>0</v>
      </c>
      <c r="AQ53" s="109">
        <f t="shared" si="52"/>
        <v>0</v>
      </c>
      <c r="AR53" s="109">
        <f t="shared" si="52"/>
        <v>0</v>
      </c>
      <c r="AS53" s="109">
        <f t="shared" si="52"/>
        <v>0</v>
      </c>
      <c r="AT53" s="109">
        <f t="shared" si="52"/>
        <v>0</v>
      </c>
      <c r="AU53" s="109">
        <f t="shared" si="52"/>
        <v>0</v>
      </c>
      <c r="AV53" s="109">
        <f t="shared" si="52"/>
        <v>0</v>
      </c>
      <c r="AW53" s="109">
        <f t="shared" si="52"/>
        <v>0</v>
      </c>
      <c r="AX53" s="31"/>
    </row>
    <row r="54" spans="1:50" s="26" customFormat="1" x14ac:dyDescent="0.3">
      <c r="A54" s="31"/>
      <c r="B54" s="56" t="s">
        <v>234</v>
      </c>
      <c r="C54" s="235"/>
      <c r="D54" s="56" t="s">
        <v>157</v>
      </c>
      <c r="E54" s="235"/>
      <c r="F54" s="109">
        <f t="shared" ref="F54:I55" si="53">IFERROR(F52/F12,0)</f>
        <v>5.9060216182828906</v>
      </c>
      <c r="G54" s="109">
        <f t="shared" si="53"/>
        <v>5.7860216182828905</v>
      </c>
      <c r="H54" s="109">
        <f t="shared" si="53"/>
        <v>8.4153693638048175</v>
      </c>
      <c r="I54" s="109">
        <f t="shared" si="53"/>
        <v>8.5516161549312244</v>
      </c>
      <c r="J54" s="181"/>
      <c r="K54" s="109">
        <f t="shared" ref="K54:T54" si="54">IFERROR(K52/K12,0)</f>
        <v>8.5516161549312244</v>
      </c>
      <c r="L54" s="109">
        <f t="shared" si="54"/>
        <v>11.104851878142561</v>
      </c>
      <c r="M54" s="109">
        <f t="shared" ref="M54:O55" si="55">IFERROR(M52/M12,0)</f>
        <v>11.012800642584216</v>
      </c>
      <c r="N54" s="109">
        <f t="shared" si="55"/>
        <v>13.662374482953824</v>
      </c>
      <c r="O54" s="109">
        <f t="shared" si="55"/>
        <v>12.80454002319885</v>
      </c>
      <c r="P54" s="109">
        <f t="shared" si="54"/>
        <v>12.478066292981234</v>
      </c>
      <c r="Q54" s="109">
        <f>IFERROR(Q52/Q12,0)</f>
        <v>13.030059643111718</v>
      </c>
      <c r="R54" s="109">
        <f t="shared" si="54"/>
        <v>13.114425773024294</v>
      </c>
      <c r="S54" s="109">
        <f>IFERROR(S52/S12,0)</f>
        <v>13.286100625381531</v>
      </c>
      <c r="T54" s="109">
        <f t="shared" si="54"/>
        <v>14.484088178454057</v>
      </c>
      <c r="U54" s="109">
        <f>IFERROR(U52/U12,0)</f>
        <v>0</v>
      </c>
      <c r="V54" s="109">
        <f t="shared" ref="V54:AW54" si="56">IFERROR(V52/V12,0)</f>
        <v>0</v>
      </c>
      <c r="W54" s="109">
        <f t="shared" si="56"/>
        <v>0</v>
      </c>
      <c r="X54" s="109">
        <f t="shared" si="56"/>
        <v>0</v>
      </c>
      <c r="Y54" s="109">
        <f t="shared" si="56"/>
        <v>0</v>
      </c>
      <c r="Z54" s="109">
        <f t="shared" si="56"/>
        <v>0</v>
      </c>
      <c r="AA54" s="109">
        <f t="shared" si="56"/>
        <v>0</v>
      </c>
      <c r="AB54" s="109">
        <f t="shared" si="56"/>
        <v>0</v>
      </c>
      <c r="AC54" s="109">
        <f t="shared" si="56"/>
        <v>0</v>
      </c>
      <c r="AD54" s="109">
        <f t="shared" si="56"/>
        <v>0</v>
      </c>
      <c r="AE54" s="109">
        <f t="shared" si="56"/>
        <v>0</v>
      </c>
      <c r="AF54" s="109">
        <f t="shared" si="56"/>
        <v>0</v>
      </c>
      <c r="AG54" s="109">
        <f t="shared" si="56"/>
        <v>0</v>
      </c>
      <c r="AH54" s="109">
        <f t="shared" si="56"/>
        <v>0</v>
      </c>
      <c r="AI54" s="109">
        <f t="shared" si="56"/>
        <v>0</v>
      </c>
      <c r="AJ54" s="109">
        <f t="shared" si="56"/>
        <v>0</v>
      </c>
      <c r="AK54" s="109">
        <f t="shared" si="56"/>
        <v>0</v>
      </c>
      <c r="AL54" s="109">
        <f t="shared" si="56"/>
        <v>0</v>
      </c>
      <c r="AM54" s="109">
        <f t="shared" si="56"/>
        <v>0</v>
      </c>
      <c r="AN54" s="109">
        <f t="shared" si="56"/>
        <v>0</v>
      </c>
      <c r="AO54" s="109">
        <f t="shared" si="56"/>
        <v>0</v>
      </c>
      <c r="AP54" s="109">
        <f t="shared" si="56"/>
        <v>0</v>
      </c>
      <c r="AQ54" s="109">
        <f t="shared" si="56"/>
        <v>0</v>
      </c>
      <c r="AR54" s="109">
        <f t="shared" si="56"/>
        <v>0</v>
      </c>
      <c r="AS54" s="109">
        <f t="shared" si="56"/>
        <v>0</v>
      </c>
      <c r="AT54" s="109">
        <f t="shared" si="56"/>
        <v>0</v>
      </c>
      <c r="AU54" s="109">
        <f t="shared" si="56"/>
        <v>0</v>
      </c>
      <c r="AV54" s="109">
        <f t="shared" si="56"/>
        <v>0</v>
      </c>
      <c r="AW54" s="109">
        <f t="shared" si="56"/>
        <v>0</v>
      </c>
      <c r="AX54" s="31"/>
    </row>
    <row r="55" spans="1:50" s="26" customFormat="1" x14ac:dyDescent="0.3">
      <c r="A55" s="31"/>
      <c r="B55" s="56" t="s">
        <v>235</v>
      </c>
      <c r="C55" s="210"/>
      <c r="D55" s="56" t="s">
        <v>157</v>
      </c>
      <c r="E55" s="235"/>
      <c r="F55" s="109">
        <f t="shared" si="53"/>
        <v>4.5260216182828907</v>
      </c>
      <c r="G55" s="109">
        <f t="shared" si="53"/>
        <v>4.4300216182828898</v>
      </c>
      <c r="H55" s="109">
        <f t="shared" si="53"/>
        <v>6.5073693638048171</v>
      </c>
      <c r="I55" s="109">
        <f t="shared" si="53"/>
        <v>6.6215397542612262</v>
      </c>
      <c r="J55" s="181"/>
      <c r="K55" s="109">
        <f t="shared" ref="K55:T55" si="57">IFERROR(K53/K13,0)</f>
        <v>6.6215397542612262</v>
      </c>
      <c r="L55" s="109">
        <f t="shared" si="57"/>
        <v>8.705416394354847</v>
      </c>
      <c r="M55" s="109">
        <f t="shared" si="55"/>
        <v>8.4956047001320023</v>
      </c>
      <c r="N55" s="109">
        <f t="shared" si="55"/>
        <v>10.500573436950896</v>
      </c>
      <c r="O55" s="109">
        <f t="shared" si="55"/>
        <v>9.8035943577862135</v>
      </c>
      <c r="P55" s="109">
        <f t="shared" si="57"/>
        <v>9.5737808938045479</v>
      </c>
      <c r="Q55" s="109">
        <f>IFERROR(Q53/Q13,0)</f>
        <v>9.9029095394177755</v>
      </c>
      <c r="R55" s="109">
        <f t="shared" si="57"/>
        <v>9.8990111467388058</v>
      </c>
      <c r="S55" s="109">
        <f>IFERROR(S53/S13,0)</f>
        <v>10.018665782600447</v>
      </c>
      <c r="T55" s="109">
        <f t="shared" si="57"/>
        <v>10.923303669691526</v>
      </c>
      <c r="U55" s="109">
        <f>IFERROR(U53/U13,0)</f>
        <v>0</v>
      </c>
      <c r="V55" s="109">
        <f t="shared" ref="V55:AW55" si="58">IFERROR(V53/V13,0)</f>
        <v>0</v>
      </c>
      <c r="W55" s="109">
        <f t="shared" si="58"/>
        <v>0</v>
      </c>
      <c r="X55" s="109">
        <f t="shared" si="58"/>
        <v>0</v>
      </c>
      <c r="Y55" s="109">
        <f t="shared" si="58"/>
        <v>0</v>
      </c>
      <c r="Z55" s="109">
        <f t="shared" si="58"/>
        <v>0</v>
      </c>
      <c r="AA55" s="109">
        <f t="shared" si="58"/>
        <v>0</v>
      </c>
      <c r="AB55" s="109">
        <f t="shared" si="58"/>
        <v>0</v>
      </c>
      <c r="AC55" s="109">
        <f t="shared" si="58"/>
        <v>0</v>
      </c>
      <c r="AD55" s="109">
        <f t="shared" si="58"/>
        <v>0</v>
      </c>
      <c r="AE55" s="109">
        <f t="shared" si="58"/>
        <v>0</v>
      </c>
      <c r="AF55" s="109">
        <f t="shared" si="58"/>
        <v>0</v>
      </c>
      <c r="AG55" s="109">
        <f t="shared" si="58"/>
        <v>0</v>
      </c>
      <c r="AH55" s="109">
        <f t="shared" si="58"/>
        <v>0</v>
      </c>
      <c r="AI55" s="109">
        <f t="shared" si="58"/>
        <v>0</v>
      </c>
      <c r="AJ55" s="109">
        <f t="shared" si="58"/>
        <v>0</v>
      </c>
      <c r="AK55" s="109">
        <f t="shared" si="58"/>
        <v>0</v>
      </c>
      <c r="AL55" s="109">
        <f t="shared" si="58"/>
        <v>0</v>
      </c>
      <c r="AM55" s="109">
        <f t="shared" si="58"/>
        <v>0</v>
      </c>
      <c r="AN55" s="109">
        <f t="shared" si="58"/>
        <v>0</v>
      </c>
      <c r="AO55" s="109">
        <f t="shared" si="58"/>
        <v>0</v>
      </c>
      <c r="AP55" s="109">
        <f t="shared" si="58"/>
        <v>0</v>
      </c>
      <c r="AQ55" s="109">
        <f t="shared" si="58"/>
        <v>0</v>
      </c>
      <c r="AR55" s="109">
        <f t="shared" si="58"/>
        <v>0</v>
      </c>
      <c r="AS55" s="109">
        <f t="shared" si="58"/>
        <v>0</v>
      </c>
      <c r="AT55" s="109">
        <f t="shared" si="58"/>
        <v>0</v>
      </c>
      <c r="AU55" s="109">
        <f t="shared" si="58"/>
        <v>0</v>
      </c>
      <c r="AV55" s="109">
        <f t="shared" si="58"/>
        <v>0</v>
      </c>
      <c r="AW55" s="109">
        <f t="shared" si="58"/>
        <v>0</v>
      </c>
      <c r="AX55" s="31"/>
    </row>
    <row r="56" spans="1:50" s="26" customFormat="1" x14ac:dyDescent="0.3">
      <c r="A56" s="31"/>
      <c r="B56" s="248" t="s">
        <v>184</v>
      </c>
      <c r="C56" s="249"/>
      <c r="D56" s="249"/>
      <c r="E56" s="249"/>
      <c r="F56" s="249"/>
      <c r="G56" s="249"/>
      <c r="H56" s="249"/>
      <c r="I56" s="249"/>
      <c r="J56" s="249"/>
      <c r="K56" s="249"/>
      <c r="L56" s="249"/>
      <c r="M56" s="249"/>
      <c r="N56" s="249"/>
      <c r="O56" s="249"/>
      <c r="P56" s="249"/>
      <c r="Q56" s="249"/>
      <c r="R56" s="249"/>
      <c r="S56" s="249"/>
      <c r="T56" s="249"/>
      <c r="U56" s="250"/>
      <c r="V56" s="249"/>
      <c r="W56" s="249"/>
      <c r="X56" s="249"/>
      <c r="Y56" s="249"/>
      <c r="Z56" s="249"/>
      <c r="AA56" s="249"/>
      <c r="AB56" s="249"/>
      <c r="AC56" s="249"/>
      <c r="AD56" s="249"/>
      <c r="AE56" s="249"/>
      <c r="AF56" s="249"/>
      <c r="AG56" s="249"/>
      <c r="AH56" s="249"/>
      <c r="AI56" s="249"/>
      <c r="AJ56" s="249"/>
      <c r="AK56" s="249"/>
      <c r="AL56" s="249"/>
      <c r="AM56" s="249"/>
      <c r="AN56" s="249"/>
      <c r="AO56" s="250"/>
      <c r="AP56" s="249"/>
      <c r="AQ56" s="249"/>
      <c r="AR56" s="249"/>
      <c r="AS56" s="249"/>
      <c r="AT56" s="249"/>
      <c r="AU56" s="249"/>
      <c r="AV56" s="249"/>
      <c r="AW56" s="250"/>
      <c r="AX56" s="31"/>
    </row>
    <row r="57" spans="1:50" s="26" customFormat="1" x14ac:dyDescent="0.3">
      <c r="A57" s="31"/>
      <c r="B57" s="56" t="s">
        <v>236</v>
      </c>
      <c r="C57" s="56"/>
      <c r="D57" s="56" t="s">
        <v>157</v>
      </c>
      <c r="E57" s="56"/>
      <c r="F57" s="109">
        <f>F54+F55</f>
        <v>10.432043236565782</v>
      </c>
      <c r="G57" s="109">
        <f>G54+G55</f>
        <v>10.216043236565781</v>
      </c>
      <c r="H57" s="109">
        <f>H54+H55</f>
        <v>14.922738727609634</v>
      </c>
      <c r="I57" s="109">
        <f>I54+I55</f>
        <v>15.173155909192451</v>
      </c>
      <c r="J57" s="183"/>
      <c r="K57" s="109">
        <f>K54+K55</f>
        <v>15.173155909192451</v>
      </c>
      <c r="L57" s="109">
        <f t="shared" ref="L57:AW57" si="59">L54+L55</f>
        <v>19.81026827249741</v>
      </c>
      <c r="M57" s="109">
        <f t="shared" si="59"/>
        <v>19.508405342716216</v>
      </c>
      <c r="N57" s="109">
        <f>N54+N55</f>
        <v>24.16294791990472</v>
      </c>
      <c r="O57" s="109">
        <f t="shared" si="59"/>
        <v>22.608134380985064</v>
      </c>
      <c r="P57" s="109">
        <f t="shared" si="59"/>
        <v>22.051847186785782</v>
      </c>
      <c r="Q57" s="109">
        <f t="shared" si="59"/>
        <v>22.932969182529494</v>
      </c>
      <c r="R57" s="109">
        <f t="shared" si="59"/>
        <v>23.013436919763102</v>
      </c>
      <c r="S57" s="109">
        <f t="shared" si="59"/>
        <v>23.30476640798198</v>
      </c>
      <c r="T57" s="109">
        <f t="shared" si="59"/>
        <v>25.407391848145583</v>
      </c>
      <c r="U57" s="109">
        <f t="shared" si="59"/>
        <v>0</v>
      </c>
      <c r="V57" s="109">
        <f t="shared" si="59"/>
        <v>0</v>
      </c>
      <c r="W57" s="109">
        <f t="shared" si="59"/>
        <v>0</v>
      </c>
      <c r="X57" s="109">
        <f t="shared" si="59"/>
        <v>0</v>
      </c>
      <c r="Y57" s="109">
        <f t="shared" si="59"/>
        <v>0</v>
      </c>
      <c r="Z57" s="109">
        <f t="shared" si="59"/>
        <v>0</v>
      </c>
      <c r="AA57" s="109">
        <f t="shared" si="59"/>
        <v>0</v>
      </c>
      <c r="AB57" s="109">
        <f t="shared" si="59"/>
        <v>0</v>
      </c>
      <c r="AC57" s="109">
        <f t="shared" si="59"/>
        <v>0</v>
      </c>
      <c r="AD57" s="109">
        <f t="shared" si="59"/>
        <v>0</v>
      </c>
      <c r="AE57" s="109">
        <f t="shared" si="59"/>
        <v>0</v>
      </c>
      <c r="AF57" s="109">
        <f t="shared" si="59"/>
        <v>0</v>
      </c>
      <c r="AG57" s="109">
        <f t="shared" si="59"/>
        <v>0</v>
      </c>
      <c r="AH57" s="109">
        <f t="shared" si="59"/>
        <v>0</v>
      </c>
      <c r="AI57" s="109">
        <f t="shared" si="59"/>
        <v>0</v>
      </c>
      <c r="AJ57" s="109">
        <f t="shared" si="59"/>
        <v>0</v>
      </c>
      <c r="AK57" s="109">
        <f t="shared" si="59"/>
        <v>0</v>
      </c>
      <c r="AL57" s="109">
        <f t="shared" si="59"/>
        <v>0</v>
      </c>
      <c r="AM57" s="109">
        <f t="shared" si="59"/>
        <v>0</v>
      </c>
      <c r="AN57" s="109">
        <f t="shared" si="59"/>
        <v>0</v>
      </c>
      <c r="AO57" s="109">
        <f t="shared" si="59"/>
        <v>0</v>
      </c>
      <c r="AP57" s="109">
        <f t="shared" si="59"/>
        <v>0</v>
      </c>
      <c r="AQ57" s="109">
        <f t="shared" si="59"/>
        <v>0</v>
      </c>
      <c r="AR57" s="109">
        <f t="shared" si="59"/>
        <v>0</v>
      </c>
      <c r="AS57" s="109">
        <f t="shared" si="59"/>
        <v>0</v>
      </c>
      <c r="AT57" s="109">
        <f t="shared" si="59"/>
        <v>0</v>
      </c>
      <c r="AU57" s="109">
        <f t="shared" si="59"/>
        <v>0</v>
      </c>
      <c r="AV57" s="109">
        <f t="shared" si="59"/>
        <v>0</v>
      </c>
      <c r="AW57" s="109">
        <f t="shared" si="59"/>
        <v>0</v>
      </c>
      <c r="AX57" s="31"/>
    </row>
    <row r="58" spans="1:50" s="31" customFormat="1" x14ac:dyDescent="0.3">
      <c r="B58" s="62"/>
      <c r="C58" s="62"/>
      <c r="D58" s="62"/>
      <c r="E58" s="62"/>
      <c r="F58" s="62"/>
      <c r="G58" s="62"/>
      <c r="H58" s="62"/>
      <c r="I58" s="62"/>
      <c r="J58" s="62"/>
      <c r="K58" s="176"/>
      <c r="L58" s="62"/>
      <c r="M58" s="62"/>
      <c r="N58" s="62"/>
      <c r="O58" s="176"/>
      <c r="P58" s="62"/>
      <c r="Q58" s="62"/>
      <c r="R58" s="62"/>
      <c r="S58" s="62"/>
      <c r="T58" s="62"/>
      <c r="U58" s="62"/>
    </row>
    <row r="59" spans="1:50" s="169" customFormat="1" x14ac:dyDescent="0.25"/>
    <row r="60" spans="1:50" s="169" customFormat="1" x14ac:dyDescent="0.25"/>
    <row r="61" spans="1:50" s="169" customFormat="1" x14ac:dyDescent="0.25">
      <c r="B61" s="169" t="s">
        <v>186</v>
      </c>
    </row>
    <row r="62" spans="1:50" s="169" customFormat="1" ht="13.5" customHeight="1" x14ac:dyDescent="0.25">
      <c r="B62" s="245" t="s">
        <v>237</v>
      </c>
      <c r="C62" s="245"/>
      <c r="D62" s="245"/>
      <c r="E62" s="245"/>
      <c r="F62" s="245"/>
      <c r="G62" s="245"/>
      <c r="H62" s="245"/>
      <c r="I62" s="245"/>
      <c r="J62" s="245"/>
      <c r="K62" s="245"/>
    </row>
    <row r="63" spans="1:50" s="169" customFormat="1" ht="14" x14ac:dyDescent="0.3">
      <c r="B63" s="62" t="s">
        <v>238</v>
      </c>
      <c r="C63" s="62"/>
      <c r="D63" s="62"/>
      <c r="E63" s="62"/>
      <c r="F63" s="62"/>
      <c r="G63" s="62"/>
      <c r="H63" s="62"/>
      <c r="I63" s="62"/>
      <c r="J63" s="62"/>
      <c r="K63" s="62"/>
    </row>
    <row r="64" spans="1:50" s="169" customFormat="1" ht="14" x14ac:dyDescent="0.3">
      <c r="B64" s="62" t="s">
        <v>239</v>
      </c>
      <c r="C64" s="62"/>
      <c r="D64" s="62"/>
      <c r="E64" s="62"/>
      <c r="F64" s="62"/>
      <c r="G64" s="62"/>
      <c r="H64" s="62"/>
      <c r="I64" s="62"/>
      <c r="J64" s="62"/>
      <c r="K64" s="62"/>
    </row>
    <row r="65" spans="2:11" s="169" customFormat="1" ht="14" x14ac:dyDescent="0.3">
      <c r="B65" s="62" t="s">
        <v>240</v>
      </c>
      <c r="C65" s="62"/>
      <c r="D65" s="62"/>
      <c r="E65" s="62"/>
      <c r="F65" s="62"/>
      <c r="G65" s="62"/>
      <c r="H65" s="62"/>
      <c r="I65" s="62"/>
      <c r="J65" s="62"/>
      <c r="K65" s="62"/>
    </row>
    <row r="66" spans="2:11" s="169" customFormat="1" x14ac:dyDescent="0.25"/>
    <row r="67" spans="2:11" s="169" customFormat="1" x14ac:dyDescent="0.25"/>
  </sheetData>
  <mergeCells count="21">
    <mergeCell ref="B56:U56"/>
    <mergeCell ref="C40:C55"/>
    <mergeCell ref="E12:E38"/>
    <mergeCell ref="E40:E55"/>
    <mergeCell ref="V39:AO39"/>
    <mergeCell ref="K6:AW6"/>
    <mergeCell ref="K7:AW7"/>
    <mergeCell ref="B62:K62"/>
    <mergeCell ref="B11:U11"/>
    <mergeCell ref="B39:U39"/>
    <mergeCell ref="B6:B10"/>
    <mergeCell ref="C6:C10"/>
    <mergeCell ref="D6:D10"/>
    <mergeCell ref="E6:E7"/>
    <mergeCell ref="F6:I6"/>
    <mergeCell ref="F7:I7"/>
    <mergeCell ref="AP39:AW39"/>
    <mergeCell ref="V56:AO56"/>
    <mergeCell ref="AP56:AW56"/>
    <mergeCell ref="V11:AO11"/>
    <mergeCell ref="AP11:AW11"/>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79998168889431442"/>
    <pageSetUpPr autoPageBreaks="0"/>
  </sheetPr>
  <dimension ref="A1:AX31"/>
  <sheetViews>
    <sheetView workbookViewId="0">
      <selection activeCell="V8" sqref="V8:AW10"/>
    </sheetView>
  </sheetViews>
  <sheetFormatPr defaultColWidth="0" defaultRowHeight="13.5" zeroHeight="1" x14ac:dyDescent="0.3"/>
  <cols>
    <col min="1" max="1" width="9" style="31" customWidth="1"/>
    <col min="2" max="2" width="48.08984375" style="31" bestFit="1" customWidth="1"/>
    <col min="3" max="3" width="37" style="31" customWidth="1"/>
    <col min="4" max="4" width="11.54296875" style="31" bestFit="1" customWidth="1"/>
    <col min="5" max="5" width="26.453125" style="31" customWidth="1"/>
    <col min="6" max="9" width="17.54296875" style="31" customWidth="1"/>
    <col min="10" max="10" width="1.08984375" style="31" customWidth="1"/>
    <col min="11" max="49" width="17.54296875" style="31" customWidth="1"/>
    <col min="50" max="50" width="9" style="31" customWidth="1"/>
    <col min="51" max="16384" width="9" style="31" hidden="1"/>
  </cols>
  <sheetData>
    <row r="1" spans="1:50" s="25" customFormat="1" ht="12.75" customHeight="1" x14ac:dyDescent="0.3">
      <c r="B1" s="73"/>
      <c r="C1" s="73"/>
      <c r="D1" s="73"/>
      <c r="E1" s="73"/>
      <c r="F1" s="73"/>
      <c r="G1" s="73"/>
      <c r="H1" s="73"/>
      <c r="I1" s="73"/>
      <c r="J1" s="73"/>
      <c r="K1" s="73"/>
      <c r="L1" s="73"/>
      <c r="M1" s="73"/>
      <c r="N1" s="73"/>
      <c r="O1" s="73"/>
      <c r="P1" s="73"/>
      <c r="Q1" s="73"/>
      <c r="R1" s="73"/>
      <c r="S1" s="73"/>
      <c r="T1" s="73"/>
      <c r="U1" s="73"/>
      <c r="V1" s="73"/>
      <c r="W1" s="73"/>
      <c r="X1" s="73"/>
      <c r="Y1" s="73"/>
      <c r="Z1" s="73"/>
      <c r="AA1" s="73"/>
      <c r="AB1" s="73"/>
    </row>
    <row r="2" spans="1:50" s="25" customFormat="1" ht="18.75" customHeight="1" x14ac:dyDescent="0.35">
      <c r="B2" s="5" t="s">
        <v>241</v>
      </c>
      <c r="C2" s="30"/>
      <c r="D2" s="30"/>
      <c r="E2" s="30"/>
      <c r="F2" s="30"/>
      <c r="G2" s="30"/>
      <c r="H2" s="30"/>
      <c r="I2" s="30"/>
      <c r="J2" s="30"/>
      <c r="K2" s="30"/>
      <c r="L2" s="73"/>
      <c r="M2" s="73"/>
      <c r="N2" s="73"/>
      <c r="O2" s="73"/>
      <c r="P2" s="73"/>
      <c r="Q2" s="73"/>
      <c r="R2" s="73"/>
      <c r="S2" s="73"/>
      <c r="T2" s="73"/>
      <c r="U2" s="73"/>
      <c r="V2" s="73"/>
      <c r="W2" s="73"/>
      <c r="X2" s="73"/>
      <c r="Y2" s="73"/>
      <c r="Z2" s="73"/>
      <c r="AA2" s="73"/>
      <c r="AB2" s="73"/>
    </row>
    <row r="3" spans="1:50" s="25" customFormat="1" ht="14.25" customHeight="1" x14ac:dyDescent="0.3">
      <c r="B3" s="211" t="s">
        <v>242</v>
      </c>
      <c r="C3" s="211"/>
      <c r="D3" s="211"/>
      <c r="E3" s="211"/>
      <c r="F3" s="115"/>
      <c r="G3" s="115"/>
      <c r="H3" s="115"/>
      <c r="I3" s="115"/>
      <c r="J3" s="115"/>
      <c r="K3" s="115"/>
      <c r="L3" s="115"/>
      <c r="M3" s="115"/>
      <c r="N3" s="73"/>
      <c r="O3" s="73"/>
      <c r="P3" s="73"/>
      <c r="Q3" s="73"/>
      <c r="R3" s="73"/>
      <c r="S3" s="73"/>
      <c r="T3" s="73"/>
      <c r="U3" s="73"/>
      <c r="V3" s="73"/>
      <c r="W3" s="73"/>
      <c r="X3" s="74"/>
      <c r="Y3" s="74"/>
      <c r="Z3" s="74"/>
      <c r="AA3" s="74"/>
      <c r="AB3" s="74"/>
    </row>
    <row r="4" spans="1:50" s="25" customFormat="1" ht="12.75" customHeight="1" x14ac:dyDescent="0.3">
      <c r="B4" s="73"/>
      <c r="C4" s="73"/>
      <c r="D4" s="73"/>
      <c r="E4" s="73"/>
      <c r="F4" s="73"/>
      <c r="G4" s="73"/>
      <c r="H4" s="73"/>
      <c r="I4" s="73"/>
      <c r="J4" s="73"/>
      <c r="K4" s="73"/>
      <c r="L4" s="73"/>
      <c r="M4" s="73"/>
      <c r="N4" s="73"/>
      <c r="O4" s="73"/>
      <c r="P4" s="73"/>
      <c r="Q4" s="73"/>
      <c r="R4" s="73"/>
      <c r="S4" s="73"/>
      <c r="T4" s="73"/>
      <c r="U4" s="73"/>
      <c r="V4" s="73"/>
      <c r="W4" s="73"/>
      <c r="X4" s="73"/>
      <c r="Y4" s="73"/>
      <c r="Z4" s="73"/>
      <c r="AA4" s="73"/>
      <c r="AB4" s="73"/>
    </row>
    <row r="5" spans="1:50" x14ac:dyDescent="0.3">
      <c r="B5" s="62"/>
      <c r="C5" s="62"/>
      <c r="D5" s="62"/>
      <c r="E5" s="62"/>
      <c r="F5" s="62"/>
      <c r="G5" s="62"/>
      <c r="H5" s="62"/>
      <c r="I5" s="62"/>
      <c r="J5" s="62"/>
      <c r="K5" s="62"/>
      <c r="L5" s="62"/>
      <c r="M5" s="62"/>
      <c r="N5" s="62"/>
      <c r="O5" s="62"/>
      <c r="P5" s="62"/>
      <c r="Q5" s="62"/>
      <c r="R5" s="62"/>
      <c r="S5" s="62"/>
      <c r="T5" s="62"/>
      <c r="U5" s="62"/>
      <c r="V5" s="62"/>
      <c r="W5" s="62"/>
      <c r="X5" s="62"/>
      <c r="Y5" s="62"/>
      <c r="Z5" s="62"/>
      <c r="AA5" s="62"/>
      <c r="AB5" s="62"/>
    </row>
    <row r="6" spans="1:50" s="26" customFormat="1" ht="12" customHeight="1" x14ac:dyDescent="0.3">
      <c r="A6" s="31"/>
      <c r="B6" s="243" t="s">
        <v>29</v>
      </c>
      <c r="C6" s="243" t="s">
        <v>151</v>
      </c>
      <c r="D6" s="243" t="s">
        <v>74</v>
      </c>
      <c r="E6" s="247"/>
      <c r="F6" s="212" t="s">
        <v>75</v>
      </c>
      <c r="G6" s="213"/>
      <c r="H6" s="213"/>
      <c r="I6" s="214"/>
      <c r="J6" s="180"/>
      <c r="K6" s="251" t="s">
        <v>76</v>
      </c>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3"/>
      <c r="AX6" s="31"/>
    </row>
    <row r="7" spans="1:50" s="26" customFormat="1" ht="30" customHeight="1" x14ac:dyDescent="0.3">
      <c r="A7" s="31"/>
      <c r="B7" s="246"/>
      <c r="C7" s="246"/>
      <c r="D7" s="246"/>
      <c r="E7" s="247"/>
      <c r="F7" s="261" t="s">
        <v>152</v>
      </c>
      <c r="G7" s="262"/>
      <c r="H7" s="262"/>
      <c r="I7" s="263"/>
      <c r="J7" s="181"/>
      <c r="K7" s="254" t="s">
        <v>78</v>
      </c>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6"/>
      <c r="AX7" s="31"/>
    </row>
    <row r="8" spans="1:50" s="26" customFormat="1" ht="27" x14ac:dyDescent="0.3">
      <c r="A8" s="31"/>
      <c r="B8" s="246"/>
      <c r="C8" s="246"/>
      <c r="D8" s="246"/>
      <c r="E8" s="96" t="s">
        <v>153</v>
      </c>
      <c r="F8" s="76" t="s">
        <v>80</v>
      </c>
      <c r="G8" s="76" t="s">
        <v>81</v>
      </c>
      <c r="H8" s="76" t="s">
        <v>82</v>
      </c>
      <c r="I8" s="76" t="s">
        <v>83</v>
      </c>
      <c r="J8" s="181"/>
      <c r="K8" s="76" t="s">
        <v>84</v>
      </c>
      <c r="L8" s="76" t="s">
        <v>85</v>
      </c>
      <c r="M8" s="76" t="s">
        <v>86</v>
      </c>
      <c r="N8" s="76" t="s">
        <v>87</v>
      </c>
      <c r="O8" s="76" t="s">
        <v>88</v>
      </c>
      <c r="P8" s="76" t="s">
        <v>89</v>
      </c>
      <c r="Q8" s="76" t="s">
        <v>90</v>
      </c>
      <c r="R8" s="76" t="s">
        <v>91</v>
      </c>
      <c r="S8" s="76" t="s">
        <v>92</v>
      </c>
      <c r="T8" s="76" t="s">
        <v>93</v>
      </c>
      <c r="U8" s="76" t="s">
        <v>94</v>
      </c>
      <c r="V8" s="76" t="s">
        <v>597</v>
      </c>
      <c r="W8" s="76" t="s">
        <v>598</v>
      </c>
      <c r="X8" s="76" t="s">
        <v>599</v>
      </c>
      <c r="Y8" s="76" t="s">
        <v>600</v>
      </c>
      <c r="Z8" s="76" t="s">
        <v>632</v>
      </c>
      <c r="AA8" s="76" t="s">
        <v>602</v>
      </c>
      <c r="AB8" s="76" t="s">
        <v>603</v>
      </c>
      <c r="AC8" s="76" t="s">
        <v>604</v>
      </c>
      <c r="AD8" s="76" t="s">
        <v>605</v>
      </c>
      <c r="AE8" s="76" t="s">
        <v>606</v>
      </c>
      <c r="AF8" s="76" t="s">
        <v>607</v>
      </c>
      <c r="AG8" s="76" t="s">
        <v>608</v>
      </c>
      <c r="AH8" s="76" t="s">
        <v>609</v>
      </c>
      <c r="AI8" s="76" t="s">
        <v>611</v>
      </c>
      <c r="AJ8" s="76" t="s">
        <v>612</v>
      </c>
      <c r="AK8" s="76" t="s">
        <v>613</v>
      </c>
      <c r="AL8" s="76" t="s">
        <v>614</v>
      </c>
      <c r="AM8" s="76" t="s">
        <v>610</v>
      </c>
      <c r="AN8" s="76" t="s">
        <v>615</v>
      </c>
      <c r="AO8" s="76" t="s">
        <v>616</v>
      </c>
      <c r="AP8" s="76" t="s">
        <v>617</v>
      </c>
      <c r="AQ8" s="76" t="s">
        <v>618</v>
      </c>
      <c r="AR8" s="76" t="s">
        <v>619</v>
      </c>
      <c r="AS8" s="76" t="s">
        <v>620</v>
      </c>
      <c r="AT8" s="76" t="s">
        <v>621</v>
      </c>
      <c r="AU8" s="76" t="s">
        <v>622</v>
      </c>
      <c r="AV8" s="76" t="s">
        <v>623</v>
      </c>
      <c r="AW8" s="76" t="s">
        <v>624</v>
      </c>
      <c r="AX8" s="31"/>
    </row>
    <row r="9" spans="1:50" s="26" customFormat="1" x14ac:dyDescent="0.3">
      <c r="A9" s="31"/>
      <c r="B9" s="246"/>
      <c r="C9" s="246"/>
      <c r="D9" s="246"/>
      <c r="E9" s="97" t="s">
        <v>95</v>
      </c>
      <c r="F9" s="78" t="s">
        <v>96</v>
      </c>
      <c r="G9" s="78" t="s">
        <v>97</v>
      </c>
      <c r="H9" s="78" t="s">
        <v>98</v>
      </c>
      <c r="I9" s="79" t="s">
        <v>99</v>
      </c>
      <c r="J9" s="181"/>
      <c r="K9" s="80" t="s">
        <v>100</v>
      </c>
      <c r="L9" s="78" t="s">
        <v>101</v>
      </c>
      <c r="M9" s="78" t="s">
        <v>102</v>
      </c>
      <c r="N9" s="78" t="s">
        <v>103</v>
      </c>
      <c r="O9" s="78" t="s">
        <v>104</v>
      </c>
      <c r="P9" s="78" t="s">
        <v>105</v>
      </c>
      <c r="Q9" s="78" t="s">
        <v>106</v>
      </c>
      <c r="R9" s="78" t="s">
        <v>107</v>
      </c>
      <c r="S9" s="78" t="s">
        <v>108</v>
      </c>
      <c r="T9" s="78" t="s">
        <v>109</v>
      </c>
      <c r="U9" s="78" t="s">
        <v>110</v>
      </c>
      <c r="V9" s="78" t="s">
        <v>110</v>
      </c>
      <c r="W9" s="78" t="s">
        <v>625</v>
      </c>
      <c r="X9" s="78" t="s">
        <v>625</v>
      </c>
      <c r="Y9" s="78" t="s">
        <v>590</v>
      </c>
      <c r="Z9" s="78" t="s">
        <v>590</v>
      </c>
      <c r="AA9" s="78" t="s">
        <v>626</v>
      </c>
      <c r="AB9" s="78" t="s">
        <v>626</v>
      </c>
      <c r="AC9" s="78" t="s">
        <v>591</v>
      </c>
      <c r="AD9" s="78" t="s">
        <v>591</v>
      </c>
      <c r="AE9" s="78" t="s">
        <v>627</v>
      </c>
      <c r="AF9" s="78" t="s">
        <v>627</v>
      </c>
      <c r="AG9" s="78" t="s">
        <v>592</v>
      </c>
      <c r="AH9" s="78" t="s">
        <v>592</v>
      </c>
      <c r="AI9" s="78" t="s">
        <v>628</v>
      </c>
      <c r="AJ9" s="78" t="s">
        <v>628</v>
      </c>
      <c r="AK9" s="78" t="s">
        <v>593</v>
      </c>
      <c r="AL9" s="78" t="s">
        <v>593</v>
      </c>
      <c r="AM9" s="78" t="s">
        <v>629</v>
      </c>
      <c r="AN9" s="78" t="s">
        <v>629</v>
      </c>
      <c r="AO9" s="78" t="s">
        <v>594</v>
      </c>
      <c r="AP9" s="78" t="s">
        <v>594</v>
      </c>
      <c r="AQ9" s="78" t="s">
        <v>630</v>
      </c>
      <c r="AR9" s="78" t="s">
        <v>630</v>
      </c>
      <c r="AS9" s="78" t="s">
        <v>595</v>
      </c>
      <c r="AT9" s="78" t="s">
        <v>595</v>
      </c>
      <c r="AU9" s="78" t="s">
        <v>631</v>
      </c>
      <c r="AV9" s="78" t="s">
        <v>631</v>
      </c>
      <c r="AW9" s="78" t="s">
        <v>596</v>
      </c>
      <c r="AX9" s="31"/>
    </row>
    <row r="10" spans="1:50" s="26" customFormat="1" x14ac:dyDescent="0.3">
      <c r="A10" s="31"/>
      <c r="B10" s="244"/>
      <c r="C10" s="244"/>
      <c r="D10" s="244"/>
      <c r="E10" s="97" t="s">
        <v>111</v>
      </c>
      <c r="F10" s="81" t="s">
        <v>112</v>
      </c>
      <c r="G10" s="78" t="s">
        <v>112</v>
      </c>
      <c r="H10" s="78" t="s">
        <v>113</v>
      </c>
      <c r="I10" s="78" t="s">
        <v>113</v>
      </c>
      <c r="J10" s="181"/>
      <c r="K10" s="131" t="s">
        <v>114</v>
      </c>
      <c r="L10" s="131" t="s">
        <v>115</v>
      </c>
      <c r="M10" s="131" t="s">
        <v>115</v>
      </c>
      <c r="N10" s="131" t="s">
        <v>116</v>
      </c>
      <c r="O10" s="131" t="s">
        <v>116</v>
      </c>
      <c r="P10" s="131" t="s">
        <v>117</v>
      </c>
      <c r="Q10" s="131" t="s">
        <v>117</v>
      </c>
      <c r="R10" s="131" t="s">
        <v>118</v>
      </c>
      <c r="S10" s="131" t="s">
        <v>118</v>
      </c>
      <c r="T10" s="131" t="s">
        <v>119</v>
      </c>
      <c r="U10" s="131" t="s">
        <v>119</v>
      </c>
      <c r="V10" s="131" t="s">
        <v>119</v>
      </c>
      <c r="W10" s="131" t="s">
        <v>647</v>
      </c>
      <c r="X10" s="131" t="s">
        <v>647</v>
      </c>
      <c r="Y10" s="131" t="s">
        <v>647</v>
      </c>
      <c r="Z10" s="131" t="s">
        <v>647</v>
      </c>
      <c r="AA10" s="131" t="s">
        <v>648</v>
      </c>
      <c r="AB10" s="131" t="s">
        <v>648</v>
      </c>
      <c r="AC10" s="131" t="s">
        <v>648</v>
      </c>
      <c r="AD10" s="131" t="s">
        <v>648</v>
      </c>
      <c r="AE10" s="131" t="s">
        <v>649</v>
      </c>
      <c r="AF10" s="131" t="s">
        <v>649</v>
      </c>
      <c r="AG10" s="131" t="s">
        <v>649</v>
      </c>
      <c r="AH10" s="131" t="s">
        <v>649</v>
      </c>
      <c r="AI10" s="131" t="s">
        <v>650</v>
      </c>
      <c r="AJ10" s="131" t="s">
        <v>650</v>
      </c>
      <c r="AK10" s="131" t="s">
        <v>650</v>
      </c>
      <c r="AL10" s="131" t="s">
        <v>650</v>
      </c>
      <c r="AM10" s="131" t="s">
        <v>651</v>
      </c>
      <c r="AN10" s="131" t="s">
        <v>651</v>
      </c>
      <c r="AO10" s="131" t="s">
        <v>651</v>
      </c>
      <c r="AP10" s="131" t="s">
        <v>651</v>
      </c>
      <c r="AQ10" s="131" t="s">
        <v>652</v>
      </c>
      <c r="AR10" s="131" t="s">
        <v>652</v>
      </c>
      <c r="AS10" s="131" t="s">
        <v>652</v>
      </c>
      <c r="AT10" s="131" t="s">
        <v>652</v>
      </c>
      <c r="AU10" s="131" t="s">
        <v>653</v>
      </c>
      <c r="AV10" s="131" t="s">
        <v>653</v>
      </c>
      <c r="AW10" s="131" t="s">
        <v>653</v>
      </c>
      <c r="AX10" s="31"/>
    </row>
    <row r="11" spans="1:50" s="26" customFormat="1" ht="12.65" customHeight="1" x14ac:dyDescent="0.3">
      <c r="A11" s="31"/>
      <c r="B11" s="248" t="s">
        <v>154</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50"/>
      <c r="AX11" s="31"/>
    </row>
    <row r="12" spans="1:50" s="26" customFormat="1" x14ac:dyDescent="0.3">
      <c r="A12" s="31"/>
      <c r="B12" s="56" t="s">
        <v>243</v>
      </c>
      <c r="C12" s="56" t="s">
        <v>244</v>
      </c>
      <c r="D12" s="56" t="s">
        <v>157</v>
      </c>
      <c r="E12" s="182"/>
      <c r="F12" s="100">
        <v>250000</v>
      </c>
      <c r="G12" s="100">
        <v>250000</v>
      </c>
      <c r="H12" s="100">
        <v>250000</v>
      </c>
      <c r="I12" s="100">
        <v>250000</v>
      </c>
      <c r="J12" s="181"/>
      <c r="K12" s="100">
        <v>250000</v>
      </c>
      <c r="L12" s="100">
        <v>250000</v>
      </c>
      <c r="M12" s="100">
        <v>250000</v>
      </c>
      <c r="N12" s="100">
        <v>250000</v>
      </c>
      <c r="O12" s="100">
        <v>250000</v>
      </c>
      <c r="P12" s="116">
        <v>250000</v>
      </c>
      <c r="Q12" s="116">
        <v>250000</v>
      </c>
      <c r="R12" s="116">
        <v>250000</v>
      </c>
      <c r="S12" s="150">
        <v>250000</v>
      </c>
      <c r="T12" s="150">
        <v>250000</v>
      </c>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31"/>
    </row>
    <row r="13" spans="1:50" s="26" customFormat="1" x14ac:dyDescent="0.3">
      <c r="A13" s="31"/>
      <c r="B13" s="56" t="s">
        <v>160</v>
      </c>
      <c r="C13" s="56" t="s">
        <v>161</v>
      </c>
      <c r="D13" s="56" t="s">
        <v>162</v>
      </c>
      <c r="E13" s="182"/>
      <c r="F13" s="100">
        <v>28094000</v>
      </c>
      <c r="G13" s="100">
        <v>28094000</v>
      </c>
      <c r="H13" s="100">
        <v>28094000</v>
      </c>
      <c r="I13" s="100">
        <v>28094000</v>
      </c>
      <c r="J13" s="181"/>
      <c r="K13" s="100">
        <v>28094000</v>
      </c>
      <c r="L13" s="100">
        <v>28254000</v>
      </c>
      <c r="M13" s="100">
        <v>28254000</v>
      </c>
      <c r="N13" s="100">
        <v>28402000</v>
      </c>
      <c r="O13" s="100">
        <v>28402000</v>
      </c>
      <c r="P13" s="116">
        <v>28712000</v>
      </c>
      <c r="Q13" s="116">
        <v>28712000</v>
      </c>
      <c r="R13" s="116">
        <v>28946000</v>
      </c>
      <c r="S13" s="150">
        <v>28946000</v>
      </c>
      <c r="T13" s="100">
        <v>29179000</v>
      </c>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31"/>
    </row>
    <row r="14" spans="1:50" s="26" customFormat="1" x14ac:dyDescent="0.3">
      <c r="A14" s="31"/>
      <c r="B14" s="56" t="s">
        <v>163</v>
      </c>
      <c r="C14" s="56" t="s">
        <v>161</v>
      </c>
      <c r="D14" s="56" t="s">
        <v>162</v>
      </c>
      <c r="E14" s="182"/>
      <c r="F14" s="100">
        <v>23714000</v>
      </c>
      <c r="G14" s="100">
        <v>23714000</v>
      </c>
      <c r="H14" s="100">
        <v>23714000</v>
      </c>
      <c r="I14" s="100">
        <v>23714000</v>
      </c>
      <c r="J14" s="181"/>
      <c r="K14" s="100">
        <v>23714000</v>
      </c>
      <c r="L14" s="100">
        <v>23915000</v>
      </c>
      <c r="M14" s="100">
        <v>23915000</v>
      </c>
      <c r="N14" s="100">
        <v>24177000</v>
      </c>
      <c r="O14" s="100">
        <v>24177000</v>
      </c>
      <c r="P14" s="116">
        <v>24096000</v>
      </c>
      <c r="Q14" s="116">
        <v>24096000</v>
      </c>
      <c r="R14" s="116">
        <v>24152000</v>
      </c>
      <c r="S14" s="150">
        <v>24152000</v>
      </c>
      <c r="T14" s="100">
        <v>24336000</v>
      </c>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31"/>
    </row>
    <row r="15" spans="1:50" s="26" customFormat="1" x14ac:dyDescent="0.3">
      <c r="A15" s="31"/>
      <c r="B15" s="248" t="s">
        <v>168</v>
      </c>
      <c r="C15" s="249"/>
      <c r="D15" s="249"/>
      <c r="E15" s="249"/>
      <c r="F15" s="249"/>
      <c r="G15" s="249"/>
      <c r="H15" s="249"/>
      <c r="I15" s="249"/>
      <c r="J15" s="249"/>
      <c r="K15" s="249"/>
      <c r="L15" s="249"/>
      <c r="M15" s="249"/>
      <c r="N15" s="249"/>
      <c r="O15" s="249"/>
      <c r="P15" s="249"/>
      <c r="Q15" s="249"/>
      <c r="R15" s="249"/>
      <c r="S15" s="249"/>
      <c r="T15" s="249"/>
      <c r="U15" s="250"/>
      <c r="V15" s="249"/>
      <c r="W15" s="249"/>
      <c r="X15" s="249"/>
      <c r="Y15" s="249"/>
      <c r="Z15" s="249"/>
      <c r="AA15" s="249"/>
      <c r="AB15" s="249"/>
      <c r="AC15" s="249"/>
      <c r="AD15" s="249"/>
      <c r="AE15" s="249"/>
      <c r="AF15" s="249"/>
      <c r="AG15" s="249"/>
      <c r="AH15" s="249"/>
      <c r="AI15" s="249"/>
      <c r="AJ15" s="249"/>
      <c r="AK15" s="249"/>
      <c r="AL15" s="249"/>
      <c r="AM15" s="249"/>
      <c r="AN15" s="249"/>
      <c r="AO15" s="250"/>
      <c r="AP15" s="249"/>
      <c r="AQ15" s="249"/>
      <c r="AR15" s="249"/>
      <c r="AS15" s="249"/>
      <c r="AT15" s="249"/>
      <c r="AU15" s="249"/>
      <c r="AV15" s="249"/>
      <c r="AW15" s="250"/>
      <c r="AX15" s="31"/>
    </row>
    <row r="16" spans="1:50" s="26" customFormat="1" x14ac:dyDescent="0.3">
      <c r="A16" s="31"/>
      <c r="B16" s="56" t="s">
        <v>173</v>
      </c>
      <c r="C16" s="209"/>
      <c r="D16" s="56" t="s">
        <v>166</v>
      </c>
      <c r="E16" s="182"/>
      <c r="F16" s="106">
        <f>IFERROR(F$13/SUM(F$13:F$14),"")</f>
        <v>0.54227146386658431</v>
      </c>
      <c r="G16" s="106">
        <f>IFERROR(G$13/SUM(G$13:G$14),"")</f>
        <v>0.54227146386658431</v>
      </c>
      <c r="H16" s="106">
        <f>IFERROR(H$13/SUM(H$13:H$14),"")</f>
        <v>0.54227146386658431</v>
      </c>
      <c r="I16" s="106">
        <f>IFERROR(I$13/SUM(I$13:I$14),"")</f>
        <v>0.54227146386658431</v>
      </c>
      <c r="J16" s="181"/>
      <c r="K16" s="106">
        <f>IFERROR(K$13/SUM(K$13:K$14),"")</f>
        <v>0.54227146386658431</v>
      </c>
      <c r="L16" s="106">
        <f>IFERROR(L$13/SUM(L$13:L$14),"")</f>
        <v>0.54158599934827201</v>
      </c>
      <c r="M16" s="106">
        <f t="shared" ref="M16:AW16" si="0">IFERROR(M$13/SUM(M$13:M$14),"")</f>
        <v>0.54158599934827201</v>
      </c>
      <c r="N16" s="106">
        <f>IFERROR(N$13/SUM(N$13:N$14),"")</f>
        <v>0.54017763745982239</v>
      </c>
      <c r="O16" s="106">
        <f t="shared" si="0"/>
        <v>0.54017763745982239</v>
      </c>
      <c r="P16" s="106">
        <f t="shared" si="0"/>
        <v>0.54370549916679289</v>
      </c>
      <c r="Q16" s="106">
        <f t="shared" si="0"/>
        <v>0.54370549916679289</v>
      </c>
      <c r="R16" s="106">
        <f t="shared" si="0"/>
        <v>0.54514294323703338</v>
      </c>
      <c r="S16" s="106">
        <f t="shared" si="0"/>
        <v>0.54514294323703338</v>
      </c>
      <c r="T16" s="106">
        <f>IFERROR(T$13/SUM(T$13:T$14),"")</f>
        <v>0.54524899560870788</v>
      </c>
      <c r="U16" s="106" t="str">
        <f>IFERROR(U$13/SUM(U$13:U$14),"")</f>
        <v/>
      </c>
      <c r="V16" s="106" t="str">
        <f t="shared" si="0"/>
        <v/>
      </c>
      <c r="W16" s="106" t="str">
        <f t="shared" si="0"/>
        <v/>
      </c>
      <c r="X16" s="106" t="str">
        <f t="shared" si="0"/>
        <v/>
      </c>
      <c r="Y16" s="106" t="str">
        <f t="shared" si="0"/>
        <v/>
      </c>
      <c r="Z16" s="106" t="str">
        <f t="shared" si="0"/>
        <v/>
      </c>
      <c r="AA16" s="106" t="str">
        <f t="shared" si="0"/>
        <v/>
      </c>
      <c r="AB16" s="106" t="str">
        <f t="shared" si="0"/>
        <v/>
      </c>
      <c r="AC16" s="106" t="str">
        <f t="shared" si="0"/>
        <v/>
      </c>
      <c r="AD16" s="106" t="str">
        <f t="shared" si="0"/>
        <v/>
      </c>
      <c r="AE16" s="106" t="str">
        <f t="shared" si="0"/>
        <v/>
      </c>
      <c r="AF16" s="106" t="str">
        <f t="shared" si="0"/>
        <v/>
      </c>
      <c r="AG16" s="106" t="str">
        <f t="shared" si="0"/>
        <v/>
      </c>
      <c r="AH16" s="106" t="str">
        <f t="shared" si="0"/>
        <v/>
      </c>
      <c r="AI16" s="106" t="str">
        <f t="shared" si="0"/>
        <v/>
      </c>
      <c r="AJ16" s="106" t="str">
        <f t="shared" si="0"/>
        <v/>
      </c>
      <c r="AK16" s="106" t="str">
        <f t="shared" si="0"/>
        <v/>
      </c>
      <c r="AL16" s="106" t="str">
        <f t="shared" si="0"/>
        <v/>
      </c>
      <c r="AM16" s="106" t="str">
        <f t="shared" si="0"/>
        <v/>
      </c>
      <c r="AN16" s="106" t="str">
        <f t="shared" si="0"/>
        <v/>
      </c>
      <c r="AO16" s="106" t="str">
        <f t="shared" si="0"/>
        <v/>
      </c>
      <c r="AP16" s="106" t="str">
        <f t="shared" si="0"/>
        <v/>
      </c>
      <c r="AQ16" s="106" t="str">
        <f t="shared" si="0"/>
        <v/>
      </c>
      <c r="AR16" s="106" t="str">
        <f t="shared" si="0"/>
        <v/>
      </c>
      <c r="AS16" s="106" t="str">
        <f t="shared" si="0"/>
        <v/>
      </c>
      <c r="AT16" s="106" t="str">
        <f t="shared" si="0"/>
        <v/>
      </c>
      <c r="AU16" s="106" t="str">
        <f t="shared" si="0"/>
        <v/>
      </c>
      <c r="AV16" s="106" t="str">
        <f t="shared" si="0"/>
        <v/>
      </c>
      <c r="AW16" s="106" t="str">
        <f t="shared" si="0"/>
        <v/>
      </c>
      <c r="AX16" s="31"/>
    </row>
    <row r="17" spans="1:50" s="26" customFormat="1" x14ac:dyDescent="0.3">
      <c r="A17" s="31"/>
      <c r="B17" s="56" t="s">
        <v>174</v>
      </c>
      <c r="C17" s="235"/>
      <c r="D17" s="56" t="s">
        <v>166</v>
      </c>
      <c r="E17" s="182"/>
      <c r="F17" s="106">
        <f>IFERROR(F14/SUM(F$13:F$14),"")</f>
        <v>0.45772853613341569</v>
      </c>
      <c r="G17" s="106">
        <f>IFERROR(G14/SUM(G$13:G$14),"")</f>
        <v>0.45772853613341569</v>
      </c>
      <c r="H17" s="106">
        <f>IFERROR(H14/SUM(H$13:H$14),"")</f>
        <v>0.45772853613341569</v>
      </c>
      <c r="I17" s="106">
        <f>IFERROR(I14/SUM(I$13:I$14),"")</f>
        <v>0.45772853613341569</v>
      </c>
      <c r="J17" s="181"/>
      <c r="K17" s="106">
        <f t="shared" ref="K17:U17" si="1">IFERROR(K14/SUM(K$13:K$14),"")</f>
        <v>0.45772853613341569</v>
      </c>
      <c r="L17" s="106">
        <f t="shared" si="1"/>
        <v>0.45841400065172805</v>
      </c>
      <c r="M17" s="106">
        <f t="shared" si="1"/>
        <v>0.45841400065172805</v>
      </c>
      <c r="N17" s="106">
        <f>IFERROR(N14/SUM(N$13:N$14),"")</f>
        <v>0.45982236254017766</v>
      </c>
      <c r="O17" s="106">
        <f t="shared" si="1"/>
        <v>0.45982236254017766</v>
      </c>
      <c r="P17" s="106">
        <f t="shared" si="1"/>
        <v>0.45629450083320711</v>
      </c>
      <c r="Q17" s="106">
        <f t="shared" si="1"/>
        <v>0.45629450083320711</v>
      </c>
      <c r="R17" s="106">
        <f t="shared" si="1"/>
        <v>0.45485705676296662</v>
      </c>
      <c r="S17" s="106">
        <f t="shared" si="1"/>
        <v>0.45485705676296662</v>
      </c>
      <c r="T17" s="106">
        <f t="shared" si="1"/>
        <v>0.45475100439129218</v>
      </c>
      <c r="U17" s="106" t="str">
        <f t="shared" si="1"/>
        <v/>
      </c>
      <c r="V17" s="106" t="str">
        <f t="shared" ref="V17:AW17" si="2">IFERROR(V14/SUM(V$13:V$14),"")</f>
        <v/>
      </c>
      <c r="W17" s="106" t="str">
        <f t="shared" si="2"/>
        <v/>
      </c>
      <c r="X17" s="106" t="str">
        <f t="shared" si="2"/>
        <v/>
      </c>
      <c r="Y17" s="106" t="str">
        <f t="shared" si="2"/>
        <v/>
      </c>
      <c r="Z17" s="106" t="str">
        <f t="shared" si="2"/>
        <v/>
      </c>
      <c r="AA17" s="106" t="str">
        <f t="shared" si="2"/>
        <v/>
      </c>
      <c r="AB17" s="106" t="str">
        <f t="shared" si="2"/>
        <v/>
      </c>
      <c r="AC17" s="106" t="str">
        <f t="shared" si="2"/>
        <v/>
      </c>
      <c r="AD17" s="106" t="str">
        <f t="shared" si="2"/>
        <v/>
      </c>
      <c r="AE17" s="106" t="str">
        <f t="shared" si="2"/>
        <v/>
      </c>
      <c r="AF17" s="106" t="str">
        <f t="shared" si="2"/>
        <v/>
      </c>
      <c r="AG17" s="106" t="str">
        <f t="shared" si="2"/>
        <v/>
      </c>
      <c r="AH17" s="106" t="str">
        <f t="shared" si="2"/>
        <v/>
      </c>
      <c r="AI17" s="106" t="str">
        <f t="shared" si="2"/>
        <v/>
      </c>
      <c r="AJ17" s="106" t="str">
        <f t="shared" si="2"/>
        <v/>
      </c>
      <c r="AK17" s="106" t="str">
        <f t="shared" si="2"/>
        <v/>
      </c>
      <c r="AL17" s="106" t="str">
        <f t="shared" si="2"/>
        <v/>
      </c>
      <c r="AM17" s="106" t="str">
        <f t="shared" si="2"/>
        <v/>
      </c>
      <c r="AN17" s="106" t="str">
        <f t="shared" si="2"/>
        <v/>
      </c>
      <c r="AO17" s="106" t="str">
        <f t="shared" si="2"/>
        <v/>
      </c>
      <c r="AP17" s="106" t="str">
        <f t="shared" si="2"/>
        <v/>
      </c>
      <c r="AQ17" s="106" t="str">
        <f t="shared" si="2"/>
        <v/>
      </c>
      <c r="AR17" s="106" t="str">
        <f t="shared" si="2"/>
        <v/>
      </c>
      <c r="AS17" s="106" t="str">
        <f t="shared" si="2"/>
        <v/>
      </c>
      <c r="AT17" s="106" t="str">
        <f t="shared" si="2"/>
        <v/>
      </c>
      <c r="AU17" s="106" t="str">
        <f t="shared" si="2"/>
        <v/>
      </c>
      <c r="AV17" s="106" t="str">
        <f t="shared" si="2"/>
        <v/>
      </c>
      <c r="AW17" s="106" t="str">
        <f t="shared" si="2"/>
        <v/>
      </c>
      <c r="AX17" s="31"/>
    </row>
    <row r="18" spans="1:50" s="26" customFormat="1" x14ac:dyDescent="0.3">
      <c r="A18" s="31"/>
      <c r="B18" s="56" t="s">
        <v>182</v>
      </c>
      <c r="C18" s="235"/>
      <c r="D18" s="56" t="s">
        <v>157</v>
      </c>
      <c r="E18" s="182"/>
      <c r="F18" s="107">
        <f>IFERROR(F12*F16/F13,0)</f>
        <v>4.8255095738109948E-3</v>
      </c>
      <c r="G18" s="107">
        <f>IFERROR(G12*G16/G13,0)</f>
        <v>4.8255095738109948E-3</v>
      </c>
      <c r="H18" s="107">
        <f>IFERROR(H12*H16/H13,0)</f>
        <v>4.8255095738109948E-3</v>
      </c>
      <c r="I18" s="107">
        <f>IFERROR(I12*I16/I13,0)</f>
        <v>4.8255095738109948E-3</v>
      </c>
      <c r="J18" s="181"/>
      <c r="K18" s="107">
        <f>IFERROR(K12*K16/K13,0)</f>
        <v>4.8255095738109948E-3</v>
      </c>
      <c r="L18" s="107">
        <f>IFERROR(L12*L16/L13,0)</f>
        <v>4.792117924437885E-3</v>
      </c>
      <c r="M18" s="107">
        <f>IFERROR(M12*M16/M13,0)</f>
        <v>4.792117924437885E-3</v>
      </c>
      <c r="N18" s="107">
        <f>IFERROR(N12*N16/N13,0)</f>
        <v>4.7547499952452499E-3</v>
      </c>
      <c r="O18" s="107">
        <f t="shared" ref="O18:T18" si="3">IFERROR(O12*O16/O13,0)</f>
        <v>4.7547499952452499E-3</v>
      </c>
      <c r="P18" s="107">
        <f t="shared" si="3"/>
        <v>4.7341311922435986E-3</v>
      </c>
      <c r="Q18" s="107">
        <f t="shared" si="3"/>
        <v>4.7341311922435986E-3</v>
      </c>
      <c r="R18" s="107">
        <f t="shared" si="3"/>
        <v>4.7082752646050701E-3</v>
      </c>
      <c r="S18" s="107">
        <f t="shared" si="3"/>
        <v>4.7082752646050701E-3</v>
      </c>
      <c r="T18" s="107">
        <f t="shared" si="3"/>
        <v>4.6715874054003553E-3</v>
      </c>
      <c r="U18" s="107">
        <f>IFERROR(U12*U16/U13,0)</f>
        <v>0</v>
      </c>
      <c r="V18" s="107">
        <f t="shared" ref="V18:AW18" si="4">IFERROR(V12*V16/V13,0)</f>
        <v>0</v>
      </c>
      <c r="W18" s="107">
        <f t="shared" si="4"/>
        <v>0</v>
      </c>
      <c r="X18" s="107">
        <f t="shared" si="4"/>
        <v>0</v>
      </c>
      <c r="Y18" s="107">
        <f t="shared" si="4"/>
        <v>0</v>
      </c>
      <c r="Z18" s="107">
        <f t="shared" si="4"/>
        <v>0</v>
      </c>
      <c r="AA18" s="107">
        <f t="shared" si="4"/>
        <v>0</v>
      </c>
      <c r="AB18" s="107">
        <f t="shared" si="4"/>
        <v>0</v>
      </c>
      <c r="AC18" s="107">
        <f t="shared" si="4"/>
        <v>0</v>
      </c>
      <c r="AD18" s="107">
        <f t="shared" si="4"/>
        <v>0</v>
      </c>
      <c r="AE18" s="107">
        <f t="shared" si="4"/>
        <v>0</v>
      </c>
      <c r="AF18" s="107">
        <f t="shared" si="4"/>
        <v>0</v>
      </c>
      <c r="AG18" s="107">
        <f t="shared" si="4"/>
        <v>0</v>
      </c>
      <c r="AH18" s="107">
        <f t="shared" si="4"/>
        <v>0</v>
      </c>
      <c r="AI18" s="107">
        <f t="shared" si="4"/>
        <v>0</v>
      </c>
      <c r="AJ18" s="107">
        <f t="shared" si="4"/>
        <v>0</v>
      </c>
      <c r="AK18" s="107">
        <f t="shared" si="4"/>
        <v>0</v>
      </c>
      <c r="AL18" s="107">
        <f t="shared" si="4"/>
        <v>0</v>
      </c>
      <c r="AM18" s="107">
        <f t="shared" si="4"/>
        <v>0</v>
      </c>
      <c r="AN18" s="107">
        <f t="shared" si="4"/>
        <v>0</v>
      </c>
      <c r="AO18" s="107">
        <f t="shared" si="4"/>
        <v>0</v>
      </c>
      <c r="AP18" s="107">
        <f t="shared" si="4"/>
        <v>0</v>
      </c>
      <c r="AQ18" s="107">
        <f t="shared" si="4"/>
        <v>0</v>
      </c>
      <c r="AR18" s="107">
        <f t="shared" si="4"/>
        <v>0</v>
      </c>
      <c r="AS18" s="107">
        <f t="shared" si="4"/>
        <v>0</v>
      </c>
      <c r="AT18" s="107">
        <f t="shared" si="4"/>
        <v>0</v>
      </c>
      <c r="AU18" s="107">
        <f t="shared" si="4"/>
        <v>0</v>
      </c>
      <c r="AV18" s="107">
        <f t="shared" si="4"/>
        <v>0</v>
      </c>
      <c r="AW18" s="107">
        <f t="shared" si="4"/>
        <v>0</v>
      </c>
      <c r="AX18" s="31"/>
    </row>
    <row r="19" spans="1:50" s="26" customFormat="1" x14ac:dyDescent="0.3">
      <c r="A19" s="31"/>
      <c r="B19" s="56" t="s">
        <v>183</v>
      </c>
      <c r="C19" s="210"/>
      <c r="D19" s="56" t="s">
        <v>157</v>
      </c>
      <c r="E19" s="182"/>
      <c r="F19" s="107">
        <f>IFERROR(F12*F17/F14,0)</f>
        <v>4.8255095738109948E-3</v>
      </c>
      <c r="G19" s="107">
        <f>IFERROR(G12*G17/G14,0)</f>
        <v>4.8255095738109948E-3</v>
      </c>
      <c r="H19" s="107">
        <f>IFERROR(H12*H17/H14,0)</f>
        <v>4.8255095738109948E-3</v>
      </c>
      <c r="I19" s="107">
        <f>IFERROR(I12*I17/I14,0)</f>
        <v>4.8255095738109948E-3</v>
      </c>
      <c r="J19" s="181"/>
      <c r="K19" s="107">
        <f>IFERROR(K12*K17/K14,0)</f>
        <v>4.8255095738109948E-3</v>
      </c>
      <c r="L19" s="107">
        <f>IFERROR(L12*L17/L14,0)</f>
        <v>4.792117924437885E-3</v>
      </c>
      <c r="M19" s="107">
        <f>IFERROR(M12*M17/M14,0)</f>
        <v>4.792117924437885E-3</v>
      </c>
      <c r="N19" s="107">
        <f>IFERROR(N12*N17/N14,0)</f>
        <v>4.7547499952452499E-3</v>
      </c>
      <c r="O19" s="107">
        <f t="shared" ref="O19:U19" si="5">IFERROR(O12*O17/O14,0)</f>
        <v>4.7547499952452499E-3</v>
      </c>
      <c r="P19" s="107">
        <f t="shared" si="5"/>
        <v>4.7341311922435994E-3</v>
      </c>
      <c r="Q19" s="107">
        <f t="shared" si="5"/>
        <v>4.7341311922435994E-3</v>
      </c>
      <c r="R19" s="107">
        <f t="shared" si="5"/>
        <v>4.7082752646050701E-3</v>
      </c>
      <c r="S19" s="107">
        <f t="shared" si="5"/>
        <v>4.7082752646050701E-3</v>
      </c>
      <c r="T19" s="107">
        <f t="shared" si="5"/>
        <v>4.6715874054003553E-3</v>
      </c>
      <c r="U19" s="107">
        <f t="shared" si="5"/>
        <v>0</v>
      </c>
      <c r="V19" s="107">
        <f t="shared" ref="V19:AW19" si="6">IFERROR(V12*V17/V14,0)</f>
        <v>0</v>
      </c>
      <c r="W19" s="107">
        <f t="shared" si="6"/>
        <v>0</v>
      </c>
      <c r="X19" s="107">
        <f t="shared" si="6"/>
        <v>0</v>
      </c>
      <c r="Y19" s="107">
        <f t="shared" si="6"/>
        <v>0</v>
      </c>
      <c r="Z19" s="107">
        <f t="shared" si="6"/>
        <v>0</v>
      </c>
      <c r="AA19" s="107">
        <f t="shared" si="6"/>
        <v>0</v>
      </c>
      <c r="AB19" s="107">
        <f t="shared" si="6"/>
        <v>0</v>
      </c>
      <c r="AC19" s="107">
        <f t="shared" si="6"/>
        <v>0</v>
      </c>
      <c r="AD19" s="107">
        <f t="shared" si="6"/>
        <v>0</v>
      </c>
      <c r="AE19" s="107">
        <f t="shared" si="6"/>
        <v>0</v>
      </c>
      <c r="AF19" s="107">
        <f t="shared" si="6"/>
        <v>0</v>
      </c>
      <c r="AG19" s="107">
        <f t="shared" si="6"/>
        <v>0</v>
      </c>
      <c r="AH19" s="107">
        <f t="shared" si="6"/>
        <v>0</v>
      </c>
      <c r="AI19" s="107">
        <f t="shared" si="6"/>
        <v>0</v>
      </c>
      <c r="AJ19" s="107">
        <f t="shared" si="6"/>
        <v>0</v>
      </c>
      <c r="AK19" s="107">
        <f t="shared" si="6"/>
        <v>0</v>
      </c>
      <c r="AL19" s="107">
        <f t="shared" si="6"/>
        <v>0</v>
      </c>
      <c r="AM19" s="107">
        <f t="shared" si="6"/>
        <v>0</v>
      </c>
      <c r="AN19" s="107">
        <f t="shared" si="6"/>
        <v>0</v>
      </c>
      <c r="AO19" s="107">
        <f t="shared" si="6"/>
        <v>0</v>
      </c>
      <c r="AP19" s="107">
        <f t="shared" si="6"/>
        <v>0</v>
      </c>
      <c r="AQ19" s="107">
        <f t="shared" si="6"/>
        <v>0</v>
      </c>
      <c r="AR19" s="107">
        <f t="shared" si="6"/>
        <v>0</v>
      </c>
      <c r="AS19" s="107">
        <f t="shared" si="6"/>
        <v>0</v>
      </c>
      <c r="AT19" s="107">
        <f t="shared" si="6"/>
        <v>0</v>
      </c>
      <c r="AU19" s="107">
        <f t="shared" si="6"/>
        <v>0</v>
      </c>
      <c r="AV19" s="107">
        <f t="shared" si="6"/>
        <v>0</v>
      </c>
      <c r="AW19" s="107">
        <f t="shared" si="6"/>
        <v>0</v>
      </c>
      <c r="AX19" s="31"/>
    </row>
    <row r="20" spans="1:50" s="26" customFormat="1" x14ac:dyDescent="0.3">
      <c r="A20" s="31"/>
      <c r="B20" s="248" t="s">
        <v>184</v>
      </c>
      <c r="C20" s="249"/>
      <c r="D20" s="249"/>
      <c r="E20" s="249"/>
      <c r="F20" s="249"/>
      <c r="G20" s="249"/>
      <c r="H20" s="249"/>
      <c r="I20" s="249"/>
      <c r="J20" s="249"/>
      <c r="K20" s="249"/>
      <c r="L20" s="249"/>
      <c r="M20" s="249"/>
      <c r="N20" s="249"/>
      <c r="O20" s="249"/>
      <c r="P20" s="249"/>
      <c r="Q20" s="249"/>
      <c r="R20" s="249"/>
      <c r="S20" s="249"/>
      <c r="T20" s="249"/>
      <c r="U20" s="250"/>
      <c r="V20" s="249"/>
      <c r="W20" s="249"/>
      <c r="X20" s="249"/>
      <c r="Y20" s="249"/>
      <c r="Z20" s="249"/>
      <c r="AA20" s="249"/>
      <c r="AB20" s="249"/>
      <c r="AC20" s="249"/>
      <c r="AD20" s="249"/>
      <c r="AE20" s="249"/>
      <c r="AF20" s="249"/>
      <c r="AG20" s="249"/>
      <c r="AH20" s="249"/>
      <c r="AI20" s="249"/>
      <c r="AJ20" s="249"/>
      <c r="AK20" s="249"/>
      <c r="AL20" s="249"/>
      <c r="AM20" s="249"/>
      <c r="AN20" s="249"/>
      <c r="AO20" s="250"/>
      <c r="AP20" s="249"/>
      <c r="AQ20" s="249"/>
      <c r="AR20" s="249"/>
      <c r="AS20" s="249"/>
      <c r="AT20" s="249"/>
      <c r="AU20" s="249"/>
      <c r="AV20" s="249"/>
      <c r="AW20" s="250"/>
      <c r="AX20" s="31"/>
    </row>
    <row r="21" spans="1:50" s="26" customFormat="1" x14ac:dyDescent="0.3">
      <c r="A21" s="31"/>
      <c r="B21" s="56" t="s">
        <v>245</v>
      </c>
      <c r="C21" s="56"/>
      <c r="D21" s="56" t="s">
        <v>157</v>
      </c>
      <c r="E21" s="56"/>
      <c r="F21" s="109">
        <f>F18+F19</f>
        <v>9.6510191476219895E-3</v>
      </c>
      <c r="G21" s="109">
        <f>G18+G19</f>
        <v>9.6510191476219895E-3</v>
      </c>
      <c r="H21" s="109">
        <f>H18+H19</f>
        <v>9.6510191476219895E-3</v>
      </c>
      <c r="I21" s="109">
        <f>I18+I19</f>
        <v>9.6510191476219895E-3</v>
      </c>
      <c r="J21" s="183"/>
      <c r="K21" s="109">
        <f t="shared" ref="K21:AW21" si="7">K18+K19</f>
        <v>9.6510191476219895E-3</v>
      </c>
      <c r="L21" s="109">
        <f t="shared" si="7"/>
        <v>9.58423584887577E-3</v>
      </c>
      <c r="M21" s="109">
        <f t="shared" si="7"/>
        <v>9.58423584887577E-3</v>
      </c>
      <c r="N21" s="109">
        <f>N18+N19</f>
        <v>9.5094999904904998E-3</v>
      </c>
      <c r="O21" s="109">
        <f t="shared" si="7"/>
        <v>9.5094999904904998E-3</v>
      </c>
      <c r="P21" s="109">
        <f t="shared" si="7"/>
        <v>9.4682623844871971E-3</v>
      </c>
      <c r="Q21" s="109">
        <f t="shared" si="7"/>
        <v>9.4682623844871971E-3</v>
      </c>
      <c r="R21" s="109">
        <f t="shared" si="7"/>
        <v>9.4165505292101402E-3</v>
      </c>
      <c r="S21" s="109">
        <f t="shared" si="7"/>
        <v>9.4165505292101402E-3</v>
      </c>
      <c r="T21" s="109">
        <f t="shared" si="7"/>
        <v>9.3431748108007105E-3</v>
      </c>
      <c r="U21" s="109">
        <f t="shared" si="7"/>
        <v>0</v>
      </c>
      <c r="V21" s="109">
        <f t="shared" si="7"/>
        <v>0</v>
      </c>
      <c r="W21" s="109">
        <f t="shared" si="7"/>
        <v>0</v>
      </c>
      <c r="X21" s="109">
        <f t="shared" si="7"/>
        <v>0</v>
      </c>
      <c r="Y21" s="109">
        <f t="shared" si="7"/>
        <v>0</v>
      </c>
      <c r="Z21" s="109">
        <f t="shared" si="7"/>
        <v>0</v>
      </c>
      <c r="AA21" s="109">
        <f t="shared" si="7"/>
        <v>0</v>
      </c>
      <c r="AB21" s="109">
        <f t="shared" si="7"/>
        <v>0</v>
      </c>
      <c r="AC21" s="109">
        <f t="shared" si="7"/>
        <v>0</v>
      </c>
      <c r="AD21" s="109">
        <f t="shared" si="7"/>
        <v>0</v>
      </c>
      <c r="AE21" s="109">
        <f t="shared" si="7"/>
        <v>0</v>
      </c>
      <c r="AF21" s="109">
        <f t="shared" si="7"/>
        <v>0</v>
      </c>
      <c r="AG21" s="109">
        <f t="shared" si="7"/>
        <v>0</v>
      </c>
      <c r="AH21" s="109">
        <f t="shared" si="7"/>
        <v>0</v>
      </c>
      <c r="AI21" s="109">
        <f t="shared" si="7"/>
        <v>0</v>
      </c>
      <c r="AJ21" s="109">
        <f t="shared" si="7"/>
        <v>0</v>
      </c>
      <c r="AK21" s="109">
        <f t="shared" si="7"/>
        <v>0</v>
      </c>
      <c r="AL21" s="109">
        <f t="shared" si="7"/>
        <v>0</v>
      </c>
      <c r="AM21" s="109">
        <f t="shared" si="7"/>
        <v>0</v>
      </c>
      <c r="AN21" s="109">
        <f t="shared" si="7"/>
        <v>0</v>
      </c>
      <c r="AO21" s="109">
        <f t="shared" si="7"/>
        <v>0</v>
      </c>
      <c r="AP21" s="109">
        <f t="shared" si="7"/>
        <v>0</v>
      </c>
      <c r="AQ21" s="109">
        <f t="shared" si="7"/>
        <v>0</v>
      </c>
      <c r="AR21" s="109">
        <f t="shared" si="7"/>
        <v>0</v>
      </c>
      <c r="AS21" s="109">
        <f t="shared" si="7"/>
        <v>0</v>
      </c>
      <c r="AT21" s="109">
        <f t="shared" si="7"/>
        <v>0</v>
      </c>
      <c r="AU21" s="109">
        <f t="shared" si="7"/>
        <v>0</v>
      </c>
      <c r="AV21" s="109">
        <f t="shared" si="7"/>
        <v>0</v>
      </c>
      <c r="AW21" s="109">
        <f t="shared" si="7"/>
        <v>0</v>
      </c>
      <c r="AX21" s="31"/>
    </row>
    <row r="22" spans="1:50" x14ac:dyDescent="0.3">
      <c r="B22" s="62"/>
      <c r="C22" s="62"/>
      <c r="D22" s="62"/>
      <c r="E22" s="62"/>
      <c r="F22" s="62"/>
      <c r="G22" s="62"/>
      <c r="H22" s="62"/>
      <c r="I22" s="62"/>
      <c r="J22" s="62"/>
      <c r="K22" s="62"/>
      <c r="L22" s="62"/>
      <c r="M22" s="62"/>
      <c r="N22" s="62"/>
      <c r="O22" s="62"/>
      <c r="P22" s="62"/>
      <c r="Q22" s="62"/>
      <c r="R22" s="62"/>
      <c r="S22" s="62"/>
      <c r="T22" s="62"/>
      <c r="U22" s="62"/>
    </row>
    <row r="23" spans="1:50" x14ac:dyDescent="0.3">
      <c r="B23" s="62"/>
      <c r="C23" s="62"/>
      <c r="D23" s="62"/>
      <c r="E23" s="62"/>
      <c r="F23" s="62"/>
      <c r="G23" s="62"/>
      <c r="H23" s="62"/>
      <c r="I23" s="62"/>
      <c r="J23" s="62"/>
      <c r="K23" s="62"/>
      <c r="L23" s="62"/>
      <c r="M23" s="62"/>
      <c r="N23" s="62"/>
      <c r="O23" s="62"/>
      <c r="P23" s="62"/>
      <c r="Q23" s="62"/>
      <c r="R23" s="62"/>
      <c r="S23" s="62"/>
      <c r="T23" s="62"/>
      <c r="U23" s="62"/>
    </row>
    <row r="24" spans="1:50" x14ac:dyDescent="0.3">
      <c r="B24" s="62"/>
      <c r="C24" s="62"/>
      <c r="D24" s="62"/>
      <c r="E24" s="62"/>
      <c r="F24" s="62"/>
      <c r="G24" s="62"/>
      <c r="H24" s="62"/>
      <c r="I24" s="62"/>
      <c r="J24" s="62"/>
      <c r="K24" s="62"/>
      <c r="L24" s="62"/>
      <c r="M24" s="62"/>
      <c r="N24" s="62"/>
      <c r="O24" s="62"/>
      <c r="P24" s="62"/>
      <c r="Q24" s="62"/>
      <c r="R24" s="62"/>
      <c r="S24" s="62"/>
      <c r="T24" s="62"/>
      <c r="U24" s="62"/>
    </row>
    <row r="25" spans="1:50" x14ac:dyDescent="0.3">
      <c r="B25" s="62"/>
      <c r="C25" s="62"/>
      <c r="D25" s="62"/>
      <c r="E25" s="62"/>
      <c r="F25" s="62"/>
      <c r="G25" s="62"/>
      <c r="H25" s="62"/>
      <c r="I25" s="62"/>
      <c r="J25" s="62"/>
      <c r="K25" s="62"/>
      <c r="L25" s="62"/>
      <c r="M25" s="62"/>
      <c r="N25" s="62"/>
      <c r="O25" s="62"/>
      <c r="P25" s="62"/>
      <c r="Q25" s="62"/>
      <c r="R25" s="62"/>
      <c r="S25" s="62"/>
      <c r="T25" s="62"/>
      <c r="U25" s="62"/>
    </row>
    <row r="26" spans="1:50" ht="65.25" customHeight="1" x14ac:dyDescent="0.3">
      <c r="B26" s="62"/>
      <c r="C26" s="62"/>
      <c r="D26" s="62"/>
      <c r="E26" s="62"/>
      <c r="F26" s="62"/>
      <c r="G26" s="62"/>
      <c r="H26" s="62"/>
      <c r="I26" s="62"/>
      <c r="J26" s="62"/>
      <c r="K26" s="62"/>
      <c r="L26" s="62"/>
      <c r="M26" s="62"/>
      <c r="N26" s="62"/>
      <c r="O26" s="62"/>
      <c r="P26" s="62"/>
      <c r="Q26" s="62"/>
      <c r="R26" s="62"/>
      <c r="S26" s="62"/>
      <c r="T26" s="62"/>
      <c r="U26" s="62"/>
    </row>
    <row r="27" spans="1:50" ht="31.5" customHeight="1" x14ac:dyDescent="0.3">
      <c r="B27" s="62"/>
      <c r="C27" s="62"/>
      <c r="D27" s="62"/>
      <c r="E27" s="62"/>
      <c r="F27" s="62"/>
      <c r="G27" s="62"/>
      <c r="H27" s="62"/>
      <c r="I27" s="62"/>
      <c r="J27" s="62"/>
      <c r="K27" s="62"/>
      <c r="L27" s="62"/>
      <c r="M27" s="62"/>
      <c r="N27" s="62"/>
      <c r="O27" s="62"/>
      <c r="P27" s="62"/>
      <c r="Q27" s="62"/>
      <c r="R27" s="62"/>
      <c r="S27" s="62"/>
      <c r="T27" s="62"/>
      <c r="U27" s="62"/>
    </row>
    <row r="28" spans="1:50" ht="17.25" customHeight="1" x14ac:dyDescent="0.3">
      <c r="B28" s="62"/>
      <c r="C28" s="62"/>
      <c r="D28" s="62"/>
      <c r="E28" s="62"/>
      <c r="F28" s="62"/>
      <c r="G28" s="62"/>
      <c r="H28" s="62"/>
      <c r="I28" s="62"/>
      <c r="J28" s="62"/>
      <c r="K28" s="62"/>
      <c r="L28" s="62"/>
      <c r="M28" s="62"/>
      <c r="N28" s="62"/>
      <c r="O28" s="62"/>
      <c r="P28" s="62"/>
      <c r="Q28" s="62"/>
      <c r="R28" s="62"/>
      <c r="S28" s="62"/>
      <c r="T28" s="62"/>
      <c r="U28" s="62"/>
    </row>
    <row r="29" spans="1:50" ht="54" customHeight="1" x14ac:dyDescent="0.3">
      <c r="B29" s="62"/>
      <c r="C29" s="62"/>
      <c r="D29" s="62"/>
      <c r="E29" s="62"/>
      <c r="F29" s="62"/>
      <c r="G29" s="62"/>
      <c r="H29" s="62"/>
      <c r="I29" s="62"/>
      <c r="J29" s="62"/>
      <c r="K29" s="62"/>
      <c r="L29" s="62"/>
      <c r="M29" s="62"/>
      <c r="N29" s="62"/>
      <c r="O29" s="62"/>
      <c r="P29" s="62"/>
      <c r="Q29" s="62"/>
      <c r="R29" s="62"/>
      <c r="S29" s="62"/>
      <c r="T29" s="62"/>
      <c r="U29" s="62"/>
    </row>
    <row r="30" spans="1:50" x14ac:dyDescent="0.3">
      <c r="B30" s="62"/>
      <c r="C30" s="62"/>
      <c r="D30" s="62"/>
      <c r="E30" s="62"/>
      <c r="F30" s="62"/>
      <c r="G30" s="62"/>
      <c r="H30" s="62"/>
      <c r="I30" s="62"/>
      <c r="J30" s="62"/>
      <c r="K30" s="62"/>
      <c r="L30" s="62"/>
      <c r="M30" s="62"/>
      <c r="N30" s="62"/>
      <c r="O30" s="62"/>
      <c r="P30" s="62"/>
      <c r="Q30" s="62"/>
      <c r="R30" s="62"/>
      <c r="S30" s="62"/>
      <c r="T30" s="62"/>
      <c r="U30" s="62"/>
    </row>
    <row r="31" spans="1:50" x14ac:dyDescent="0.3">
      <c r="B31" s="62"/>
      <c r="C31" s="62"/>
      <c r="D31" s="62"/>
      <c r="E31" s="62"/>
      <c r="F31" s="62"/>
      <c r="G31" s="62"/>
      <c r="H31" s="62"/>
      <c r="I31" s="62"/>
      <c r="J31" s="62"/>
      <c r="K31" s="62"/>
      <c r="L31" s="62"/>
      <c r="M31" s="62"/>
      <c r="N31" s="62"/>
      <c r="O31" s="62"/>
      <c r="P31" s="62"/>
      <c r="Q31" s="62"/>
      <c r="R31" s="62"/>
      <c r="S31" s="62"/>
      <c r="T31" s="62"/>
      <c r="U31" s="62"/>
    </row>
  </sheetData>
  <mergeCells count="17">
    <mergeCell ref="V20:AO20"/>
    <mergeCell ref="AP20:AW20"/>
    <mergeCell ref="B11:AW11"/>
    <mergeCell ref="B20:U20"/>
    <mergeCell ref="F6:I6"/>
    <mergeCell ref="F7:I7"/>
    <mergeCell ref="B3:E3"/>
    <mergeCell ref="C16:C19"/>
    <mergeCell ref="B6:B10"/>
    <mergeCell ref="C6:C10"/>
    <mergeCell ref="D6:D10"/>
    <mergeCell ref="E6:E7"/>
    <mergeCell ref="B15:U15"/>
    <mergeCell ref="K6:AW6"/>
    <mergeCell ref="K7:AW7"/>
    <mergeCell ref="V15:AO15"/>
    <mergeCell ref="AP15:AW15"/>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5c9a2-c4d2-48cc-8213-0a52642d0438" xsi:nil="true"/>
    <_ip_UnifiedCompliancePolicyUIAction xmlns="http://schemas.microsoft.com/sharepoint/v3" xsi:nil="true"/>
    <_Flow_SignoffStatus xmlns="12ddb115-0830-43b7-ae9f-1099068dc9cf" xsi:nil="true"/>
    <_ip_UnifiedCompliancePolicyProperties xmlns="http://schemas.microsoft.com/sharepoint/v3" xsi:nil="true"/>
    <lcf76f155ced4ddcb4097134ff3c332f xmlns="12ddb115-0830-43b7-ae9f-1099068dc9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1F4D67857B5B4F89349DE7E797F818" ma:contentTypeVersion="19" ma:contentTypeDescription="Create a new document." ma:contentTypeScope="" ma:versionID="53b4426590dc72912587481e6e642d83">
  <xsd:schema xmlns:xsd="http://www.w3.org/2001/XMLSchema" xmlns:xs="http://www.w3.org/2001/XMLSchema" xmlns:p="http://schemas.microsoft.com/office/2006/metadata/properties" xmlns:ns1="http://schemas.microsoft.com/sharepoint/v3" xmlns:ns2="12ddb115-0830-43b7-ae9f-1099068dc9cf" xmlns:ns3="e9d5c9a2-c4d2-48cc-8213-0a52642d0438" targetNamespace="http://schemas.microsoft.com/office/2006/metadata/properties" ma:root="true" ma:fieldsID="214ec9cbe14564e3e8c3fb3456eea1b8" ns1:_="" ns2:_="" ns3:_="">
    <xsd:import namespace="http://schemas.microsoft.com/sharepoint/v3"/>
    <xsd:import namespace="12ddb115-0830-43b7-ae9f-1099068dc9cf"/>
    <xsd:import namespace="e9d5c9a2-c4d2-48cc-8213-0a52642d04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_Flow_SignoffStatu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ddb115-0830-43b7-ae9f-1099068dc9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6" nillable="true" ma:displayName="Sign-off status" ma:internalName="Sign_x002d_off_x0020_status">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d5c9a2-c4d2-48cc-8213-0a52642d04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9c1ee4e-ca4a-4cb5-93c9-61c27d042ce7}" ma:internalName="TaxCatchAll" ma:showField="CatchAllData" ma:web="e9d5c9a2-c4d2-48cc-8213-0a52642d0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element uid="eaadb568-f939-47e9-ab90-f00bdd47735e" value=""/>
</sisl>
</file>

<file path=customXml/itemProps1.xml><?xml version="1.0" encoding="utf-8"?>
<ds:datastoreItem xmlns:ds="http://schemas.openxmlformats.org/officeDocument/2006/customXml" ds:itemID="{CEC46FF4-CFE1-41C8-89FA-ABE4549DE454}">
  <ds:schemaRefs>
    <ds:schemaRef ds:uri="http://schemas.microsoft.com/sharepoint/v3/contenttype/forms"/>
  </ds:schemaRefs>
</ds:datastoreItem>
</file>

<file path=customXml/itemProps2.xml><?xml version="1.0" encoding="utf-8"?>
<ds:datastoreItem xmlns:ds="http://schemas.openxmlformats.org/officeDocument/2006/customXml" ds:itemID="{6CA4CB12-F788-4717-A2DD-0693BD43FE69}">
  <ds:schemaRefs>
    <ds:schemaRef ds:uri="http://schemas.openxmlformats.org/package/2006/metadata/core-properties"/>
    <ds:schemaRef ds:uri="http://schemas.microsoft.com/office/2006/documentManagement/types"/>
    <ds:schemaRef ds:uri="http://purl.org/dc/elements/1.1/"/>
    <ds:schemaRef ds:uri="12ddb115-0830-43b7-ae9f-1099068dc9cf"/>
    <ds:schemaRef ds:uri="http://purl.org/dc/dcmitype/"/>
    <ds:schemaRef ds:uri="http://schemas.microsoft.com/sharepoint/v3"/>
    <ds:schemaRef ds:uri="http://www.w3.org/XML/1998/namespace"/>
    <ds:schemaRef ds:uri="http://purl.org/dc/terms/"/>
    <ds:schemaRef ds:uri="http://schemas.microsoft.com/office/infopath/2007/PartnerControls"/>
    <ds:schemaRef ds:uri="e9d5c9a2-c4d2-48cc-8213-0a52642d0438"/>
    <ds:schemaRef ds:uri="http://schemas.microsoft.com/office/2006/metadata/properties"/>
  </ds:schemaRefs>
</ds:datastoreItem>
</file>

<file path=customXml/itemProps3.xml><?xml version="1.0" encoding="utf-8"?>
<ds:datastoreItem xmlns:ds="http://schemas.openxmlformats.org/officeDocument/2006/customXml" ds:itemID="{5F81CA61-B186-4EF9-9C6D-F793DB80C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ddb115-0830-43b7-ae9f-1099068dc9cf"/>
    <ds:schemaRef ds:uri="e9d5c9a2-c4d2-48cc-8213-0a52642d0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E7FEDC-3DF1-475A-A46B-9D9F287FFAC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Front sheet</vt:lpstr>
      <vt:lpstr>Notes</vt:lpstr>
      <vt:lpstr>1 Outputs=&gt;</vt:lpstr>
      <vt:lpstr>1a SMNCC Values</vt:lpstr>
      <vt:lpstr>2 Inputs and calculations=&gt;</vt:lpstr>
      <vt:lpstr>2a Non pass-through costs</vt:lpstr>
      <vt:lpstr>2b SEGB</vt:lpstr>
      <vt:lpstr>2c DCC</vt:lpstr>
      <vt:lpstr>2d SMICoP</vt:lpstr>
      <vt:lpstr>2f Scaling factor</vt:lpstr>
      <vt:lpstr>2e CPIH</vt:lpstr>
      <vt:lpstr>2g PPM cost offset</vt:lpstr>
      <vt:lpstr>3 Forecasted Values = &gt;</vt:lpstr>
      <vt:lpstr>3a Forecasted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5 - Smart metering net cost change methodology v1.14</dc:title>
  <dc:subject/>
  <dc:creator>Jack.Woodnott@ofgem.gov.uk</dc:creator>
  <cp:keywords/>
  <dc:description/>
  <cp:lastModifiedBy>Kathleen Minett</cp:lastModifiedBy>
  <cp:revision/>
  <dcterms:created xsi:type="dcterms:W3CDTF">2018-08-08T10:27:41Z</dcterms:created>
  <dcterms:modified xsi:type="dcterms:W3CDTF">2023-03-22T15:39:32Z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05a65dcc-18ea-472f-a883-874bcf36cb15</vt:lpwstr>
  </property>
  <property fmtid="{D5CDD505-2E9C-101B-9397-08002B2CF9AE}" pid="3" name="bjSaver">
    <vt:lpwstr>lVB4Q6tL/mTyfizEv3euJT36iuGxT58Y</vt:lpwstr>
  </property>
  <property fmtid="{D5CDD505-2E9C-101B-9397-08002B2CF9AE}" pid="4" name="ContentTypeId">
    <vt:lpwstr>0x010100C21F4D67857B5B4F89349DE7E797F818</vt:lpwstr>
  </property>
  <property fmtid="{D5CDD505-2E9C-101B-9397-08002B2CF9AE}" pid="5" name="BJSCc5a055b0-1bed-4579_x">
    <vt:lpwstr/>
  </property>
  <property fmtid="{D5CDD505-2E9C-101B-9397-08002B2CF9AE}" pid="6" name="BJSCid_group_classification">
    <vt:lpwstr/>
  </property>
  <property fmtid="{D5CDD505-2E9C-101B-9397-08002B2CF9AE}" pid="7" name="BJSCdd9eba61-d6b9-469b_x">
    <vt:lpwstr/>
  </property>
  <property fmtid="{D5CDD505-2E9C-101B-9397-08002B2CF9AE}" pid="8" name="BJSCSummaryMarking">
    <vt:lpwstr>This item has no classification</vt:lpwstr>
  </property>
  <property fmtid="{D5CDD505-2E9C-101B-9397-08002B2CF9AE}" pid="9"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0" name="BJSC514bdf30-2227-4016_x">
    <vt:lpwstr/>
  </property>
  <property fmtid="{D5CDD505-2E9C-101B-9397-08002B2CF9AE}" pid="11" name="Folksonomy_PR">
    <vt:lpwstr>172;#Retail Price Cap|54ed571a-163e-420c-a83f-5af2b8df1680</vt:lpwstr>
  </property>
  <property fmtid="{D5CDD505-2E9C-101B-9397-08002B2CF9AE}" pid="12" name="Organisation1">
    <vt:lpwstr>1;#Ofgem|8b4368c1-752b-461b-aa1f-79fb1ab95926</vt:lpwstr>
  </property>
  <property fmtid="{D5CDD505-2E9C-101B-9397-08002B2CF9AE}" pid="13" name="Order">
    <vt:r8>155500</vt:r8>
  </property>
  <property fmtid="{D5CDD505-2E9C-101B-9397-08002B2CF9AE}" pid="14" name="ka4dfca548794c049a78c2e39dd8b568">
    <vt:lpwstr>Retail Price Cap|54ed571a-163e-420c-a83f-5af2b8df1680</vt:lpwstr>
  </property>
  <property fmtid="{D5CDD505-2E9C-101B-9397-08002B2CF9AE}" pid="15" name="Year">
    <vt:lpwstr>2018</vt:lpwstr>
  </property>
  <property fmtid="{D5CDD505-2E9C-101B-9397-08002B2CF9AE}" pid="16" name="Document Type">
    <vt:lpwstr>Decision - For publication</vt:lpwstr>
  </property>
  <property fmtid="{D5CDD505-2E9C-101B-9397-08002B2CF9AE}" pid="17" name="Workstream">
    <vt:lpwstr>Stakeholder Engagement</vt:lpwstr>
  </property>
  <property fmtid="{D5CDD505-2E9C-101B-9397-08002B2CF9AE}" pid="18" name="bjDocumentSecurityLabel">
    <vt:lpwstr>OFFICIAL Internal Only</vt:lpwstr>
  </property>
  <property fmtid="{D5CDD505-2E9C-101B-9397-08002B2CF9AE}" pid="19" name="bjCentreHeaderLabel">
    <vt:lpwstr>&amp;"Verdana,Regular"&amp;10&amp;K000000Internal Only</vt:lpwstr>
  </property>
  <property fmtid="{D5CDD505-2E9C-101B-9397-08002B2CF9AE}" pid="20" name="bjCentreFooterLabel">
    <vt:lpwstr>&amp;"Verdana,Regular"&amp;10&amp;K000000Internal Only</vt:lpwstr>
  </property>
  <property fmtid="{D5CDD505-2E9C-101B-9397-08002B2CF9AE}" pid="21"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22" name="bjDocumentLabelXML-0">
    <vt:lpwstr>ames.com/2008/01/sie/internal/label"&gt;&lt;element uid="id_classification_nonbusiness" value="" /&gt;&lt;element uid="eaadb568-f939-47e9-ab90-f00bdd47735e" value="" /&gt;&lt;/sisl&gt;</vt:lpwstr>
  </property>
  <property fmtid="{D5CDD505-2E9C-101B-9397-08002B2CF9AE}" pid="23" name="bjClsUserRVM">
    <vt:lpwstr>[]</vt:lpwstr>
  </property>
  <property fmtid="{D5CDD505-2E9C-101B-9397-08002B2CF9AE}" pid="24" name="bjCentreHeaderLabel-first">
    <vt:lpwstr>&amp;"Verdana,Regular"&amp;10&amp;K000000Internal Only</vt:lpwstr>
  </property>
  <property fmtid="{D5CDD505-2E9C-101B-9397-08002B2CF9AE}" pid="25" name="bjCentreFooterLabel-first">
    <vt:lpwstr>&amp;"Verdana,Regular"&amp;10&amp;K000000Internal Only</vt:lpwstr>
  </property>
  <property fmtid="{D5CDD505-2E9C-101B-9397-08002B2CF9AE}" pid="26" name="bjCentreHeaderLabel-even">
    <vt:lpwstr>&amp;"Verdana,Regular"&amp;10&amp;K000000Internal Only</vt:lpwstr>
  </property>
  <property fmtid="{D5CDD505-2E9C-101B-9397-08002B2CF9AE}" pid="27" name="bjCentreFooterLabel-even">
    <vt:lpwstr>&amp;"Verdana,Regular"&amp;10&amp;K000000Internal Only</vt:lpwstr>
  </property>
  <property fmtid="{D5CDD505-2E9C-101B-9397-08002B2CF9AE}" pid="28" name="MSIP_Label_38144ccb-b10a-4c0f-b070-7a3b00ac7463_Enabled">
    <vt:lpwstr>true</vt:lpwstr>
  </property>
  <property fmtid="{D5CDD505-2E9C-101B-9397-08002B2CF9AE}" pid="29" name="MSIP_Label_38144ccb-b10a-4c0f-b070-7a3b00ac7463_SetDate">
    <vt:lpwstr>2022-06-23T10:40:37Z</vt:lpwstr>
  </property>
  <property fmtid="{D5CDD505-2E9C-101B-9397-08002B2CF9AE}" pid="30" name="MSIP_Label_38144ccb-b10a-4c0f-b070-7a3b00ac7463_Method">
    <vt:lpwstr>Standard</vt:lpwstr>
  </property>
  <property fmtid="{D5CDD505-2E9C-101B-9397-08002B2CF9AE}" pid="31" name="MSIP_Label_38144ccb-b10a-4c0f-b070-7a3b00ac7463_Name">
    <vt:lpwstr>InternalOnly</vt:lpwstr>
  </property>
  <property fmtid="{D5CDD505-2E9C-101B-9397-08002B2CF9AE}" pid="32" name="MSIP_Label_38144ccb-b10a-4c0f-b070-7a3b00ac7463_SiteId">
    <vt:lpwstr>185562ad-39bc-4840-8e40-be6216340c52</vt:lpwstr>
  </property>
  <property fmtid="{D5CDD505-2E9C-101B-9397-08002B2CF9AE}" pid="33" name="MSIP_Label_38144ccb-b10a-4c0f-b070-7a3b00ac7463_ActionId">
    <vt:lpwstr>f9e4bcc3-c5c4-4a41-a0cb-512ec40db40e</vt:lpwstr>
  </property>
  <property fmtid="{D5CDD505-2E9C-101B-9397-08002B2CF9AE}" pid="34" name="MSIP_Label_38144ccb-b10a-4c0f-b070-7a3b00ac7463_ContentBits">
    <vt:lpwstr>2</vt:lpwstr>
  </property>
  <property fmtid="{D5CDD505-2E9C-101B-9397-08002B2CF9AE}" pid="35" name="MediaServiceImageTags">
    <vt:lpwstr/>
  </property>
</Properties>
</file>