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8B7F60AA-1CE4-4092-9702-EDC3F3018CB9}" xr6:coauthVersionLast="47" xr6:coauthVersionMax="47" xr10:uidLastSave="{00000000-0000-0000-0000-000000000000}"/>
  <bookViews>
    <workbookView xWindow="-108" yWindow="-108" windowWidth="23256" windowHeight="12576" tabRatio="804" xr2:uid="{EA82101C-716A-4D41-800B-83595E69FD64}"/>
  </bookViews>
  <sheets>
    <sheet name="Cover sheet" sheetId="157" r:id="rId1"/>
    <sheet name="Model Map" sheetId="158" r:id="rId2"/>
    <sheet name="Output&gt;" sheetId="123" r:id="rId3"/>
    <sheet name="Benefits and NPV Tables" sheetId="136" r:id="rId4"/>
    <sheet name="Model&gt;" sheetId="159" r:id="rId5"/>
    <sheet name="Consolidated Model" sheetId="132" r:id="rId6"/>
    <sheet name="Main inputs&gt;" sheetId="160" r:id="rId7"/>
    <sheet name="Central Inputs" sheetId="116" r:id="rId8"/>
    <sheet name="Policy Requirements" sheetId="130" r:id="rId9"/>
    <sheet name="Analysis&gt;" sheetId="104" r:id="rId10"/>
    <sheet name="SVT% Transition" sheetId="155" r:id="rId11"/>
    <sheet name="Credit Rating Analysis" sheetId="134" r:id="rId12"/>
    <sheet name="WACC Forecast" sheetId="126" r:id="rId13"/>
    <sheet name="Total CBs" sheetId="68" r:id="rId14"/>
    <sheet name="Historical Hedging" sheetId="69" r:id="rId15"/>
    <sheet name="Administration Cost" sheetId="67" r:id="rId16"/>
    <sheet name="Analysis Inputs&gt;" sheetId="28" r:id="rId17"/>
    <sheet name="Gross Credit Balances" sheetId="27" r:id="rId18"/>
    <sheet name="Customer Debit Balances" sheetId="137" r:id="rId19"/>
    <sheet name="CBs Unbilled Proportion" sheetId="115" r:id="rId20"/>
    <sheet name="Failures" sheetId="52" r:id="rId21"/>
    <sheet name="Default Rates" sheetId="49" r:id="rId22"/>
    <sheet name="Distributional Weighting" sheetId="141" r:id="rId23"/>
    <sheet name="Price cap input&gt;" sheetId="146" r:id="rId24"/>
    <sheet name="Price cap Scalar" sheetId="152" r:id="rId25"/>
    <sheet name="RO obligation rate" sheetId="151" r:id="rId26"/>
    <sheet name="Average tariffs" sheetId="150" r:id="rId27"/>
    <sheet name="Price Cap Forecasts" sheetId="147" r:id="rId28"/>
    <sheet name="Data inputs&gt;" sheetId="47" r:id="rId29"/>
    <sheet name="CPIH" sheetId="80" r:id="rId30"/>
    <sheet name="Customer Groups" sheetId="107" r:id="rId31"/>
    <sheet name="Ofgem SOLR" sheetId="37" r:id="rId32"/>
    <sheet name="Distributional Weights" sheetId="94"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xlnm._FilterDatabase" localSheetId="5" hidden="1">'Consolidated Model'!#REF!</definedName>
    <definedName name="_xlnm._FilterDatabase" localSheetId="20" hidden="1">Failures!$B$5:$H$31</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Input_SARHedge">'Central Inputs'!$C$18</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s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2" i="147" l="1"/>
  <c r="E156" i="150"/>
  <c r="L78" i="132" l="1"/>
  <c r="M78" i="132"/>
  <c r="N78" i="132"/>
  <c r="O78" i="132"/>
  <c r="P78" i="132"/>
  <c r="Q78" i="132"/>
  <c r="L79" i="132"/>
  <c r="M79" i="132"/>
  <c r="N79" i="132"/>
  <c r="O79" i="132"/>
  <c r="P79" i="132"/>
  <c r="Q79" i="132"/>
  <c r="L80" i="132"/>
  <c r="M80" i="132"/>
  <c r="N80" i="132"/>
  <c r="O80" i="132"/>
  <c r="P80" i="132"/>
  <c r="Q80" i="132"/>
  <c r="M77" i="132"/>
  <c r="N77" i="132"/>
  <c r="O77" i="132"/>
  <c r="P77" i="132"/>
  <c r="Q77" i="132"/>
  <c r="L77" i="132"/>
  <c r="E146" i="150" l="1"/>
  <c r="C19" i="155"/>
  <c r="D59" i="116"/>
  <c r="E59" i="116"/>
  <c r="F59" i="116"/>
  <c r="G59" i="116"/>
  <c r="H59" i="116"/>
  <c r="C59" i="116"/>
  <c r="J64" i="126" l="1"/>
  <c r="K139" i="150"/>
  <c r="K140" i="150"/>
  <c r="K138" i="150"/>
  <c r="G37" i="147" l="1"/>
  <c r="E7" i="152" l="1"/>
  <c r="R22" i="147"/>
  <c r="E22" i="151"/>
  <c r="C11" i="155" l="1"/>
  <c r="C64" i="116" s="1"/>
  <c r="C12" i="155"/>
  <c r="C65" i="116" s="1"/>
  <c r="C13" i="155"/>
  <c r="C66" i="116" s="1"/>
  <c r="C10" i="155"/>
  <c r="C63" i="116" s="1"/>
  <c r="F68" i="116"/>
  <c r="I531" i="132"/>
  <c r="D68" i="116" l="1"/>
  <c r="C68" i="116"/>
  <c r="E68" i="116"/>
  <c r="H68" i="116"/>
  <c r="G68" i="116"/>
  <c r="I59" i="126"/>
  <c r="A38" i="130" l="1"/>
  <c r="L19" i="132" l="1"/>
  <c r="L91" i="132" s="1"/>
  <c r="C18" i="134" l="1"/>
  <c r="D67" i="116" l="1"/>
  <c r="I10" i="155"/>
  <c r="J10" i="155" s="1"/>
  <c r="I11" i="155"/>
  <c r="I12" i="155"/>
  <c r="I13" i="155"/>
  <c r="D8" i="155"/>
  <c r="E8" i="155" s="1"/>
  <c r="F8" i="155" s="1"/>
  <c r="G8" i="155" s="1"/>
  <c r="H8" i="155" s="1"/>
  <c r="D10" i="155" l="1"/>
  <c r="J12" i="155"/>
  <c r="D12" i="155" s="1"/>
  <c r="D65" i="116" s="1"/>
  <c r="J11" i="155"/>
  <c r="D11" i="155" s="1"/>
  <c r="D64" i="116" s="1"/>
  <c r="J13" i="155"/>
  <c r="D13" i="155" s="1"/>
  <c r="E12" i="155" l="1"/>
  <c r="E65" i="116" s="1"/>
  <c r="E13" i="155"/>
  <c r="E66" i="116" s="1"/>
  <c r="D66" i="116"/>
  <c r="E10" i="155"/>
  <c r="D63" i="116"/>
  <c r="E11" i="155"/>
  <c r="F13" i="155" l="1"/>
  <c r="G13" i="155" s="1"/>
  <c r="F12" i="155"/>
  <c r="G12" i="155" s="1"/>
  <c r="F10" i="155"/>
  <c r="E63" i="116"/>
  <c r="F11" i="155"/>
  <c r="E64" i="116"/>
  <c r="F66" i="116" l="1"/>
  <c r="F65" i="116"/>
  <c r="G10" i="155"/>
  <c r="F63" i="116"/>
  <c r="H13" i="155"/>
  <c r="G66" i="116"/>
  <c r="G11" i="155"/>
  <c r="F64" i="116"/>
  <c r="H12" i="155"/>
  <c r="G65" i="116"/>
  <c r="H10" i="155" l="1"/>
  <c r="G63" i="116"/>
  <c r="H65" i="116"/>
  <c r="H11" i="155"/>
  <c r="G64" i="116"/>
  <c r="H66" i="116"/>
  <c r="H63" i="116" l="1"/>
  <c r="H64" i="116"/>
  <c r="L634" i="132" l="1"/>
  <c r="I236" i="132" l="1"/>
  <c r="C27" i="116"/>
  <c r="D37" i="126" l="1"/>
  <c r="C19" i="134" l="1"/>
  <c r="L562" i="132"/>
  <c r="M562" i="132"/>
  <c r="N562" i="132"/>
  <c r="O562" i="132"/>
  <c r="P562" i="132"/>
  <c r="Q562" i="132"/>
  <c r="L563" i="132"/>
  <c r="M563" i="132"/>
  <c r="N563" i="132"/>
  <c r="L564" i="132"/>
  <c r="M564" i="132"/>
  <c r="N564" i="132"/>
  <c r="O564" i="132"/>
  <c r="L565" i="132"/>
  <c r="M565" i="132"/>
  <c r="N565" i="132"/>
  <c r="O563" i="132"/>
  <c r="P563" i="132"/>
  <c r="Q563" i="132"/>
  <c r="P564" i="132"/>
  <c r="Q564" i="132"/>
  <c r="O565" i="132"/>
  <c r="P565" i="132"/>
  <c r="Q565" i="132"/>
  <c r="L103" i="132" l="1"/>
  <c r="I530" i="132"/>
  <c r="I245" i="132" l="1"/>
  <c r="C42" i="116"/>
  <c r="L604" i="132"/>
  <c r="AI23" i="147" l="1"/>
  <c r="AI22" i="147"/>
  <c r="AH23" i="147"/>
  <c r="AH24" i="147" s="1"/>
  <c r="K137" i="150"/>
  <c r="E145" i="150"/>
  <c r="F145" i="150"/>
  <c r="G145" i="150"/>
  <c r="H145" i="150"/>
  <c r="I145" i="150"/>
  <c r="J145" i="150"/>
  <c r="K145" i="150"/>
  <c r="H43" i="147"/>
  <c r="R23" i="147"/>
  <c r="S23" i="147" s="1"/>
  <c r="AJ23" i="147" s="1"/>
  <c r="H44" i="147"/>
  <c r="H24" i="147"/>
  <c r="I24" i="147"/>
  <c r="J24" i="147"/>
  <c r="K24" i="147"/>
  <c r="L24" i="147"/>
  <c r="M24" i="147"/>
  <c r="N24" i="147"/>
  <c r="O24" i="147"/>
  <c r="P24" i="147"/>
  <c r="Q24" i="147"/>
  <c r="H26" i="147"/>
  <c r="I26" i="147" s="1"/>
  <c r="H27" i="147"/>
  <c r="I27" i="147" s="1"/>
  <c r="J27" i="147" s="1"/>
  <c r="K27" i="147" s="1"/>
  <c r="L27" i="147" s="1"/>
  <c r="H28" i="147"/>
  <c r="I28" i="147" s="1"/>
  <c r="AH29" i="147"/>
  <c r="AI29" i="147"/>
  <c r="AJ29" i="147"/>
  <c r="AK29" i="147"/>
  <c r="AL29" i="147"/>
  <c r="AM29" i="147"/>
  <c r="H30" i="147"/>
  <c r="I30" i="147" s="1"/>
  <c r="H31" i="147"/>
  <c r="I31" i="147"/>
  <c r="J31" i="147"/>
  <c r="K31" i="147" s="1"/>
  <c r="L31" i="147" s="1"/>
  <c r="H32" i="147"/>
  <c r="I32" i="147" s="1"/>
  <c r="H33" i="147" l="1"/>
  <c r="S22" i="147"/>
  <c r="AJ22" i="147" s="1"/>
  <c r="AJ24" i="147" s="1"/>
  <c r="K141" i="150"/>
  <c r="D6" i="152" s="1"/>
  <c r="D56" i="116"/>
  <c r="E56" i="116" s="1"/>
  <c r="F56" i="116" s="1"/>
  <c r="G56" i="116" s="1"/>
  <c r="T23" i="147"/>
  <c r="AI24" i="147"/>
  <c r="M31" i="147"/>
  <c r="N31" i="147" s="1"/>
  <c r="O31" i="147" s="1"/>
  <c r="P31" i="147" s="1"/>
  <c r="J32" i="147"/>
  <c r="K32" i="147" s="1"/>
  <c r="L32" i="147" s="1"/>
  <c r="AH31" i="147"/>
  <c r="I33" i="147"/>
  <c r="I34" i="147" s="1"/>
  <c r="J26" i="147"/>
  <c r="J28" i="147"/>
  <c r="J30" i="147"/>
  <c r="K30" i="147" s="1"/>
  <c r="L30" i="147" s="1"/>
  <c r="M27" i="147"/>
  <c r="N27" i="147" s="1"/>
  <c r="O27" i="147" s="1"/>
  <c r="P27" i="147" s="1"/>
  <c r="AH27" i="147"/>
  <c r="R24" i="147"/>
  <c r="H34" i="147" l="1"/>
  <c r="H35" i="147" s="1"/>
  <c r="H37" i="147" s="1"/>
  <c r="AH30" i="147"/>
  <c r="S24" i="147"/>
  <c r="T22" i="147"/>
  <c r="T24" i="147" s="1"/>
  <c r="K28" i="147"/>
  <c r="L28" i="147" s="1"/>
  <c r="M28" i="147" s="1"/>
  <c r="N28" i="147" s="1"/>
  <c r="O28" i="147" s="1"/>
  <c r="P28" i="147" s="1"/>
  <c r="U23" i="147"/>
  <c r="V23" i="147" s="1"/>
  <c r="W23" i="147" s="1"/>
  <c r="X23" i="147" s="1"/>
  <c r="G156" i="150"/>
  <c r="AI31" i="147"/>
  <c r="AI27" i="147"/>
  <c r="I35" i="147"/>
  <c r="I37" i="147" s="1"/>
  <c r="M32" i="147"/>
  <c r="N32" i="147" s="1"/>
  <c r="O32" i="147" s="1"/>
  <c r="P32" i="147" s="1"/>
  <c r="Q27" i="147"/>
  <c r="R27" i="147" s="1"/>
  <c r="S27" i="147" s="1"/>
  <c r="T27" i="147" s="1"/>
  <c r="AH32" i="147"/>
  <c r="M30" i="147"/>
  <c r="N30" i="147" s="1"/>
  <c r="O30" i="147" s="1"/>
  <c r="P30" i="147" s="1"/>
  <c r="K26" i="147"/>
  <c r="J33" i="147"/>
  <c r="J34" i="147" s="1"/>
  <c r="Q31" i="147"/>
  <c r="R31" i="147" s="1"/>
  <c r="S31" i="147" s="1"/>
  <c r="T31" i="147" s="1"/>
  <c r="G146" i="150" l="1"/>
  <c r="G149" i="150" s="1"/>
  <c r="U22" i="147"/>
  <c r="AH28" i="147"/>
  <c r="AK23" i="147"/>
  <c r="AJ27" i="147"/>
  <c r="Y23" i="147"/>
  <c r="AI32" i="147"/>
  <c r="J35" i="147"/>
  <c r="J37" i="147" s="1"/>
  <c r="L26" i="147"/>
  <c r="K33" i="147"/>
  <c r="V22" i="147"/>
  <c r="U24" i="147"/>
  <c r="U27" i="147"/>
  <c r="V27" i="147" s="1"/>
  <c r="W27" i="147" s="1"/>
  <c r="X27" i="147" s="1"/>
  <c r="AI28" i="147"/>
  <c r="Q32" i="147"/>
  <c r="R32" i="147" s="1"/>
  <c r="S32" i="147" s="1"/>
  <c r="T32" i="147" s="1"/>
  <c r="U31" i="147"/>
  <c r="V31" i="147" s="1"/>
  <c r="W31" i="147" s="1"/>
  <c r="X31" i="147" s="1"/>
  <c r="Q30" i="147"/>
  <c r="R30" i="147" s="1"/>
  <c r="S30" i="147" s="1"/>
  <c r="T30" i="147" s="1"/>
  <c r="Q28" i="147"/>
  <c r="R28" i="147" s="1"/>
  <c r="S28" i="147" s="1"/>
  <c r="T28" i="147" s="1"/>
  <c r="AJ28" i="147"/>
  <c r="AJ31" i="147"/>
  <c r="AI30" i="147"/>
  <c r="AH26" i="147"/>
  <c r="AJ30" i="147" l="1"/>
  <c r="Z23" i="147"/>
  <c r="AA23" i="147" s="1"/>
  <c r="AB23" i="147" s="1"/>
  <c r="AK31" i="147"/>
  <c r="AJ32" i="147"/>
  <c r="U28" i="147"/>
  <c r="V28" i="147" s="1"/>
  <c r="W28" i="147" s="1"/>
  <c r="X28" i="147" s="1"/>
  <c r="U30" i="147"/>
  <c r="V30" i="147" s="1"/>
  <c r="W30" i="147" s="1"/>
  <c r="X30" i="147" s="1"/>
  <c r="M26" i="147"/>
  <c r="L33" i="147"/>
  <c r="Y31" i="147"/>
  <c r="Z31" i="147" s="1"/>
  <c r="AA31" i="147" s="1"/>
  <c r="AB31" i="147" s="1"/>
  <c r="K34" i="147"/>
  <c r="Y27" i="147"/>
  <c r="Z27" i="147" s="1"/>
  <c r="AA27" i="147" s="1"/>
  <c r="AB27" i="147" s="1"/>
  <c r="V24" i="147"/>
  <c r="W22" i="147"/>
  <c r="AH33" i="147"/>
  <c r="AK27" i="147"/>
  <c r="U32" i="147"/>
  <c r="V32" i="147" s="1"/>
  <c r="W32" i="147" s="1"/>
  <c r="X32" i="147" s="1"/>
  <c r="AK28" i="147" l="1"/>
  <c r="AK32" i="147"/>
  <c r="AL23" i="147"/>
  <c r="AC23" i="147"/>
  <c r="AL27" i="147"/>
  <c r="AL31" i="147"/>
  <c r="Y30" i="147"/>
  <c r="Z30" i="147" s="1"/>
  <c r="AA30" i="147" s="1"/>
  <c r="AB30" i="147" s="1"/>
  <c r="AK30" i="147"/>
  <c r="Y28" i="147"/>
  <c r="Z28" i="147" s="1"/>
  <c r="AA28" i="147" s="1"/>
  <c r="AB28" i="147" s="1"/>
  <c r="L34" i="147"/>
  <c r="K35" i="147"/>
  <c r="K37" i="147" s="1"/>
  <c r="AC31" i="147"/>
  <c r="AD31" i="147" s="1"/>
  <c r="AE31" i="147" s="1"/>
  <c r="AM31" i="147"/>
  <c r="AH34" i="147"/>
  <c r="AH35" i="147" s="1"/>
  <c r="W24" i="147"/>
  <c r="X22" i="147"/>
  <c r="M33" i="147"/>
  <c r="M34" i="147" s="1"/>
  <c r="N26" i="147"/>
  <c r="Y32" i="147"/>
  <c r="Z32" i="147" s="1"/>
  <c r="AA32" i="147" s="1"/>
  <c r="AB32" i="147" s="1"/>
  <c r="AC27" i="147"/>
  <c r="AD27" i="147" s="1"/>
  <c r="AE27" i="147" s="1"/>
  <c r="AM27" i="147" s="1"/>
  <c r="AK22" i="147"/>
  <c r="AK24" i="147" s="1"/>
  <c r="AH37" i="147" l="1"/>
  <c r="AL30" i="147"/>
  <c r="AD23" i="147"/>
  <c r="AE23" i="147" s="1"/>
  <c r="AL28" i="147"/>
  <c r="M35" i="147"/>
  <c r="M37" i="147" s="1"/>
  <c r="E8" i="152"/>
  <c r="E6" i="152" s="1"/>
  <c r="AC28" i="147"/>
  <c r="AD28" i="147" s="1"/>
  <c r="AE28" i="147" s="1"/>
  <c r="AM28" i="147"/>
  <c r="AC32" i="147"/>
  <c r="AD32" i="147" s="1"/>
  <c r="AE32" i="147" s="1"/>
  <c r="N33" i="147"/>
  <c r="N34" i="147" s="1"/>
  <c r="N35" i="147" s="1"/>
  <c r="O26" i="147"/>
  <c r="AC30" i="147"/>
  <c r="AD30" i="147" s="1"/>
  <c r="AE30" i="147" s="1"/>
  <c r="X24" i="147"/>
  <c r="Y22" i="147"/>
  <c r="L35" i="147"/>
  <c r="L37" i="147" s="1"/>
  <c r="AL32" i="147"/>
  <c r="AM32" i="147" l="1"/>
  <c r="O33" i="147"/>
  <c r="O34" i="147" s="1"/>
  <c r="P26" i="147"/>
  <c r="N37" i="147"/>
  <c r="Y24" i="147"/>
  <c r="Z22" i="147"/>
  <c r="AI26" i="147"/>
  <c r="AM30" i="147"/>
  <c r="AI33" i="147" l="1"/>
  <c r="AI34" i="147" s="1"/>
  <c r="Q26" i="147"/>
  <c r="P33" i="147"/>
  <c r="P34" i="147" s="1"/>
  <c r="P35" i="147" s="1"/>
  <c r="P37" i="147" s="1"/>
  <c r="AA22" i="147"/>
  <c r="Z24" i="147"/>
  <c r="O35" i="147"/>
  <c r="O37" i="147" s="1"/>
  <c r="AB22" i="147" l="1"/>
  <c r="AA24" i="147"/>
  <c r="AI35" i="147"/>
  <c r="AI37" i="147" s="1"/>
  <c r="F8" i="152" s="1"/>
  <c r="F7" i="152" s="1"/>
  <c r="AL22" i="147"/>
  <c r="AL24" i="147" s="1"/>
  <c r="Q33" i="147"/>
  <c r="Q34" i="147" s="1"/>
  <c r="Q35" i="147" s="1"/>
  <c r="R26" i="147"/>
  <c r="F6" i="152" l="1"/>
  <c r="Q37" i="147"/>
  <c r="S26" i="147"/>
  <c r="R33" i="147"/>
  <c r="R34" i="147" s="1"/>
  <c r="R35" i="147" s="1"/>
  <c r="AC22" i="147"/>
  <c r="AB24" i="147"/>
  <c r="R37" i="147" l="1"/>
  <c r="AD22" i="147"/>
  <c r="AC24" i="147"/>
  <c r="T26" i="147"/>
  <c r="S33" i="147"/>
  <c r="S34" i="147" s="1"/>
  <c r="AJ26" i="147"/>
  <c r="U26" i="147" l="1"/>
  <c r="T33" i="147"/>
  <c r="T34" i="147" s="1"/>
  <c r="T35" i="147" s="1"/>
  <c r="T37" i="147" s="1"/>
  <c r="S35" i="147"/>
  <c r="S37" i="147" s="1"/>
  <c r="AD24" i="147"/>
  <c r="AE22" i="147"/>
  <c r="AM22" i="147"/>
  <c r="AJ33" i="147"/>
  <c r="AJ34" i="147" s="1"/>
  <c r="AJ35" i="147" s="1"/>
  <c r="AE24" i="147" l="1"/>
  <c r="AJ37" i="147"/>
  <c r="G8" i="152" s="1"/>
  <c r="G6" i="152" s="1"/>
  <c r="V26" i="147"/>
  <c r="U33" i="147"/>
  <c r="U34" i="147" l="1"/>
  <c r="W26" i="147"/>
  <c r="V33" i="147"/>
  <c r="V34" i="147"/>
  <c r="V35" i="147" s="1"/>
  <c r="V37" i="147" s="1"/>
  <c r="U35" i="147" l="1"/>
  <c r="U37" i="147" s="1"/>
  <c r="X26" i="147"/>
  <c r="W33" i="147"/>
  <c r="AK26" i="147"/>
  <c r="AK33" i="147" l="1"/>
  <c r="W34" i="147"/>
  <c r="Y26" i="147"/>
  <c r="X33" i="147"/>
  <c r="X34" i="147" s="1"/>
  <c r="X35" i="147" s="1"/>
  <c r="X37" i="147" l="1"/>
  <c r="Z26" i="147"/>
  <c r="Y33" i="147"/>
  <c r="W35" i="147"/>
  <c r="W37" i="147" s="1"/>
  <c r="AK34" i="147"/>
  <c r="AK35" i="147" s="1"/>
  <c r="AK37" i="147" l="1"/>
  <c r="H8" i="152" s="1"/>
  <c r="Y34" i="147"/>
  <c r="AA26" i="147"/>
  <c r="Z33" i="147"/>
  <c r="H6" i="152" l="1"/>
  <c r="AB26" i="147"/>
  <c r="AA33" i="147"/>
  <c r="AL26" i="147"/>
  <c r="Z34" i="147"/>
  <c r="Y35" i="147"/>
  <c r="Y37" i="147" s="1"/>
  <c r="AA34" i="147" l="1"/>
  <c r="AA35" i="147" s="1"/>
  <c r="AC26" i="147"/>
  <c r="AB33" i="147"/>
  <c r="AB34" i="147" s="1"/>
  <c r="Z35" i="147"/>
  <c r="Z37" i="147" s="1"/>
  <c r="AL33" i="147"/>
  <c r="AB35" i="147" l="1"/>
  <c r="AB37" i="147" s="1"/>
  <c r="AL34" i="147"/>
  <c r="AL35" i="147" s="1"/>
  <c r="AD26" i="147"/>
  <c r="AC33" i="147"/>
  <c r="AC34" i="147" s="1"/>
  <c r="AA37" i="147"/>
  <c r="AC35" i="147" l="1"/>
  <c r="AC37" i="147" s="1"/>
  <c r="AL37" i="147"/>
  <c r="I8" i="152" s="1"/>
  <c r="AE26" i="147"/>
  <c r="AD33" i="147"/>
  <c r="I6" i="152" l="1"/>
  <c r="AD34" i="147"/>
  <c r="AD35" i="147" s="1"/>
  <c r="AD37" i="147" s="1"/>
  <c r="AE33" i="147"/>
  <c r="AE34" i="147" s="1"/>
  <c r="AM26" i="147"/>
  <c r="AE35" i="147" l="1"/>
  <c r="AE37" i="147" s="1"/>
  <c r="I244" i="132" l="1"/>
  <c r="I242" i="132"/>
  <c r="Q103" i="132" l="1"/>
  <c r="M141" i="132"/>
  <c r="Q141" i="132"/>
  <c r="L141" i="132"/>
  <c r="Q85" i="132"/>
  <c r="G337" i="132" l="1"/>
  <c r="P21" i="132"/>
  <c r="L343" i="132" l="1"/>
  <c r="L344" i="132"/>
  <c r="Q362" i="132"/>
  <c r="S35" i="134" l="1"/>
  <c r="S36" i="134"/>
  <c r="V36" i="134"/>
  <c r="W36" i="134"/>
  <c r="X36" i="134"/>
  <c r="S37" i="134"/>
  <c r="V37" i="134"/>
  <c r="W37" i="134"/>
  <c r="X37" i="134"/>
  <c r="S38" i="134"/>
  <c r="V38" i="134"/>
  <c r="W38" i="134"/>
  <c r="X38" i="134"/>
  <c r="S39" i="134"/>
  <c r="V39" i="134"/>
  <c r="W39" i="134"/>
  <c r="X39" i="134"/>
  <c r="S40" i="134"/>
  <c r="V40" i="134"/>
  <c r="W40" i="134"/>
  <c r="X40" i="134"/>
  <c r="S41" i="134"/>
  <c r="L176" i="132"/>
  <c r="L177" i="132" l="1"/>
  <c r="A42" i="130"/>
  <c r="A41" i="130"/>
  <c r="A40" i="130"/>
  <c r="A39" i="130"/>
  <c r="A37" i="130"/>
  <c r="E36" i="130"/>
  <c r="F36" i="130" s="1"/>
  <c r="G36" i="130" s="1"/>
  <c r="H36" i="130" s="1"/>
  <c r="A36" i="130"/>
  <c r="E35" i="130"/>
  <c r="F35" i="130" s="1"/>
  <c r="G35" i="130" s="1"/>
  <c r="H35" i="130" s="1"/>
  <c r="A35" i="130"/>
  <c r="F28" i="130"/>
  <c r="A28" i="130"/>
  <c r="A27" i="130"/>
  <c r="A26" i="130"/>
  <c r="A25" i="130"/>
  <c r="A24" i="130"/>
  <c r="A23" i="130"/>
  <c r="A22" i="130"/>
  <c r="A21" i="130"/>
  <c r="M103" i="132" l="1"/>
  <c r="N141" i="132"/>
  <c r="G28" i="130"/>
  <c r="M177" i="132"/>
  <c r="Q177" i="132"/>
  <c r="N177" i="132"/>
  <c r="P177" i="132"/>
  <c r="O177" i="132"/>
  <c r="L178" i="132"/>
  <c r="M178" i="132"/>
  <c r="N178" i="132"/>
  <c r="Q178" i="132"/>
  <c r="O178" i="132"/>
  <c r="P178" i="132"/>
  <c r="M450" i="132"/>
  <c r="N450" i="132"/>
  <c r="O450" i="132"/>
  <c r="P450" i="132"/>
  <c r="Q450" i="132"/>
  <c r="L450" i="132"/>
  <c r="M176" i="132"/>
  <c r="N176" i="132"/>
  <c r="O176" i="132"/>
  <c r="P176" i="132"/>
  <c r="Q176" i="132"/>
  <c r="N103" i="132" l="1"/>
  <c r="P141" i="132"/>
  <c r="O141" i="132"/>
  <c r="L85" i="132"/>
  <c r="H28" i="130"/>
  <c r="L362" i="132"/>
  <c r="M452" i="132"/>
  <c r="N452" i="132"/>
  <c r="O452" i="132"/>
  <c r="P452" i="132"/>
  <c r="Q452" i="132"/>
  <c r="L452" i="132"/>
  <c r="E11" i="141"/>
  <c r="D11" i="141"/>
  <c r="D25" i="141" s="1"/>
  <c r="F10" i="141"/>
  <c r="E18" i="141" s="1"/>
  <c r="F9" i="141"/>
  <c r="AN11" i="94"/>
  <c r="AO11" i="94"/>
  <c r="O103" i="132" l="1"/>
  <c r="D18" i="141"/>
  <c r="E17" i="141"/>
  <c r="F17" i="141"/>
  <c r="D26" i="141"/>
  <c r="E27" i="141"/>
  <c r="E26" i="141"/>
  <c r="E25" i="141"/>
  <c r="F18" i="141"/>
  <c r="F11" i="141"/>
  <c r="D19" i="141" s="1"/>
  <c r="D27" i="141"/>
  <c r="D17" i="141"/>
  <c r="P103" i="132" l="1"/>
  <c r="E19" i="141"/>
  <c r="F26" i="141"/>
  <c r="F25" i="141"/>
  <c r="F27" i="141"/>
  <c r="F19" i="141"/>
  <c r="A58" i="130" l="1"/>
  <c r="A59" i="130"/>
  <c r="A60" i="130"/>
  <c r="A57" i="130" l="1"/>
  <c r="A56" i="130"/>
  <c r="A55" i="130"/>
  <c r="A54" i="130"/>
  <c r="A53" i="130"/>
  <c r="M65" i="132" l="1"/>
  <c r="M64" i="132"/>
  <c r="N64" i="132"/>
  <c r="O64" i="132"/>
  <c r="P64" i="132"/>
  <c r="Q64" i="132"/>
  <c r="M66" i="132"/>
  <c r="N66" i="132"/>
  <c r="O66" i="132"/>
  <c r="P66" i="132"/>
  <c r="Q66" i="132"/>
  <c r="L66" i="132"/>
  <c r="L64" i="132"/>
  <c r="Q65" i="132" l="1"/>
  <c r="P65" i="132"/>
  <c r="O65" i="132"/>
  <c r="N65" i="132"/>
  <c r="L65" i="132"/>
  <c r="C7" i="134"/>
  <c r="C73" i="134" s="1"/>
  <c r="E7" i="126"/>
  <c r="O344" i="132" l="1"/>
  <c r="M344" i="132"/>
  <c r="N344" i="132"/>
  <c r="P344" i="132"/>
  <c r="Q344" i="132"/>
  <c r="Q343" i="132"/>
  <c r="M50" i="132"/>
  <c r="N50" i="132"/>
  <c r="O50" i="132"/>
  <c r="P50" i="132"/>
  <c r="Q50" i="132"/>
  <c r="L50" i="132"/>
  <c r="H67" i="116"/>
  <c r="G67" i="116"/>
  <c r="F67" i="116"/>
  <c r="E67" i="116"/>
  <c r="C67" i="116"/>
  <c r="L376" i="132" l="1"/>
  <c r="O48" i="132"/>
  <c r="M62" i="134"/>
  <c r="K62" i="134"/>
  <c r="L62" i="134"/>
  <c r="O62" i="134"/>
  <c r="P62" i="134"/>
  <c r="P48" i="132"/>
  <c r="Q48" i="132"/>
  <c r="M48" i="132"/>
  <c r="N62" i="134"/>
  <c r="N48" i="132"/>
  <c r="L48" i="132"/>
  <c r="M604" i="132"/>
  <c r="N604" i="132"/>
  <c r="O604" i="132"/>
  <c r="P604" i="132"/>
  <c r="Q604" i="132"/>
  <c r="I375" i="132"/>
  <c r="M255" i="132"/>
  <c r="N255" i="132"/>
  <c r="O255" i="132"/>
  <c r="P255" i="132"/>
  <c r="Q255" i="132"/>
  <c r="L255" i="132"/>
  <c r="M451" i="132" l="1"/>
  <c r="N451" i="132"/>
  <c r="L451" i="132"/>
  <c r="O451" i="132"/>
  <c r="P451" i="132"/>
  <c r="Q451" i="132"/>
  <c r="E17" i="137" l="1"/>
  <c r="U14" i="137" l="1"/>
  <c r="U16" i="137" s="1"/>
  <c r="U29" i="68" s="1"/>
  <c r="Q14" i="137"/>
  <c r="R14" i="137"/>
  <c r="R16" i="137" s="1"/>
  <c r="R29" i="68" s="1"/>
  <c r="C14" i="137"/>
  <c r="D14" i="137"/>
  <c r="E11" i="137"/>
  <c r="O11" i="137"/>
  <c r="O14" i="137"/>
  <c r="J11" i="137"/>
  <c r="R11" i="137"/>
  <c r="I14" i="137"/>
  <c r="P14" i="137"/>
  <c r="P16" i="137" s="1"/>
  <c r="P29" i="68" s="1"/>
  <c r="F14" i="137"/>
  <c r="F16" i="137" s="1"/>
  <c r="M17" i="137"/>
  <c r="M19" i="137" s="1"/>
  <c r="M35" i="68" s="1"/>
  <c r="M14" i="137"/>
  <c r="M16" i="137" s="1"/>
  <c r="M29" i="68" s="1"/>
  <c r="E14" i="137"/>
  <c r="L14" i="137"/>
  <c r="R17" i="137"/>
  <c r="C17" i="137"/>
  <c r="D17" i="137"/>
  <c r="L17" i="137"/>
  <c r="G14" i="137"/>
  <c r="N17" i="137"/>
  <c r="J14" i="137"/>
  <c r="E19" i="137"/>
  <c r="E35" i="68" s="1"/>
  <c r="S17" i="137"/>
  <c r="U17" i="137"/>
  <c r="U19" i="137" s="1"/>
  <c r="U35" i="68" s="1"/>
  <c r="M11" i="137"/>
  <c r="M12" i="137"/>
  <c r="M21" i="137" s="1"/>
  <c r="G17" i="137"/>
  <c r="N12" i="137"/>
  <c r="N11" i="137"/>
  <c r="T12" i="137"/>
  <c r="T11" i="137"/>
  <c r="H17" i="137"/>
  <c r="U11" i="137"/>
  <c r="U12" i="137"/>
  <c r="U21" i="137" s="1"/>
  <c r="O17" i="137"/>
  <c r="N14" i="137"/>
  <c r="J17" i="137"/>
  <c r="P17" i="137"/>
  <c r="S14" i="137"/>
  <c r="K17" i="137"/>
  <c r="I12" i="137"/>
  <c r="I11" i="137"/>
  <c r="D12" i="137"/>
  <c r="D21" i="137" s="1"/>
  <c r="D11" i="137"/>
  <c r="T14" i="137"/>
  <c r="T17" i="137"/>
  <c r="H14" i="137"/>
  <c r="E12" i="137"/>
  <c r="F12" i="137"/>
  <c r="F11" i="137"/>
  <c r="L12" i="137"/>
  <c r="L11" i="137"/>
  <c r="R12" i="137"/>
  <c r="R21" i="137" s="1"/>
  <c r="K14" i="137"/>
  <c r="F17" i="137"/>
  <c r="H11" i="137"/>
  <c r="H12" i="137"/>
  <c r="Q11" i="137"/>
  <c r="Q12" i="137"/>
  <c r="S11" i="137"/>
  <c r="S12" i="137"/>
  <c r="I17" i="137"/>
  <c r="J12" i="137"/>
  <c r="O12" i="137"/>
  <c r="K11" i="137"/>
  <c r="K12" i="137"/>
  <c r="G12" i="137"/>
  <c r="G11" i="137"/>
  <c r="P11" i="137"/>
  <c r="P12" i="137"/>
  <c r="C11" i="137"/>
  <c r="C12" i="137"/>
  <c r="Q17" i="137"/>
  <c r="F29" i="68" l="1"/>
  <c r="J16" i="137"/>
  <c r="J29" i="68" s="1"/>
  <c r="D19" i="137"/>
  <c r="D35" i="68" s="1"/>
  <c r="L21" i="137"/>
  <c r="L19" i="137"/>
  <c r="L35" i="68" s="1"/>
  <c r="C19" i="137"/>
  <c r="C35" i="68" s="1"/>
  <c r="N16" i="137"/>
  <c r="N29" i="68" s="1"/>
  <c r="D16" i="137"/>
  <c r="D29" i="68" s="1"/>
  <c r="Q16" i="137"/>
  <c r="Q29" i="68" s="1"/>
  <c r="C16" i="137"/>
  <c r="C29" i="68" s="1"/>
  <c r="C30" i="68" s="1"/>
  <c r="E21" i="137"/>
  <c r="J21" i="137"/>
  <c r="J19" i="137"/>
  <c r="J35" i="68" s="1"/>
  <c r="H19" i="137"/>
  <c r="H35" i="68" s="1"/>
  <c r="I16" i="137"/>
  <c r="I29" i="68" s="1"/>
  <c r="G16" i="137"/>
  <c r="G29" i="68" s="1"/>
  <c r="R19" i="137"/>
  <c r="R35" i="68" s="1"/>
  <c r="E16" i="137"/>
  <c r="E29" i="68" s="1"/>
  <c r="O16" i="137"/>
  <c r="O29" i="68" s="1"/>
  <c r="K16" i="137"/>
  <c r="K29" i="68" s="1"/>
  <c r="H21" i="137"/>
  <c r="N19" i="137"/>
  <c r="N35" i="68" s="1"/>
  <c r="I19" i="137"/>
  <c r="I35" i="68" s="1"/>
  <c r="L16" i="137"/>
  <c r="L29" i="68" s="1"/>
  <c r="S19" i="137"/>
  <c r="S35" i="68" s="1"/>
  <c r="S21" i="137"/>
  <c r="Q21" i="137"/>
  <c r="O21" i="137"/>
  <c r="K21" i="137"/>
  <c r="V14" i="137"/>
  <c r="Y14" i="137"/>
  <c r="X14" i="137"/>
  <c r="X18" i="137"/>
  <c r="F19" i="137"/>
  <c r="F35" i="68" s="1"/>
  <c r="W18" i="137"/>
  <c r="E20" i="137"/>
  <c r="E22" i="137" s="1"/>
  <c r="E41" i="68" s="1"/>
  <c r="E13" i="137"/>
  <c r="C13" i="137"/>
  <c r="Y11" i="137"/>
  <c r="X11" i="137"/>
  <c r="W11" i="137"/>
  <c r="V11" i="137"/>
  <c r="C20" i="137"/>
  <c r="F21" i="137"/>
  <c r="T21" i="137"/>
  <c r="O20" i="137"/>
  <c r="O13" i="137"/>
  <c r="G21" i="137"/>
  <c r="Y18" i="137"/>
  <c r="W17" i="137"/>
  <c r="K13" i="137"/>
  <c r="K20" i="137"/>
  <c r="X17" i="137"/>
  <c r="W14" i="137"/>
  <c r="Y17" i="137"/>
  <c r="V17" i="137"/>
  <c r="V18" i="137"/>
  <c r="T16" i="137"/>
  <c r="T29" i="68" s="1"/>
  <c r="S16" i="137"/>
  <c r="S29" i="68" s="1"/>
  <c r="N20" i="137"/>
  <c r="N13" i="137"/>
  <c r="P21" i="137"/>
  <c r="Y15" i="137"/>
  <c r="X15" i="137"/>
  <c r="W15" i="137"/>
  <c r="V15" i="137"/>
  <c r="D13" i="137"/>
  <c r="D20" i="137"/>
  <c r="D22" i="137" s="1"/>
  <c r="D41" i="68" s="1"/>
  <c r="O19" i="137"/>
  <c r="O35" i="68" s="1"/>
  <c r="N21" i="137"/>
  <c r="Q20" i="137"/>
  <c r="Q22" i="137" s="1"/>
  <c r="Q41" i="68" s="1"/>
  <c r="Q13" i="137"/>
  <c r="R20" i="137"/>
  <c r="R22" i="137" s="1"/>
  <c r="R41" i="68" s="1"/>
  <c r="R13" i="137"/>
  <c r="I20" i="137"/>
  <c r="I13" i="137"/>
  <c r="P19" i="137"/>
  <c r="P35" i="68" s="1"/>
  <c r="U20" i="137"/>
  <c r="U22" i="137" s="1"/>
  <c r="U41" i="68" s="1"/>
  <c r="U13" i="137"/>
  <c r="G19" i="137"/>
  <c r="G35" i="68" s="1"/>
  <c r="P20" i="137"/>
  <c r="P13" i="137"/>
  <c r="Q19" i="137"/>
  <c r="Q35" i="68" s="1"/>
  <c r="S20" i="137"/>
  <c r="S22" i="137" s="1"/>
  <c r="S41" i="68" s="1"/>
  <c r="S13" i="137"/>
  <c r="L13" i="137"/>
  <c r="L20" i="137"/>
  <c r="H16" i="137"/>
  <c r="H29" i="68" s="1"/>
  <c r="I21" i="137"/>
  <c r="G20" i="137"/>
  <c r="G13" i="137"/>
  <c r="J20" i="137"/>
  <c r="J22" i="137" s="1"/>
  <c r="J41" i="68" s="1"/>
  <c r="J13" i="137"/>
  <c r="H20" i="137"/>
  <c r="H22" i="137" s="1"/>
  <c r="H41" i="68" s="1"/>
  <c r="H13" i="137"/>
  <c r="M13" i="137"/>
  <c r="M20" i="137"/>
  <c r="M22" i="137" s="1"/>
  <c r="M41" i="68" s="1"/>
  <c r="C21" i="137"/>
  <c r="Y12" i="137"/>
  <c r="X12" i="137"/>
  <c r="W12" i="137"/>
  <c r="V12" i="137"/>
  <c r="F20" i="137"/>
  <c r="F13" i="137"/>
  <c r="T19" i="137"/>
  <c r="T35" i="68" s="1"/>
  <c r="K19" i="137"/>
  <c r="K35" i="68" s="1"/>
  <c r="T13" i="137"/>
  <c r="T20" i="137"/>
  <c r="L22" i="137" l="1"/>
  <c r="L41" i="68" s="1"/>
  <c r="T22" i="137"/>
  <c r="T41" i="68" s="1"/>
  <c r="W35" i="68"/>
  <c r="V35" i="68"/>
  <c r="Y35" i="68"/>
  <c r="Z16" i="137"/>
  <c r="X35" i="68"/>
  <c r="V29" i="68"/>
  <c r="W29" i="68"/>
  <c r="Y29" i="68"/>
  <c r="X29" i="68"/>
  <c r="Z13" i="137"/>
  <c r="O22" i="137"/>
  <c r="O41" i="68" s="1"/>
  <c r="K22" i="137"/>
  <c r="K41" i="68" s="1"/>
  <c r="P22" i="137"/>
  <c r="P41" i="68" s="1"/>
  <c r="Z19" i="137"/>
  <c r="F22" i="137"/>
  <c r="F41" i="68" s="1"/>
  <c r="Y19" i="137"/>
  <c r="X19" i="137"/>
  <c r="G22" i="137"/>
  <c r="G41" i="68" s="1"/>
  <c r="W19" i="137"/>
  <c r="Y13" i="137"/>
  <c r="X13" i="137"/>
  <c r="W13" i="137"/>
  <c r="V13" i="137"/>
  <c r="N22" i="137"/>
  <c r="N41" i="68" s="1"/>
  <c r="I22" i="137"/>
  <c r="I41" i="68" s="1"/>
  <c r="W21" i="137"/>
  <c r="V21" i="137"/>
  <c r="Y21" i="137"/>
  <c r="X21" i="137"/>
  <c r="Y20" i="137"/>
  <c r="X20" i="137"/>
  <c r="W20" i="137"/>
  <c r="C22" i="137"/>
  <c r="C41" i="68" s="1"/>
  <c r="V20" i="137"/>
  <c r="W16" i="137"/>
  <c r="V19" i="137"/>
  <c r="X16" i="137"/>
  <c r="Y16" i="137"/>
  <c r="V16" i="137"/>
  <c r="X41" i="68" l="1"/>
  <c r="Y41" i="68"/>
  <c r="V41" i="68"/>
  <c r="W41" i="68"/>
  <c r="Z22" i="137"/>
  <c r="Y22" i="137"/>
  <c r="X22" i="137"/>
  <c r="W22" i="137"/>
  <c r="V22" i="137"/>
  <c r="M27" i="132" l="1"/>
  <c r="M34" i="132" s="1"/>
  <c r="N27" i="132"/>
  <c r="N29" i="132" s="1"/>
  <c r="O27" i="132"/>
  <c r="O29" i="132" s="1"/>
  <c r="P27" i="132"/>
  <c r="P28" i="132" s="1"/>
  <c r="Q27" i="132"/>
  <c r="Q28" i="132" s="1"/>
  <c r="R576" i="132" s="1"/>
  <c r="L27" i="132"/>
  <c r="L30" i="132" s="1"/>
  <c r="M47" i="132"/>
  <c r="N47" i="132"/>
  <c r="O47" i="132"/>
  <c r="P47" i="132"/>
  <c r="Q47" i="132"/>
  <c r="L47" i="132"/>
  <c r="M49" i="132"/>
  <c r="N49" i="132"/>
  <c r="O49" i="132"/>
  <c r="P49" i="132"/>
  <c r="Q49" i="132"/>
  <c r="L49" i="132"/>
  <c r="L51" i="132" l="1"/>
  <c r="L140" i="132" s="1"/>
  <c r="M35" i="132"/>
  <c r="M36" i="132" s="1"/>
  <c r="M37" i="132" s="1"/>
  <c r="M38" i="132" s="1"/>
  <c r="L35" i="132"/>
  <c r="L36" i="132" s="1"/>
  <c r="Q51" i="132"/>
  <c r="M51" i="132"/>
  <c r="N35" i="132"/>
  <c r="N36" i="132" s="1"/>
  <c r="Q35" i="132"/>
  <c r="Q36" i="132" s="1"/>
  <c r="P35" i="132"/>
  <c r="P36" i="132" s="1"/>
  <c r="O35" i="132"/>
  <c r="O36" i="132" s="1"/>
  <c r="O28" i="132"/>
  <c r="M29" i="132"/>
  <c r="L34" i="132"/>
  <c r="N28" i="132"/>
  <c r="Q30" i="132"/>
  <c r="Q34" i="132"/>
  <c r="R579" i="132" s="1"/>
  <c r="M28" i="132"/>
  <c r="P30" i="132"/>
  <c r="P34" i="132"/>
  <c r="L29" i="132"/>
  <c r="O30" i="132"/>
  <c r="O34" i="132"/>
  <c r="Q29" i="132"/>
  <c r="N30" i="132"/>
  <c r="N34" i="132"/>
  <c r="L28" i="132"/>
  <c r="P29" i="132"/>
  <c r="M30" i="132"/>
  <c r="P51" i="132"/>
  <c r="O51" i="132"/>
  <c r="N51" i="132"/>
  <c r="L37" i="132" l="1"/>
  <c r="L38" i="132" s="1"/>
  <c r="N37" i="132"/>
  <c r="R578" i="132"/>
  <c r="R577" i="132"/>
  <c r="Q37" i="132"/>
  <c r="Q38" i="132" s="1"/>
  <c r="M414" i="132"/>
  <c r="M140" i="132"/>
  <c r="Q414" i="132"/>
  <c r="Q140" i="132"/>
  <c r="O140" i="132"/>
  <c r="O414" i="132"/>
  <c r="P414" i="132"/>
  <c r="P140" i="132"/>
  <c r="L414" i="132"/>
  <c r="N414" i="132"/>
  <c r="N140" i="132"/>
  <c r="P37" i="132"/>
  <c r="P38" i="132" s="1"/>
  <c r="O37" i="132"/>
  <c r="O38" i="132" s="1"/>
  <c r="N38" i="132"/>
  <c r="L144" i="132" l="1"/>
  <c r="L157" i="132" s="1"/>
  <c r="J88" i="126"/>
  <c r="I88" i="126"/>
  <c r="H88" i="126"/>
  <c r="G88" i="126"/>
  <c r="F88" i="126"/>
  <c r="E88" i="126"/>
  <c r="D88" i="126"/>
  <c r="J87" i="126"/>
  <c r="I87" i="126"/>
  <c r="H87" i="126"/>
  <c r="G87" i="126"/>
  <c r="F87" i="126"/>
  <c r="E87" i="126"/>
  <c r="D87" i="126"/>
  <c r="J84" i="126"/>
  <c r="I84" i="126"/>
  <c r="H84" i="126"/>
  <c r="G84" i="126"/>
  <c r="F84" i="126"/>
  <c r="E84" i="126"/>
  <c r="D84" i="126"/>
  <c r="J74" i="126"/>
  <c r="I74" i="126"/>
  <c r="H74" i="126"/>
  <c r="G74" i="126"/>
  <c r="F74" i="126"/>
  <c r="E74" i="126"/>
  <c r="D74" i="126"/>
  <c r="J73" i="126"/>
  <c r="I73" i="126"/>
  <c r="H73" i="126"/>
  <c r="G73" i="126"/>
  <c r="F73" i="126"/>
  <c r="E73" i="126"/>
  <c r="D73" i="126"/>
  <c r="J70" i="126"/>
  <c r="I70" i="126"/>
  <c r="H70" i="126"/>
  <c r="G70" i="126"/>
  <c r="F70" i="126"/>
  <c r="E70" i="126"/>
  <c r="D70" i="126"/>
  <c r="J60" i="126"/>
  <c r="I60" i="126"/>
  <c r="H60" i="126"/>
  <c r="G60" i="126"/>
  <c r="F60" i="126"/>
  <c r="E60" i="126"/>
  <c r="D60" i="126"/>
  <c r="J59" i="126"/>
  <c r="H59" i="126"/>
  <c r="G59" i="126"/>
  <c r="F59" i="126"/>
  <c r="E59" i="126"/>
  <c r="D59" i="126"/>
  <c r="J56" i="126"/>
  <c r="I56" i="126"/>
  <c r="H56" i="126"/>
  <c r="G56" i="126"/>
  <c r="F56" i="126"/>
  <c r="E56" i="126"/>
  <c r="D56" i="126"/>
  <c r="E46" i="126"/>
  <c r="F46" i="126"/>
  <c r="G46" i="126"/>
  <c r="H46" i="126"/>
  <c r="I46" i="126"/>
  <c r="J46" i="126"/>
  <c r="D46" i="126"/>
  <c r="E45" i="126"/>
  <c r="F45" i="126"/>
  <c r="G45" i="126"/>
  <c r="H45" i="126"/>
  <c r="I45" i="126"/>
  <c r="J45" i="126"/>
  <c r="D45" i="126"/>
  <c r="E42" i="126"/>
  <c r="F42" i="126"/>
  <c r="G42" i="126"/>
  <c r="H42" i="126"/>
  <c r="I42" i="126"/>
  <c r="J42" i="126"/>
  <c r="D42" i="126"/>
  <c r="J89" i="126"/>
  <c r="C71" i="134"/>
  <c r="C22" i="134"/>
  <c r="D22" i="134"/>
  <c r="E22" i="134"/>
  <c r="F22" i="134"/>
  <c r="G22" i="134"/>
  <c r="H22" i="134"/>
  <c r="E21" i="134"/>
  <c r="F21" i="134"/>
  <c r="G21" i="134"/>
  <c r="H21" i="134"/>
  <c r="D21" i="134"/>
  <c r="C21" i="134"/>
  <c r="D19" i="134"/>
  <c r="E19" i="134"/>
  <c r="F19" i="134"/>
  <c r="G19" i="134"/>
  <c r="H19" i="134"/>
  <c r="D18" i="134"/>
  <c r="E18" i="134"/>
  <c r="F18" i="134"/>
  <c r="G18" i="134"/>
  <c r="H18" i="134"/>
  <c r="C67" i="134"/>
  <c r="C68" i="134" s="1"/>
  <c r="K66" i="134" s="1"/>
  <c r="L158" i="132" l="1"/>
  <c r="L159" i="132"/>
  <c r="C16" i="134"/>
  <c r="L66" i="134"/>
  <c r="N66" i="134"/>
  <c r="O66" i="134"/>
  <c r="M66" i="134"/>
  <c r="P66" i="134"/>
  <c r="H61" i="126"/>
  <c r="D47" i="126"/>
  <c r="D75" i="126"/>
  <c r="J47" i="126"/>
  <c r="I61" i="126"/>
  <c r="E75" i="126"/>
  <c r="D89" i="126"/>
  <c r="I47" i="126"/>
  <c r="J61" i="126"/>
  <c r="F75" i="126"/>
  <c r="E89" i="126"/>
  <c r="H47" i="126"/>
  <c r="G75" i="126"/>
  <c r="F89" i="126"/>
  <c r="G47" i="126"/>
  <c r="D61" i="126"/>
  <c r="H75" i="126"/>
  <c r="G89" i="126"/>
  <c r="F47" i="126"/>
  <c r="E61" i="126"/>
  <c r="I75" i="126"/>
  <c r="H89" i="126"/>
  <c r="E47" i="126"/>
  <c r="F61" i="126"/>
  <c r="J75" i="126"/>
  <c r="I89" i="126"/>
  <c r="G61" i="126"/>
  <c r="H76" i="134" l="1"/>
  <c r="C76" i="134"/>
  <c r="G76" i="134"/>
  <c r="F76" i="134"/>
  <c r="E76" i="134"/>
  <c r="D76" i="134"/>
  <c r="H75" i="134"/>
  <c r="C75" i="134"/>
  <c r="H41" i="134"/>
  <c r="H40" i="134"/>
  <c r="H39" i="134"/>
  <c r="H38" i="134"/>
  <c r="H37" i="134"/>
  <c r="H36" i="134"/>
  <c r="H35" i="134"/>
  <c r="I243" i="132"/>
  <c r="I551" i="132"/>
  <c r="I246" i="132"/>
  <c r="I552" i="132" s="1"/>
  <c r="I247" i="132"/>
  <c r="I553" i="132" s="1"/>
  <c r="I237" i="132"/>
  <c r="I238" i="132"/>
  <c r="I239" i="132"/>
  <c r="D356" i="132" l="1"/>
  <c r="E357" i="132"/>
  <c r="M19" i="132"/>
  <c r="N19" i="132"/>
  <c r="O19" i="132"/>
  <c r="P19" i="132"/>
  <c r="Q19" i="132"/>
  <c r="M20" i="132"/>
  <c r="N20" i="132"/>
  <c r="O20" i="132"/>
  <c r="P20" i="132"/>
  <c r="Q20" i="132"/>
  <c r="M21" i="132"/>
  <c r="N21" i="132"/>
  <c r="O21" i="132"/>
  <c r="Q21" i="132"/>
  <c r="L21" i="132"/>
  <c r="L20" i="132"/>
  <c r="O91" i="132" l="1"/>
  <c r="O357" i="132" s="1"/>
  <c r="M91" i="132"/>
  <c r="M357" i="132" s="1"/>
  <c r="P91" i="132"/>
  <c r="P357" i="132" s="1"/>
  <c r="N91" i="132"/>
  <c r="N357" i="132" s="1"/>
  <c r="Q91" i="132"/>
  <c r="Q357" i="132" s="1"/>
  <c r="Q415" i="132"/>
  <c r="L415" i="132"/>
  <c r="Q376" i="132"/>
  <c r="L357" i="132" l="1"/>
  <c r="M343" i="132" l="1"/>
  <c r="D75" i="134"/>
  <c r="M415" i="132"/>
  <c r="N343" i="132" l="1"/>
  <c r="E75" i="134"/>
  <c r="N415" i="132"/>
  <c r="O343" i="132" l="1"/>
  <c r="F75" i="134"/>
  <c r="O415" i="132"/>
  <c r="P343" i="132" l="1"/>
  <c r="G75" i="134"/>
  <c r="M376" i="132"/>
  <c r="P415" i="132"/>
  <c r="N376" i="132" l="1"/>
  <c r="D58" i="126"/>
  <c r="D44" i="126"/>
  <c r="D86" i="126"/>
  <c r="D72" i="126"/>
  <c r="O376" i="132" l="1"/>
  <c r="D85" i="126"/>
  <c r="D90" i="126" s="1"/>
  <c r="D91" i="126" s="1"/>
  <c r="D43" i="126"/>
  <c r="D71" i="126"/>
  <c r="D76" i="126" s="1"/>
  <c r="D77" i="126" s="1"/>
  <c r="D57" i="126"/>
  <c r="D62" i="126" s="1"/>
  <c r="D63" i="126" s="1"/>
  <c r="I58" i="126"/>
  <c r="I72" i="126"/>
  <c r="I44" i="126"/>
  <c r="I86" i="126"/>
  <c r="F85" i="126"/>
  <c r="F90" i="126" s="1"/>
  <c r="F71" i="126"/>
  <c r="F76" i="126" s="1"/>
  <c r="F43" i="126"/>
  <c r="F48" i="126" s="1"/>
  <c r="F57" i="126"/>
  <c r="F62" i="126" s="1"/>
  <c r="J58" i="126"/>
  <c r="J86" i="126"/>
  <c r="J44" i="126"/>
  <c r="J72" i="126"/>
  <c r="I57" i="126"/>
  <c r="I62" i="126" s="1"/>
  <c r="I85" i="126"/>
  <c r="I90" i="126" s="1"/>
  <c r="I71" i="126"/>
  <c r="I76" i="126" s="1"/>
  <c r="I43" i="126"/>
  <c r="I48" i="126" s="1"/>
  <c r="E85" i="126"/>
  <c r="E90" i="126" s="1"/>
  <c r="E71" i="126"/>
  <c r="E76" i="126" s="1"/>
  <c r="E43" i="126"/>
  <c r="E48" i="126" s="1"/>
  <c r="E57" i="126"/>
  <c r="E62" i="126" s="1"/>
  <c r="F86" i="126"/>
  <c r="F72" i="126"/>
  <c r="F44" i="126"/>
  <c r="F58" i="126"/>
  <c r="J57" i="126"/>
  <c r="J62" i="126" s="1"/>
  <c r="J63" i="126" s="1"/>
  <c r="J43" i="126"/>
  <c r="J48" i="126" s="1"/>
  <c r="J85" i="126"/>
  <c r="J90" i="126" s="1"/>
  <c r="J71" i="126"/>
  <c r="J76" i="126" s="1"/>
  <c r="J77" i="126" s="1"/>
  <c r="G71" i="126"/>
  <c r="G76" i="126" s="1"/>
  <c r="G57" i="126"/>
  <c r="G62" i="126" s="1"/>
  <c r="G43" i="126"/>
  <c r="G48" i="126" s="1"/>
  <c r="G85" i="126"/>
  <c r="G90" i="126" s="1"/>
  <c r="E86" i="126"/>
  <c r="E72" i="126"/>
  <c r="E44" i="126"/>
  <c r="E58" i="126"/>
  <c r="G86" i="126"/>
  <c r="G72" i="126"/>
  <c r="G58" i="126"/>
  <c r="G44" i="126"/>
  <c r="G91" i="126" l="1"/>
  <c r="D48" i="126"/>
  <c r="D49" i="126" s="1"/>
  <c r="P376" i="132"/>
  <c r="J91" i="126"/>
  <c r="E63" i="126"/>
  <c r="I63" i="126"/>
  <c r="I49" i="126"/>
  <c r="I77" i="126"/>
  <c r="J49" i="126"/>
  <c r="G63" i="126"/>
  <c r="E49" i="126"/>
  <c r="H57" i="126"/>
  <c r="H62" i="126" s="1"/>
  <c r="H43" i="126"/>
  <c r="H48" i="126" s="1"/>
  <c r="H71" i="126"/>
  <c r="H76" i="126" s="1"/>
  <c r="H85" i="126"/>
  <c r="H90" i="126" s="1"/>
  <c r="E77" i="126"/>
  <c r="E91" i="126"/>
  <c r="H72" i="126"/>
  <c r="H86" i="126"/>
  <c r="H58" i="126"/>
  <c r="H44" i="126"/>
  <c r="F63" i="126"/>
  <c r="G49" i="126"/>
  <c r="F49" i="126"/>
  <c r="I91" i="126"/>
  <c r="F77" i="126"/>
  <c r="G77" i="126"/>
  <c r="F91" i="126"/>
  <c r="H77" i="126" l="1"/>
  <c r="H91" i="126"/>
  <c r="H49" i="126"/>
  <c r="H63" i="126"/>
  <c r="G64" i="126"/>
  <c r="G65" i="126" s="1"/>
  <c r="G99" i="126" s="1"/>
  <c r="I64" i="126"/>
  <c r="I65" i="126" s="1"/>
  <c r="I99" i="126" s="1"/>
  <c r="D64" i="126"/>
  <c r="D65" i="126" s="1"/>
  <c r="D99" i="126" s="1"/>
  <c r="E64" i="126"/>
  <c r="E65" i="126" s="1"/>
  <c r="E99" i="126" s="1"/>
  <c r="F64" i="126"/>
  <c r="F65" i="126" s="1"/>
  <c r="F99" i="126" s="1"/>
  <c r="J65" i="126"/>
  <c r="J99" i="126" s="1"/>
  <c r="H53" i="116" s="1"/>
  <c r="D50" i="126"/>
  <c r="F50" i="126"/>
  <c r="F51" i="126" s="1"/>
  <c r="F98" i="126" s="1"/>
  <c r="G50" i="126"/>
  <c r="G51" i="126" s="1"/>
  <c r="G98" i="126" s="1"/>
  <c r="H50" i="126"/>
  <c r="H51" i="126" s="1"/>
  <c r="H98" i="126" s="1"/>
  <c r="J50" i="126"/>
  <c r="J51" i="126" s="1"/>
  <c r="J98" i="126" s="1"/>
  <c r="H52" i="116" s="1"/>
  <c r="Q13" i="132" s="1"/>
  <c r="I50" i="126"/>
  <c r="I51" i="126" s="1"/>
  <c r="I98" i="126" s="1"/>
  <c r="E50" i="126"/>
  <c r="E51" i="126" s="1"/>
  <c r="E98" i="126" s="1"/>
  <c r="C52" i="116" s="1"/>
  <c r="D78" i="126"/>
  <c r="D79" i="126" s="1"/>
  <c r="D100" i="126" s="1"/>
  <c r="H78" i="126"/>
  <c r="F78" i="126"/>
  <c r="F79" i="126" s="1"/>
  <c r="F100" i="126" s="1"/>
  <c r="I78" i="126"/>
  <c r="I79" i="126" s="1"/>
  <c r="I100" i="126" s="1"/>
  <c r="E78" i="126"/>
  <c r="E79" i="126" s="1"/>
  <c r="E100" i="126" s="1"/>
  <c r="G78" i="126"/>
  <c r="G79" i="126" s="1"/>
  <c r="G100" i="126" s="1"/>
  <c r="D92" i="126"/>
  <c r="D93" i="126" s="1"/>
  <c r="D101" i="126" s="1"/>
  <c r="H92" i="126"/>
  <c r="I92" i="126"/>
  <c r="I93" i="126" s="1"/>
  <c r="I101" i="126" s="1"/>
  <c r="G55" i="116" s="1"/>
  <c r="E92" i="126"/>
  <c r="E93" i="126" s="1"/>
  <c r="E101" i="126" s="1"/>
  <c r="C55" i="116" s="1"/>
  <c r="F92" i="126"/>
  <c r="F93" i="126" s="1"/>
  <c r="F101" i="126" s="1"/>
  <c r="D55" i="116" s="1"/>
  <c r="G92" i="126"/>
  <c r="G93" i="126" s="1"/>
  <c r="G101" i="126" s="1"/>
  <c r="E55" i="116" s="1"/>
  <c r="Q86" i="132" l="1"/>
  <c r="Q363" i="132" s="1"/>
  <c r="G52" i="116"/>
  <c r="P13" i="132" s="1"/>
  <c r="C53" i="116"/>
  <c r="L14" i="132" s="1"/>
  <c r="G53" i="116"/>
  <c r="P14" i="132" s="1"/>
  <c r="E52" i="116"/>
  <c r="N13" i="132" s="1"/>
  <c r="E53" i="116"/>
  <c r="N14" i="132" s="1"/>
  <c r="C54" i="116"/>
  <c r="L15" i="132" s="1"/>
  <c r="G54" i="116"/>
  <c r="P15" i="132" s="1"/>
  <c r="D54" i="116"/>
  <c r="M15" i="132" s="1"/>
  <c r="D52" i="116"/>
  <c r="M13" i="132" s="1"/>
  <c r="D51" i="126"/>
  <c r="D98" i="126" s="1"/>
  <c r="E54" i="116"/>
  <c r="N15" i="132" s="1"/>
  <c r="F52" i="116"/>
  <c r="O13" i="132" s="1"/>
  <c r="D53" i="116"/>
  <c r="M14" i="132" s="1"/>
  <c r="H79" i="126"/>
  <c r="H100" i="126" s="1"/>
  <c r="L13" i="132"/>
  <c r="H93" i="126"/>
  <c r="H101" i="126" s="1"/>
  <c r="F55" i="116" s="1"/>
  <c r="Q14" i="132"/>
  <c r="J92" i="126"/>
  <c r="J93" i="126" s="1"/>
  <c r="J101" i="126" s="1"/>
  <c r="H55" i="116" s="1"/>
  <c r="J78" i="126"/>
  <c r="J79" i="126" s="1"/>
  <c r="J100" i="126" s="1"/>
  <c r="H54" i="116" s="1"/>
  <c r="H64" i="126"/>
  <c r="H65" i="126" s="1"/>
  <c r="H99" i="126" s="1"/>
  <c r="P86" i="132" l="1"/>
  <c r="O86" i="132"/>
  <c r="N86" i="132"/>
  <c r="M86" i="132"/>
  <c r="L86" i="132"/>
  <c r="L160" i="132" s="1"/>
  <c r="F53" i="116"/>
  <c r="O14" i="132" s="1"/>
  <c r="F54" i="116"/>
  <c r="O15" i="132" s="1"/>
  <c r="Q15" i="132"/>
  <c r="L363" i="132" l="1"/>
  <c r="L31" i="132"/>
  <c r="L32" i="132" s="1"/>
  <c r="N31" i="132"/>
  <c r="N32" i="132" s="1"/>
  <c r="Q31" i="132"/>
  <c r="Q32" i="132" s="1"/>
  <c r="M31" i="132"/>
  <c r="M32" i="132" s="1"/>
  <c r="P31" i="132"/>
  <c r="P32" i="132" s="1"/>
  <c r="O31" i="132"/>
  <c r="O32" i="132" s="1"/>
  <c r="L145" i="132" l="1"/>
  <c r="N363" i="132"/>
  <c r="O363" i="132"/>
  <c r="M363" i="132"/>
  <c r="P363" i="132"/>
  <c r="L148" i="132" l="1"/>
  <c r="L154" i="132" l="1"/>
  <c r="B18" i="67" l="1"/>
  <c r="C18" i="67"/>
  <c r="B19" i="67"/>
  <c r="C19" i="67"/>
  <c r="B20" i="67"/>
  <c r="C20" i="67"/>
  <c r="B21" i="67"/>
  <c r="C21" i="67"/>
  <c r="B22" i="67"/>
  <c r="C22" i="67"/>
  <c r="C17" i="67"/>
  <c r="B17" i="67"/>
  <c r="C13" i="115" l="1"/>
  <c r="K13" i="115"/>
  <c r="G13" i="115" l="1"/>
  <c r="M18" i="115"/>
  <c r="N13" i="115"/>
  <c r="F13" i="115"/>
  <c r="C18" i="115"/>
  <c r="L13" i="115"/>
  <c r="D13" i="115"/>
  <c r="D18" i="115"/>
  <c r="H18" i="115"/>
  <c r="M13" i="115"/>
  <c r="M6" i="115" s="1"/>
  <c r="L18" i="115"/>
  <c r="I18" i="115"/>
  <c r="H13" i="115"/>
  <c r="C23" i="115"/>
  <c r="C6" i="115" s="1"/>
  <c r="G18" i="115"/>
  <c r="K18" i="115"/>
  <c r="K6" i="115" s="1"/>
  <c r="D23" i="115"/>
  <c r="J13" i="115"/>
  <c r="E13" i="115"/>
  <c r="F18" i="115"/>
  <c r="E18" i="115"/>
  <c r="F23" i="115"/>
  <c r="I13" i="115"/>
  <c r="J18" i="115"/>
  <c r="E23" i="115"/>
  <c r="N18" i="115"/>
  <c r="D6" i="115" l="1"/>
  <c r="H6" i="115"/>
  <c r="N6" i="115"/>
  <c r="I6" i="115"/>
  <c r="G6" i="115"/>
  <c r="L6" i="115"/>
  <c r="F6" i="115"/>
  <c r="J6" i="115"/>
  <c r="E6" i="115"/>
  <c r="C19" i="68" l="1"/>
  <c r="J10" i="137"/>
  <c r="K10" i="137"/>
  <c r="L10" i="137"/>
  <c r="C10" i="137"/>
  <c r="D10" i="137"/>
  <c r="E10" i="137"/>
  <c r="F10" i="137"/>
  <c r="G10" i="137"/>
  <c r="H10" i="137"/>
  <c r="I10" i="137"/>
  <c r="Q21" i="68" l="1"/>
  <c r="Q10" i="137"/>
  <c r="P12" i="27"/>
  <c r="P10" i="137"/>
  <c r="O21" i="68"/>
  <c r="O10" i="137"/>
  <c r="N21" i="68"/>
  <c r="N10" i="137"/>
  <c r="U21" i="68"/>
  <c r="U10" i="137"/>
  <c r="M21" i="68"/>
  <c r="M10" i="137"/>
  <c r="T12" i="27"/>
  <c r="T10" i="137"/>
  <c r="S21" i="68"/>
  <c r="S10" i="137"/>
  <c r="R12" i="27"/>
  <c r="R10" i="137"/>
  <c r="D21" i="68"/>
  <c r="L21" i="68"/>
  <c r="Q12" i="27"/>
  <c r="I12" i="27"/>
  <c r="T21" i="68"/>
  <c r="O12" i="27"/>
  <c r="G12" i="27"/>
  <c r="R21" i="68"/>
  <c r="J21" i="68"/>
  <c r="C12" i="27"/>
  <c r="N12" i="27"/>
  <c r="F12" i="27"/>
  <c r="I21" i="68"/>
  <c r="U12" i="27"/>
  <c r="M12" i="27"/>
  <c r="E12" i="27"/>
  <c r="P21" i="68"/>
  <c r="H21" i="68"/>
  <c r="L12" i="27"/>
  <c r="D12" i="27"/>
  <c r="G21" i="68"/>
  <c r="S12" i="27"/>
  <c r="K12" i="27"/>
  <c r="C21" i="68"/>
  <c r="F21" i="68"/>
  <c r="J12" i="27"/>
  <c r="E21" i="68"/>
  <c r="H12" i="27"/>
  <c r="K21" i="68"/>
  <c r="D24" i="107" l="1"/>
  <c r="BX19" i="107"/>
  <c r="D6" i="107" s="1"/>
  <c r="BX23" i="107" l="1"/>
  <c r="BX26" i="107"/>
  <c r="D10" i="107" s="1"/>
  <c r="AK24" i="107"/>
  <c r="E24" i="107"/>
  <c r="AM24" i="107"/>
  <c r="AB24" i="107"/>
  <c r="BS24" i="107"/>
  <c r="AD24" i="107"/>
  <c r="M24" i="107"/>
  <c r="BK24" i="107"/>
  <c r="BM24" i="107"/>
  <c r="T24" i="107"/>
  <c r="V24" i="107"/>
  <c r="H24" i="107"/>
  <c r="BQ24" i="107"/>
  <c r="W24" i="107"/>
  <c r="BG24" i="107"/>
  <c r="AR24" i="107"/>
  <c r="AO24" i="107"/>
  <c r="AX24" i="107"/>
  <c r="AV24" i="107"/>
  <c r="G24" i="107"/>
  <c r="S24" i="107"/>
  <c r="AF24" i="107"/>
  <c r="O24" i="107"/>
  <c r="AS24" i="107"/>
  <c r="Y24" i="107"/>
  <c r="BH24" i="107"/>
  <c r="BR24" i="107"/>
  <c r="BD24" i="107"/>
  <c r="AT24" i="107"/>
  <c r="BV24" i="107"/>
  <c r="BT24" i="107"/>
  <c r="BN24" i="107"/>
  <c r="AU24" i="107"/>
  <c r="BO24" i="107"/>
  <c r="AL24" i="107"/>
  <c r="AJ24" i="107"/>
  <c r="Z24" i="107"/>
  <c r="AZ24" i="107"/>
  <c r="N24" i="107"/>
  <c r="AI24" i="107"/>
  <c r="AE24" i="107"/>
  <c r="BA24" i="107"/>
  <c r="BF24" i="107"/>
  <c r="X24" i="107"/>
  <c r="AC24" i="107"/>
  <c r="R24" i="107"/>
  <c r="L24" i="107"/>
  <c r="J24" i="107"/>
  <c r="BJ24" i="107"/>
  <c r="BC24" i="107"/>
  <c r="U24" i="107"/>
  <c r="AG24" i="107"/>
  <c r="AQ24" i="107"/>
  <c r="Q24" i="107"/>
  <c r="I24" i="107"/>
  <c r="K24" i="107"/>
  <c r="BW24" i="107"/>
  <c r="AP24" i="107"/>
  <c r="AN24" i="107"/>
  <c r="AY24" i="107"/>
  <c r="AW24" i="107"/>
  <c r="F24" i="107"/>
  <c r="BE24" i="107"/>
  <c r="P24" i="107"/>
  <c r="BB24" i="107"/>
  <c r="AH24" i="107"/>
  <c r="BI24" i="107"/>
  <c r="BL24" i="107"/>
  <c r="BP24" i="107"/>
  <c r="BU24" i="107"/>
  <c r="AA24" i="107"/>
  <c r="BX20" i="107"/>
  <c r="D7" i="107" s="1"/>
  <c r="BX27" i="107"/>
  <c r="BX21" i="107" l="1"/>
  <c r="D13" i="107" s="1"/>
  <c r="BX24" i="107"/>
  <c r="D9" i="107" s="1"/>
  <c r="BX22" i="107"/>
  <c r="D8" i="107" s="1"/>
  <c r="F13" i="52" l="1"/>
  <c r="F21" i="52"/>
  <c r="F29" i="52"/>
  <c r="F14" i="52"/>
  <c r="F22" i="52"/>
  <c r="F7" i="52"/>
  <c r="F15" i="52"/>
  <c r="F23" i="52"/>
  <c r="F6" i="52"/>
  <c r="F8" i="52"/>
  <c r="F16" i="52"/>
  <c r="F24" i="52"/>
  <c r="F30" i="52"/>
  <c r="F9" i="52"/>
  <c r="F17" i="52"/>
  <c r="F25" i="52"/>
  <c r="F19" i="52"/>
  <c r="F27" i="52"/>
  <c r="F10" i="52"/>
  <c r="F18" i="52"/>
  <c r="F26" i="52"/>
  <c r="F11" i="52"/>
  <c r="F12" i="52"/>
  <c r="F20" i="52"/>
  <c r="F28" i="52"/>
  <c r="D12" i="107"/>
  <c r="D36" i="52" s="1"/>
  <c r="D37" i="52"/>
  <c r="D39" i="52"/>
  <c r="D40" i="52"/>
  <c r="D35" i="52"/>
  <c r="D38" i="52"/>
  <c r="BX25" i="107"/>
  <c r="D11" i="107" l="1"/>
  <c r="G25" i="52" l="1"/>
  <c r="G17" i="52"/>
  <c r="L40" i="132"/>
  <c r="L566" i="132" s="1"/>
  <c r="O40" i="132"/>
  <c r="O566" i="132" s="1"/>
  <c r="P40" i="132"/>
  <c r="P566" i="132" s="1"/>
  <c r="M40" i="132"/>
  <c r="M566" i="132" s="1"/>
  <c r="N40" i="132"/>
  <c r="N566" i="132" s="1"/>
  <c r="Q40" i="132"/>
  <c r="N569" i="132" l="1"/>
  <c r="N570" i="132" s="1"/>
  <c r="N573" i="132" s="1"/>
  <c r="N572" i="132" s="1"/>
  <c r="M569" i="132"/>
  <c r="M570" i="132" s="1"/>
  <c r="M573" i="132" s="1"/>
  <c r="M572" i="132" s="1"/>
  <c r="P569" i="132"/>
  <c r="P570" i="132" s="1"/>
  <c r="P573" i="132" s="1"/>
  <c r="P572" i="132" s="1"/>
  <c r="O569" i="132"/>
  <c r="O570" i="132" s="1"/>
  <c r="O573" i="132" s="1"/>
  <c r="O572" i="132" s="1"/>
  <c r="L569" i="132"/>
  <c r="L570" i="132" s="1"/>
  <c r="L573" i="132" s="1"/>
  <c r="Q41" i="132"/>
  <c r="Q566" i="132"/>
  <c r="M34" i="94"/>
  <c r="L34" i="94"/>
  <c r="K34" i="94"/>
  <c r="J34" i="94"/>
  <c r="I34" i="94"/>
  <c r="H34" i="94"/>
  <c r="G34" i="94"/>
  <c r="F34" i="94"/>
  <c r="E34" i="94"/>
  <c r="D34" i="94"/>
  <c r="C34" i="94"/>
  <c r="M33" i="94"/>
  <c r="L33" i="94"/>
  <c r="K33" i="94"/>
  <c r="J33" i="94"/>
  <c r="I33" i="94"/>
  <c r="H33" i="94"/>
  <c r="G33" i="94"/>
  <c r="F33" i="94"/>
  <c r="E33" i="94"/>
  <c r="D33" i="94"/>
  <c r="C33" i="94"/>
  <c r="M32" i="94"/>
  <c r="L32" i="94"/>
  <c r="K32" i="94"/>
  <c r="J32" i="94"/>
  <c r="I32" i="94"/>
  <c r="H32" i="94"/>
  <c r="G32" i="94"/>
  <c r="F32" i="94"/>
  <c r="E32" i="94"/>
  <c r="D32" i="94"/>
  <c r="C32" i="94"/>
  <c r="M31" i="94"/>
  <c r="L31" i="94"/>
  <c r="K31" i="94"/>
  <c r="J31" i="94"/>
  <c r="I31" i="94"/>
  <c r="H31" i="94"/>
  <c r="G31" i="94"/>
  <c r="F31" i="94"/>
  <c r="E31" i="94"/>
  <c r="D31" i="94"/>
  <c r="C31" i="94"/>
  <c r="M30" i="94"/>
  <c r="L30" i="94"/>
  <c r="K30" i="94"/>
  <c r="J30" i="94"/>
  <c r="I30" i="94"/>
  <c r="H30" i="94"/>
  <c r="G30" i="94"/>
  <c r="F30" i="94"/>
  <c r="E30" i="94"/>
  <c r="D30" i="94"/>
  <c r="C30" i="94"/>
  <c r="M29" i="94"/>
  <c r="L29" i="94"/>
  <c r="K29" i="94"/>
  <c r="J29" i="94"/>
  <c r="I29" i="94"/>
  <c r="H29" i="94"/>
  <c r="G29" i="94"/>
  <c r="F29" i="94"/>
  <c r="E29" i="94"/>
  <c r="D29" i="94"/>
  <c r="C29" i="94"/>
  <c r="M28" i="94"/>
  <c r="L28" i="94"/>
  <c r="K28" i="94"/>
  <c r="J28" i="94"/>
  <c r="I28" i="94"/>
  <c r="H28" i="94"/>
  <c r="G28" i="94"/>
  <c r="F28" i="94"/>
  <c r="E28" i="94"/>
  <c r="D28" i="94"/>
  <c r="C28" i="94"/>
  <c r="G35" i="94" l="1"/>
  <c r="Q569" i="132"/>
  <c r="Q570" i="132" s="1"/>
  <c r="Q573" i="132" s="1"/>
  <c r="Q572" i="132" s="1"/>
  <c r="F35" i="94"/>
  <c r="H35" i="94"/>
  <c r="I35" i="94"/>
  <c r="J35" i="94"/>
  <c r="C35" i="94"/>
  <c r="D35" i="141"/>
  <c r="K35" i="94"/>
  <c r="D35" i="94"/>
  <c r="L35" i="94"/>
  <c r="E35" i="94"/>
  <c r="E35" i="141"/>
  <c r="O41" i="132"/>
  <c r="O42" i="132" s="1"/>
  <c r="L41" i="132"/>
  <c r="L42" i="132" s="1"/>
  <c r="Q42" i="132"/>
  <c r="P41" i="132"/>
  <c r="P42" i="132" s="1"/>
  <c r="M41" i="132"/>
  <c r="M42" i="132" s="1"/>
  <c r="N41" i="132"/>
  <c r="N42" i="132" s="1"/>
  <c r="D39" i="141" l="1"/>
  <c r="D40" i="141"/>
  <c r="D36" i="141"/>
  <c r="E36" i="141"/>
  <c r="E39" i="141"/>
  <c r="E40" i="141"/>
  <c r="E43" i="141" l="1"/>
  <c r="E44" i="141"/>
  <c r="D44" i="141"/>
  <c r="F44" i="141" s="1"/>
  <c r="D43" i="141"/>
  <c r="F43" i="141" s="1"/>
  <c r="F40" i="141"/>
  <c r="F39" i="141"/>
  <c r="B36" i="52"/>
  <c r="B37" i="52" s="1"/>
  <c r="B38" i="52" s="1"/>
  <c r="B39" i="52" s="1"/>
  <c r="B40" i="52" s="1"/>
  <c r="D19" i="68" l="1"/>
  <c r="E19" i="68"/>
  <c r="F19" i="68"/>
  <c r="G19" i="68"/>
  <c r="H19" i="68"/>
  <c r="I19" i="68"/>
  <c r="J19" i="68"/>
  <c r="K19" i="68"/>
  <c r="L19" i="68"/>
  <c r="M19" i="68"/>
  <c r="N19" i="68"/>
  <c r="I102" i="132" l="1"/>
  <c r="P285" i="132" l="1"/>
  <c r="O634" i="132"/>
  <c r="P634" i="132"/>
  <c r="Q634" i="132"/>
  <c r="N285" i="132"/>
  <c r="Q285" i="132"/>
  <c r="N634" i="132"/>
  <c r="M285" i="132"/>
  <c r="M634" i="132"/>
  <c r="L285" i="132"/>
  <c r="O285" i="132"/>
  <c r="Q637" i="132" l="1"/>
  <c r="O637" i="132"/>
  <c r="N637" i="132"/>
  <c r="P637" i="132"/>
  <c r="L637" i="132"/>
  <c r="M637" i="132"/>
  <c r="Q288" i="132"/>
  <c r="P288" i="132"/>
  <c r="M288" i="132"/>
  <c r="L288" i="132"/>
  <c r="N288" i="132"/>
  <c r="O288" i="132"/>
  <c r="H29" i="52"/>
  <c r="H25" i="52"/>
  <c r="H21" i="52"/>
  <c r="G29" i="52"/>
  <c r="G21" i="52"/>
  <c r="H9" i="52"/>
  <c r="H13" i="52" l="1"/>
  <c r="D28" i="69" l="1"/>
  <c r="E12" i="37" l="1"/>
  <c r="F12" i="37"/>
  <c r="D12" i="37"/>
  <c r="D36" i="69" s="1"/>
  <c r="D37" i="69" s="1"/>
  <c r="D29" i="69" s="1"/>
  <c r="E28" i="69" s="1"/>
  <c r="G12" i="37"/>
  <c r="D30" i="69" l="1"/>
  <c r="D31" i="69" s="1"/>
  <c r="N33" i="68" l="1"/>
  <c r="F33" i="68"/>
  <c r="S19" i="27"/>
  <c r="S33" i="68"/>
  <c r="M33" i="68"/>
  <c r="E33" i="68"/>
  <c r="D33" i="68"/>
  <c r="R33" i="68"/>
  <c r="J33" i="68"/>
  <c r="Q33" i="68"/>
  <c r="I33" i="68"/>
  <c r="P33" i="68"/>
  <c r="H33" i="68"/>
  <c r="U19" i="27"/>
  <c r="U33" i="68"/>
  <c r="O33" i="68"/>
  <c r="G33" i="68"/>
  <c r="T19" i="27"/>
  <c r="T33" i="68"/>
  <c r="O19" i="27"/>
  <c r="G19" i="27"/>
  <c r="N19" i="27"/>
  <c r="F19" i="27"/>
  <c r="M19" i="27"/>
  <c r="E19" i="27"/>
  <c r="D19" i="27"/>
  <c r="C19" i="27"/>
  <c r="R19" i="27"/>
  <c r="J19" i="27"/>
  <c r="Q19" i="27"/>
  <c r="I19" i="27"/>
  <c r="P19" i="27"/>
  <c r="H19" i="27"/>
  <c r="C16" i="27"/>
  <c r="D16" i="27"/>
  <c r="D26" i="68" s="1" a="1"/>
  <c r="D26" i="68" s="1"/>
  <c r="K33" i="68"/>
  <c r="U16" i="27"/>
  <c r="U26" i="68" s="1" a="1"/>
  <c r="U26" i="68" s="1"/>
  <c r="T16" i="27"/>
  <c r="T26" i="68" s="1" a="1"/>
  <c r="T26" i="68" s="1"/>
  <c r="S16" i="27"/>
  <c r="S26" i="68" s="1" a="1"/>
  <c r="S26" i="68" s="1"/>
  <c r="U13" i="27"/>
  <c r="T13" i="27"/>
  <c r="S13" i="27"/>
  <c r="U27" i="68"/>
  <c r="T27" i="68"/>
  <c r="S27" i="68"/>
  <c r="U14" i="27"/>
  <c r="T14" i="27"/>
  <c r="S14" i="27"/>
  <c r="M16" i="27"/>
  <c r="M26" i="68" s="1" a="1"/>
  <c r="M26" i="68" s="1"/>
  <c r="H16" i="27"/>
  <c r="H26" i="68" s="1" a="1"/>
  <c r="H26" i="68" s="1"/>
  <c r="R16" i="27"/>
  <c r="R26" i="68" s="1" a="1"/>
  <c r="R26" i="68" s="1"/>
  <c r="J16" i="27"/>
  <c r="J26" i="68" s="1" a="1"/>
  <c r="J26" i="68" s="1"/>
  <c r="Q16" i="27"/>
  <c r="Q26" i="68" s="1" a="1"/>
  <c r="Q26" i="68" s="1"/>
  <c r="I16" i="27"/>
  <c r="I26" i="68" s="1" a="1"/>
  <c r="I26" i="68" s="1"/>
  <c r="P16" i="27"/>
  <c r="P26" i="68" s="1" a="1"/>
  <c r="P26" i="68" s="1"/>
  <c r="O16" i="27"/>
  <c r="O26" i="68" s="1" a="1"/>
  <c r="O26" i="68" s="1"/>
  <c r="G16" i="27"/>
  <c r="G26" i="68" s="1" a="1"/>
  <c r="G26" i="68" s="1"/>
  <c r="N16" i="27"/>
  <c r="N26" i="68" s="1" a="1"/>
  <c r="N26" i="68" s="1"/>
  <c r="M27" i="68"/>
  <c r="C27" i="68"/>
  <c r="R27" i="68"/>
  <c r="J27" i="68"/>
  <c r="R13" i="27"/>
  <c r="R14" i="27"/>
  <c r="J13" i="27"/>
  <c r="J14" i="27"/>
  <c r="Q27" i="68"/>
  <c r="I27" i="68"/>
  <c r="Q13" i="27"/>
  <c r="Q14" i="27"/>
  <c r="I13" i="27"/>
  <c r="I14" i="27"/>
  <c r="P27" i="68"/>
  <c r="H27" i="68"/>
  <c r="P13" i="27"/>
  <c r="P14" i="27"/>
  <c r="H13" i="27"/>
  <c r="H14" i="27"/>
  <c r="M13" i="27"/>
  <c r="M14" i="27"/>
  <c r="O27" i="68"/>
  <c r="G27" i="68"/>
  <c r="O13" i="27"/>
  <c r="O14" i="27"/>
  <c r="G13" i="27"/>
  <c r="G14" i="27"/>
  <c r="N27" i="68"/>
  <c r="N13" i="27"/>
  <c r="N14" i="27"/>
  <c r="X33" i="68" l="1"/>
  <c r="L33" i="68"/>
  <c r="L13" i="27"/>
  <c r="L27" i="68"/>
  <c r="L16" i="27"/>
  <c r="L26" i="68" s="1" a="1"/>
  <c r="L26" i="68" s="1"/>
  <c r="P22" i="68" a="1"/>
  <c r="P22" i="68" s="1"/>
  <c r="P22" i="27"/>
  <c r="J21" i="27"/>
  <c r="J32" i="68" a="1"/>
  <c r="J32" i="68" s="1"/>
  <c r="G21" i="27"/>
  <c r="G32" i="68" a="1"/>
  <c r="G32" i="68" s="1"/>
  <c r="G34" i="68" s="1"/>
  <c r="G36" i="68" s="1"/>
  <c r="O22" i="68" a="1"/>
  <c r="O22" i="68" s="1"/>
  <c r="O22" i="27"/>
  <c r="O38" i="68" s="1" a="1"/>
  <c r="O38" i="68" s="1"/>
  <c r="J23" i="68"/>
  <c r="J23" i="27"/>
  <c r="N23" i="68"/>
  <c r="N23" i="27"/>
  <c r="J22" i="68" a="1"/>
  <c r="J22" i="68" s="1"/>
  <c r="J22" i="27"/>
  <c r="J38" i="68" s="1" a="1"/>
  <c r="J38" i="68" s="1"/>
  <c r="S22" i="27"/>
  <c r="R21" i="27"/>
  <c r="R32" i="68" a="1"/>
  <c r="R32" i="68" s="1"/>
  <c r="R34" i="68" s="1"/>
  <c r="R36" i="68" s="1"/>
  <c r="O21" i="27"/>
  <c r="O32" i="68" a="1"/>
  <c r="O32" i="68" s="1"/>
  <c r="O34" i="68" s="1"/>
  <c r="O36" i="68" s="1"/>
  <c r="P23" i="68"/>
  <c r="P23" i="27"/>
  <c r="M23" i="68"/>
  <c r="M23" i="27"/>
  <c r="I23" i="68"/>
  <c r="I23" i="27"/>
  <c r="R23" i="68"/>
  <c r="R23" i="27"/>
  <c r="O23" i="68"/>
  <c r="O23" i="27"/>
  <c r="I22" i="68" a="1"/>
  <c r="I22" i="68" s="1"/>
  <c r="I22" i="27"/>
  <c r="R22" i="68" a="1"/>
  <c r="R22" i="68" s="1"/>
  <c r="R22" i="27"/>
  <c r="R38" i="68" s="1" a="1"/>
  <c r="R38" i="68" s="1"/>
  <c r="S23" i="68"/>
  <c r="S23" i="27"/>
  <c r="C26" i="68" a="1"/>
  <c r="C26" i="68" s="1"/>
  <c r="C28" i="68" s="1"/>
  <c r="D21" i="27"/>
  <c r="D32" i="68" a="1"/>
  <c r="D32" i="68" s="1"/>
  <c r="D34" i="68" s="1"/>
  <c r="D36" i="68" s="1"/>
  <c r="T21" i="27"/>
  <c r="T32" i="68" a="1"/>
  <c r="T32" i="68" s="1"/>
  <c r="T34" i="68" s="1"/>
  <c r="T36" i="68" s="1"/>
  <c r="M22" i="68" a="1"/>
  <c r="M22" i="68" s="1"/>
  <c r="M22" i="27"/>
  <c r="G23" i="68"/>
  <c r="G23" i="27"/>
  <c r="H23" i="68"/>
  <c r="H23" i="27"/>
  <c r="Q23" i="68"/>
  <c r="Q23" i="27"/>
  <c r="T23" i="68"/>
  <c r="T23" i="27"/>
  <c r="H21" i="27"/>
  <c r="H32" i="68" a="1"/>
  <c r="H32" i="68" s="1"/>
  <c r="H34" i="68" s="1"/>
  <c r="H36" i="68" s="1"/>
  <c r="E21" i="27"/>
  <c r="E32" i="68" a="1"/>
  <c r="E32" i="68" s="1"/>
  <c r="E34" i="68" s="1"/>
  <c r="E36" i="68" s="1"/>
  <c r="Y33" i="68"/>
  <c r="N22" i="68" a="1"/>
  <c r="N22" i="68" s="1"/>
  <c r="N22" i="27"/>
  <c r="N38" i="68" s="1" a="1"/>
  <c r="N38" i="68" s="1"/>
  <c r="G22" i="68" a="1"/>
  <c r="G22" i="68" s="1"/>
  <c r="G22" i="27"/>
  <c r="G38" i="68" s="1" a="1"/>
  <c r="G38" i="68" s="1"/>
  <c r="H22" i="68" a="1"/>
  <c r="H22" i="68" s="1"/>
  <c r="H22" i="27"/>
  <c r="H38" i="68" s="1" a="1"/>
  <c r="H38" i="68" s="1"/>
  <c r="Q22" i="68" a="1"/>
  <c r="Q22" i="68" s="1"/>
  <c r="Q22" i="27"/>
  <c r="U23" i="27"/>
  <c r="P21" i="27"/>
  <c r="P32" i="68" a="1"/>
  <c r="P32" i="68" s="1"/>
  <c r="P34" i="68" s="1"/>
  <c r="P36" i="68" s="1"/>
  <c r="M21" i="27"/>
  <c r="M32" i="68" a="1"/>
  <c r="M32" i="68" s="1"/>
  <c r="M34" i="68" s="1"/>
  <c r="M36" i="68" s="1"/>
  <c r="S21" i="27"/>
  <c r="S32" i="68" a="1"/>
  <c r="S32" i="68" s="1"/>
  <c r="S34" i="68" s="1"/>
  <c r="S36" i="68" s="1"/>
  <c r="I21" i="27"/>
  <c r="I32" i="68" a="1"/>
  <c r="I32" i="68" s="1"/>
  <c r="I34" i="68" s="1"/>
  <c r="I36" i="68" s="1"/>
  <c r="F21" i="27"/>
  <c r="F32" i="68" a="1"/>
  <c r="F32" i="68" s="1"/>
  <c r="Y20" i="27"/>
  <c r="V20" i="27"/>
  <c r="C33" i="68"/>
  <c r="W20" i="27"/>
  <c r="X20" i="27"/>
  <c r="Q21" i="27"/>
  <c r="Q32" i="68" a="1"/>
  <c r="Q32" i="68" s="1"/>
  <c r="Q34" i="68" s="1"/>
  <c r="Q36" i="68" s="1"/>
  <c r="N21" i="27"/>
  <c r="N32" i="68" a="1"/>
  <c r="N32" i="68" s="1"/>
  <c r="N34" i="68" s="1"/>
  <c r="N36" i="68" s="1"/>
  <c r="U21" i="27"/>
  <c r="U32" i="68" a="1"/>
  <c r="U32" i="68" s="1"/>
  <c r="U34" i="68" s="1"/>
  <c r="U36" i="68" s="1"/>
  <c r="X19" i="27"/>
  <c r="C21" i="27"/>
  <c r="Y19" i="27"/>
  <c r="C32" i="68" a="1"/>
  <c r="C32" i="68" s="1"/>
  <c r="U22" i="27"/>
  <c r="T22" i="68" a="1"/>
  <c r="T22" i="68" s="1"/>
  <c r="T22" i="27"/>
  <c r="T38" i="68" s="1" a="1"/>
  <c r="T38" i="68" s="1"/>
  <c r="K13" i="27"/>
  <c r="K19" i="27"/>
  <c r="D14" i="27"/>
  <c r="D13" i="27"/>
  <c r="L19" i="27"/>
  <c r="D27" i="68"/>
  <c r="K14" i="27"/>
  <c r="K27" i="68"/>
  <c r="K16" i="27"/>
  <c r="K26" i="68" s="1" a="1"/>
  <c r="K26" i="68" s="1"/>
  <c r="L14" i="27"/>
  <c r="U23" i="68"/>
  <c r="U22" i="68" a="1"/>
  <c r="U22" i="68" s="1"/>
  <c r="R28" i="68"/>
  <c r="R30" i="68" s="1"/>
  <c r="S22" i="68" a="1"/>
  <c r="S22" i="68" s="1"/>
  <c r="C13" i="27"/>
  <c r="C14" i="27"/>
  <c r="C23" i="27" s="1"/>
  <c r="Q38" i="68" a="1"/>
  <c r="Q38" i="68" s="1"/>
  <c r="I38" i="68" a="1"/>
  <c r="I38" i="68" s="1"/>
  <c r="M38" i="68" a="1"/>
  <c r="M38" i="68" s="1"/>
  <c r="P38" i="68" a="1"/>
  <c r="P38" i="68" s="1"/>
  <c r="O24" i="68" l="1"/>
  <c r="R24" i="68"/>
  <c r="N24" i="68"/>
  <c r="P24" i="68"/>
  <c r="V19" i="27"/>
  <c r="U24" i="27"/>
  <c r="W19" i="27"/>
  <c r="K23" i="68"/>
  <c r="K23" i="27"/>
  <c r="L21" i="27"/>
  <c r="L32" i="68" a="1"/>
  <c r="L32" i="68" s="1"/>
  <c r="L34" i="68" s="1"/>
  <c r="L36" i="68" s="1"/>
  <c r="V33" i="68"/>
  <c r="W33" i="68"/>
  <c r="L22" i="68" a="1"/>
  <c r="L22" i="68" s="1"/>
  <c r="L22" i="27"/>
  <c r="L38" i="68" s="1" a="1"/>
  <c r="L38" i="68" s="1"/>
  <c r="D22" i="68" a="1"/>
  <c r="D22" i="68" s="1"/>
  <c r="D22" i="27"/>
  <c r="D38" i="68" s="1" a="1"/>
  <c r="D38" i="68" s="1"/>
  <c r="J34" i="68"/>
  <c r="L23" i="68"/>
  <c r="L23" i="27"/>
  <c r="D23" i="68"/>
  <c r="D23" i="27"/>
  <c r="F34" i="68"/>
  <c r="X32" i="68"/>
  <c r="K21" i="27"/>
  <c r="K32" i="68" a="1"/>
  <c r="K32" i="68" s="1"/>
  <c r="K34" i="68" s="1"/>
  <c r="K36" i="68" s="1"/>
  <c r="Z21" i="27"/>
  <c r="K22" i="68" a="1"/>
  <c r="K22" i="68" s="1"/>
  <c r="K22" i="27"/>
  <c r="K38" i="68" s="1" a="1"/>
  <c r="K38" i="68" s="1"/>
  <c r="C34" i="68"/>
  <c r="C36" i="68" s="1"/>
  <c r="C22" i="68" a="1"/>
  <c r="C22" i="68" s="1"/>
  <c r="C22" i="27"/>
  <c r="C38" i="68" s="1" a="1"/>
  <c r="C38" i="68" s="1"/>
  <c r="X21" i="27"/>
  <c r="Y21" i="27"/>
  <c r="F14" i="27"/>
  <c r="F16" i="27"/>
  <c r="F26" i="68" s="1" a="1"/>
  <c r="F26" i="68" s="1"/>
  <c r="X26" i="68" s="1"/>
  <c r="F27" i="68"/>
  <c r="X27" i="68" s="1"/>
  <c r="F13" i="27"/>
  <c r="F22" i="27" s="1"/>
  <c r="C39" i="68"/>
  <c r="C23" i="68"/>
  <c r="E16" i="27"/>
  <c r="E26" i="68" s="1" a="1"/>
  <c r="E26" i="68" s="1"/>
  <c r="E13" i="27"/>
  <c r="E14" i="27"/>
  <c r="U38" i="68" a="1"/>
  <c r="U38" i="68" s="1"/>
  <c r="S38" i="68" a="1"/>
  <c r="S38" i="68" s="1"/>
  <c r="C15" i="27"/>
  <c r="O18" i="27"/>
  <c r="O28" i="68"/>
  <c r="O30" i="68" s="1"/>
  <c r="R18" i="27"/>
  <c r="H15" i="27"/>
  <c r="H24" i="68"/>
  <c r="T18" i="27"/>
  <c r="T28" i="68"/>
  <c r="T30" i="68" s="1"/>
  <c r="M18" i="27"/>
  <c r="M28" i="68"/>
  <c r="M30" i="68" s="1"/>
  <c r="S18" i="27"/>
  <c r="S28" i="68"/>
  <c r="S30" i="68" s="1"/>
  <c r="D18" i="27"/>
  <c r="D28" i="68"/>
  <c r="D30" i="68" s="1"/>
  <c r="Q18" i="27"/>
  <c r="Q28" i="68"/>
  <c r="Q30" i="68" s="1"/>
  <c r="L18" i="27"/>
  <c r="L28" i="68"/>
  <c r="L30" i="68" s="1"/>
  <c r="N18" i="27"/>
  <c r="N28" i="68"/>
  <c r="N30" i="68" s="1"/>
  <c r="P18" i="27"/>
  <c r="P28" i="68"/>
  <c r="P30" i="68" s="1"/>
  <c r="H18" i="27"/>
  <c r="H28" i="68"/>
  <c r="H30" i="68" s="1"/>
  <c r="J18" i="27"/>
  <c r="Q24" i="68"/>
  <c r="Y26" i="68"/>
  <c r="K18" i="27"/>
  <c r="K28" i="68"/>
  <c r="K30" i="68" s="1"/>
  <c r="K15" i="27"/>
  <c r="U18" i="27"/>
  <c r="U28" i="68"/>
  <c r="U30" i="68" s="1"/>
  <c r="G18" i="27"/>
  <c r="G28" i="68"/>
  <c r="G30" i="68" s="1"/>
  <c r="I18" i="27"/>
  <c r="I28" i="68"/>
  <c r="I30" i="68" s="1"/>
  <c r="L15" i="27"/>
  <c r="M24" i="68"/>
  <c r="S24" i="68"/>
  <c r="C18" i="27"/>
  <c r="R15" i="27"/>
  <c r="T24" i="68"/>
  <c r="P15" i="27"/>
  <c r="N15" i="27"/>
  <c r="I24" i="68"/>
  <c r="U24" i="68"/>
  <c r="Q15" i="27"/>
  <c r="D15" i="27"/>
  <c r="O15" i="27"/>
  <c r="L24" i="68" l="1"/>
  <c r="V21" i="27"/>
  <c r="K24" i="68"/>
  <c r="W21" i="27"/>
  <c r="Y22" i="68"/>
  <c r="D24" i="68"/>
  <c r="E22" i="27"/>
  <c r="E38" i="68" s="1" a="1"/>
  <c r="E38" i="68" s="1"/>
  <c r="Y32" i="68"/>
  <c r="E23" i="68"/>
  <c r="E23" i="27"/>
  <c r="E39" i="68" s="1"/>
  <c r="J36" i="68"/>
  <c r="Y36" i="68" s="1"/>
  <c r="Y34" i="68"/>
  <c r="W32" i="68"/>
  <c r="F23" i="68"/>
  <c r="X23" i="68" s="1"/>
  <c r="F23" i="27"/>
  <c r="F24" i="27" s="1"/>
  <c r="V32" i="68"/>
  <c r="X34" i="68"/>
  <c r="F36" i="68"/>
  <c r="X36" i="68" s="1"/>
  <c r="F28" i="68"/>
  <c r="W34" i="68"/>
  <c r="V34" i="68"/>
  <c r="W17" i="27"/>
  <c r="V17" i="27"/>
  <c r="E18" i="27"/>
  <c r="F18" i="27"/>
  <c r="Z18" i="27" s="1"/>
  <c r="V13" i="27"/>
  <c r="W13" i="27"/>
  <c r="E22" i="68" a="1"/>
  <c r="E22" i="68" s="1"/>
  <c r="F22" i="68" a="1"/>
  <c r="F22" i="68" s="1"/>
  <c r="F38" i="68" a="1"/>
  <c r="F38" i="68" s="1"/>
  <c r="W16" i="27"/>
  <c r="Y16" i="27"/>
  <c r="V16" i="27"/>
  <c r="X16" i="27"/>
  <c r="X17" i="27"/>
  <c r="E27" i="68"/>
  <c r="W27" i="68" s="1"/>
  <c r="Y17" i="27"/>
  <c r="X13" i="27"/>
  <c r="F15" i="27"/>
  <c r="Y14" i="27"/>
  <c r="E15" i="27"/>
  <c r="Y13" i="27"/>
  <c r="X14" i="27"/>
  <c r="C24" i="68"/>
  <c r="P24" i="27"/>
  <c r="P39" i="68"/>
  <c r="Y38" i="68"/>
  <c r="Q24" i="27"/>
  <c r="Q39" i="68"/>
  <c r="G24" i="68"/>
  <c r="L24" i="27"/>
  <c r="L39" i="68"/>
  <c r="Y27" i="68"/>
  <c r="R24" i="27"/>
  <c r="R39" i="68"/>
  <c r="K24" i="27"/>
  <c r="K39" i="68"/>
  <c r="O24" i="27"/>
  <c r="O39" i="68"/>
  <c r="J28" i="68"/>
  <c r="J30" i="68" s="1"/>
  <c r="Y30" i="68" s="1"/>
  <c r="D24" i="27"/>
  <c r="D39" i="68"/>
  <c r="C40" i="68"/>
  <c r="H24" i="27"/>
  <c r="H39" i="68"/>
  <c r="N24" i="27"/>
  <c r="N39" i="68"/>
  <c r="T15" i="27"/>
  <c r="M15" i="27"/>
  <c r="I15" i="27"/>
  <c r="C24" i="27"/>
  <c r="G15" i="27"/>
  <c r="U15" i="27"/>
  <c r="W14" i="27"/>
  <c r="V14" i="27"/>
  <c r="J15" i="27"/>
  <c r="S24" i="27"/>
  <c r="S15" i="27"/>
  <c r="W18" i="27" l="1"/>
  <c r="V36" i="68"/>
  <c r="W36" i="68"/>
  <c r="C12" i="116"/>
  <c r="R40" i="68"/>
  <c r="P40" i="68"/>
  <c r="H40" i="68"/>
  <c r="L40" i="68"/>
  <c r="Q40" i="68"/>
  <c r="C42" i="68"/>
  <c r="N40" i="68"/>
  <c r="O40" i="68"/>
  <c r="K40" i="68"/>
  <c r="D40" i="68"/>
  <c r="E24" i="68"/>
  <c r="X18" i="27"/>
  <c r="E40" i="68"/>
  <c r="X38" i="68"/>
  <c r="F30" i="68"/>
  <c r="X30" i="68" s="1"/>
  <c r="X28" i="68"/>
  <c r="F24" i="68"/>
  <c r="X24" i="68" s="1"/>
  <c r="X22" i="68"/>
  <c r="F39" i="68"/>
  <c r="V18" i="27"/>
  <c r="E24" i="27"/>
  <c r="Y18" i="27"/>
  <c r="V38" i="68"/>
  <c r="W38" i="68"/>
  <c r="V22" i="27"/>
  <c r="V27" i="68"/>
  <c r="Y22" i="27"/>
  <c r="W22" i="27"/>
  <c r="X22" i="27"/>
  <c r="X15" i="27"/>
  <c r="W22" i="68"/>
  <c r="Z15" i="27"/>
  <c r="Y15" i="27"/>
  <c r="V26" i="68"/>
  <c r="W26" i="68"/>
  <c r="E28" i="68"/>
  <c r="V22" i="68"/>
  <c r="Y23" i="27"/>
  <c r="X23" i="27"/>
  <c r="V23" i="68"/>
  <c r="U39" i="68"/>
  <c r="Y23" i="68"/>
  <c r="J24" i="68"/>
  <c r="T24" i="27"/>
  <c r="T39" i="68"/>
  <c r="Y28" i="68"/>
  <c r="M24" i="27"/>
  <c r="M39" i="68"/>
  <c r="G24" i="27"/>
  <c r="G39" i="68"/>
  <c r="I24" i="27"/>
  <c r="I39" i="68"/>
  <c r="S39" i="68"/>
  <c r="J24" i="27"/>
  <c r="J39" i="68"/>
  <c r="W23" i="68"/>
  <c r="W23" i="27"/>
  <c r="V15" i="27"/>
  <c r="W15" i="27"/>
  <c r="V23" i="27"/>
  <c r="X39" i="68" l="1"/>
  <c r="I100" i="132"/>
  <c r="I373" i="132"/>
  <c r="C11" i="116"/>
  <c r="S40" i="68"/>
  <c r="S42" i="68" s="1"/>
  <c r="T40" i="68"/>
  <c r="T42" i="68" s="1"/>
  <c r="U40" i="68"/>
  <c r="L42" i="68"/>
  <c r="I40" i="68"/>
  <c r="N42" i="68"/>
  <c r="H42" i="68"/>
  <c r="O42" i="68"/>
  <c r="G40" i="68"/>
  <c r="D42" i="68"/>
  <c r="P42" i="68"/>
  <c r="M40" i="68"/>
  <c r="J40" i="68"/>
  <c r="E42" i="68"/>
  <c r="K42" i="68"/>
  <c r="Q42" i="68"/>
  <c r="R42" i="68"/>
  <c r="F40" i="68"/>
  <c r="V28" i="68"/>
  <c r="E30" i="68"/>
  <c r="W28" i="68"/>
  <c r="Z24" i="27"/>
  <c r="Y24" i="27"/>
  <c r="X24" i="27"/>
  <c r="C12" i="68"/>
  <c r="V24" i="27"/>
  <c r="W24" i="27"/>
  <c r="Y24" i="68"/>
  <c r="W24" i="68"/>
  <c r="V24" i="68"/>
  <c r="W39" i="68"/>
  <c r="V39" i="68"/>
  <c r="Y39" i="68"/>
  <c r="I99" i="132" l="1"/>
  <c r="I372" i="132"/>
  <c r="U42" i="68"/>
  <c r="J42" i="68"/>
  <c r="G42" i="68"/>
  <c r="I42" i="68"/>
  <c r="M42" i="68"/>
  <c r="V30" i="68"/>
  <c r="W30" i="68"/>
  <c r="X40" i="68"/>
  <c r="C10" i="68" s="1"/>
  <c r="F42" i="68"/>
  <c r="Y40" i="68"/>
  <c r="V40" i="68"/>
  <c r="W40" i="68"/>
  <c r="C13" i="116" l="1"/>
  <c r="Y42" i="68"/>
  <c r="X42" i="68"/>
  <c r="W42" i="68"/>
  <c r="V42" i="68"/>
  <c r="C11" i="68"/>
  <c r="I101" i="132" l="1"/>
  <c r="I374" i="132"/>
  <c r="C13" i="68"/>
  <c r="G31" i="52" l="1"/>
  <c r="C17" i="49" s="1"/>
  <c r="C18" i="49" s="1"/>
  <c r="C19" i="49" s="1"/>
  <c r="H17" i="52"/>
  <c r="H31" i="52" s="1"/>
  <c r="D17" i="49" l="1"/>
  <c r="D18" i="49" s="1"/>
  <c r="D19" i="49" s="1"/>
  <c r="E30" i="69" l="1"/>
  <c r="E31" i="69" l="1"/>
  <c r="C24" i="69" s="1"/>
  <c r="E32" i="69" s="1"/>
  <c r="I453" i="132" s="1"/>
  <c r="E36" i="52" l="1"/>
  <c r="E38" i="52"/>
  <c r="E37" i="52"/>
  <c r="E40" i="52"/>
  <c r="C10" i="116"/>
  <c r="I371" i="132" s="1"/>
  <c r="E35" i="52"/>
  <c r="E39" i="52"/>
  <c r="I179" i="132" l="1"/>
  <c r="E41" i="52"/>
  <c r="G12" i="69" l="1"/>
  <c r="F12" i="69"/>
  <c r="H12" i="69"/>
  <c r="L22" i="132"/>
  <c r="Q22" i="132"/>
  <c r="Q16" i="132" s="1"/>
  <c r="P22" i="132"/>
  <c r="P16" i="132" s="1"/>
  <c r="M22" i="132"/>
  <c r="M16" i="132" s="1"/>
  <c r="N22" i="132"/>
  <c r="N16" i="132" s="1"/>
  <c r="O22" i="132"/>
  <c r="O16" i="132" s="1"/>
  <c r="E12" i="69"/>
  <c r="E13" i="69" s="1"/>
  <c r="N144" i="132"/>
  <c r="N87" i="132" l="1"/>
  <c r="N88" i="132"/>
  <c r="M87" i="132"/>
  <c r="M88" i="132"/>
  <c r="P87" i="132"/>
  <c r="P88" i="132"/>
  <c r="Q88" i="132"/>
  <c r="Q87" i="132"/>
  <c r="O88" i="132"/>
  <c r="O87" i="132"/>
  <c r="L93" i="132"/>
  <c r="L92" i="132"/>
  <c r="L16" i="132"/>
  <c r="P92" i="132"/>
  <c r="P93" i="132"/>
  <c r="O92" i="132"/>
  <c r="O93" i="132"/>
  <c r="Q92" i="132"/>
  <c r="Q93" i="132"/>
  <c r="N92" i="132"/>
  <c r="N93" i="132"/>
  <c r="M92" i="132"/>
  <c r="M93" i="132"/>
  <c r="F13" i="69"/>
  <c r="F17" i="69" s="1"/>
  <c r="G13" i="69"/>
  <c r="G16" i="69" s="1"/>
  <c r="H13" i="69"/>
  <c r="H15" i="69" s="1"/>
  <c r="N157" i="132"/>
  <c r="N159" i="132"/>
  <c r="N158" i="132"/>
  <c r="P59" i="132"/>
  <c r="N145" i="132"/>
  <c r="E17" i="69"/>
  <c r="M59" i="132"/>
  <c r="N59" i="132"/>
  <c r="O59" i="132"/>
  <c r="N418" i="132"/>
  <c r="N431" i="132" s="1"/>
  <c r="N434" i="132" s="1"/>
  <c r="O418" i="132"/>
  <c r="O431" i="132" s="1"/>
  <c r="O434" i="132" s="1"/>
  <c r="Q418" i="132"/>
  <c r="L418" i="132"/>
  <c r="L419" i="132" s="1"/>
  <c r="M418" i="132"/>
  <c r="P418" i="132"/>
  <c r="P431" i="132" s="1"/>
  <c r="P434" i="132" s="1"/>
  <c r="O144" i="132"/>
  <c r="P144" i="132"/>
  <c r="Q144" i="132"/>
  <c r="M144" i="132"/>
  <c r="L88" i="132" l="1"/>
  <c r="L87" i="132"/>
  <c r="Q56" i="132"/>
  <c r="P56" i="132"/>
  <c r="H16" i="69"/>
  <c r="O56" i="132"/>
  <c r="N56" i="132"/>
  <c r="P58" i="132"/>
  <c r="N58" i="132"/>
  <c r="M58" i="132"/>
  <c r="L58" i="132"/>
  <c r="Q58" i="132"/>
  <c r="L56" i="132"/>
  <c r="G17" i="69"/>
  <c r="G19" i="69" s="1"/>
  <c r="M56" i="132"/>
  <c r="N57" i="132"/>
  <c r="H17" i="69"/>
  <c r="F16" i="69"/>
  <c r="F19" i="69" s="1"/>
  <c r="M57" i="132"/>
  <c r="L57" i="132"/>
  <c r="O58" i="132"/>
  <c r="Q57" i="132"/>
  <c r="P57" i="132"/>
  <c r="O57" i="132"/>
  <c r="Q89" i="132"/>
  <c r="L431" i="132"/>
  <c r="L434" i="132" s="1"/>
  <c r="M431" i="132"/>
  <c r="M434" i="132" s="1"/>
  <c r="M511" i="132"/>
  <c r="G15" i="69"/>
  <c r="D15" i="69"/>
  <c r="F15" i="69"/>
  <c r="E15" i="69"/>
  <c r="O158" i="132"/>
  <c r="O159" i="132"/>
  <c r="O157" i="132"/>
  <c r="O160" i="132" s="1"/>
  <c r="O163" i="132" s="1"/>
  <c r="M159" i="132"/>
  <c r="M158" i="132"/>
  <c r="M157" i="132"/>
  <c r="M160" i="132" s="1"/>
  <c r="M163" i="132" s="1"/>
  <c r="P158" i="132"/>
  <c r="P159" i="132"/>
  <c r="P157" i="132"/>
  <c r="P160" i="132" s="1"/>
  <c r="P163" i="132" s="1"/>
  <c r="Q158" i="132"/>
  <c r="Q159" i="132"/>
  <c r="Q157" i="132"/>
  <c r="Q160" i="132" s="1"/>
  <c r="Q163" i="132" s="1"/>
  <c r="Q432" i="132"/>
  <c r="Q431" i="132"/>
  <c r="Q434" i="132" s="1"/>
  <c r="L433" i="132"/>
  <c r="L432" i="132"/>
  <c r="O433" i="132"/>
  <c r="O432" i="132"/>
  <c r="N433" i="132"/>
  <c r="N432" i="132"/>
  <c r="P433" i="132"/>
  <c r="P432" i="132"/>
  <c r="M433" i="132"/>
  <c r="M432" i="132"/>
  <c r="Q511" i="132"/>
  <c r="Q433" i="132"/>
  <c r="O269" i="132"/>
  <c r="P269" i="132"/>
  <c r="N269" i="132"/>
  <c r="Q269" i="132"/>
  <c r="M269" i="132"/>
  <c r="L269" i="132"/>
  <c r="P425" i="132"/>
  <c r="P511" i="132"/>
  <c r="O425" i="132"/>
  <c r="O511" i="132"/>
  <c r="N425" i="132"/>
  <c r="N511" i="132"/>
  <c r="M425" i="132"/>
  <c r="L445" i="132"/>
  <c r="L511" i="132"/>
  <c r="Q445" i="132"/>
  <c r="Q425" i="132"/>
  <c r="O521" i="132"/>
  <c r="O445" i="132"/>
  <c r="P521" i="132"/>
  <c r="P445" i="132"/>
  <c r="N521" i="132"/>
  <c r="N445" i="132"/>
  <c r="M521" i="132"/>
  <c r="M445" i="132"/>
  <c r="Q521" i="132"/>
  <c r="L521" i="132"/>
  <c r="E16" i="69"/>
  <c r="E19" i="69" s="1"/>
  <c r="L59" i="132"/>
  <c r="Q59" i="132"/>
  <c r="D17" i="69"/>
  <c r="P419" i="132"/>
  <c r="M419" i="132"/>
  <c r="Q419" i="132"/>
  <c r="O419" i="132"/>
  <c r="N419" i="132"/>
  <c r="N148" i="132"/>
  <c r="Q146" i="132"/>
  <c r="Q145" i="132"/>
  <c r="Q147" i="132"/>
  <c r="M145" i="132"/>
  <c r="P145" i="132"/>
  <c r="O145" i="132"/>
  <c r="M531" i="132"/>
  <c r="L531" i="132"/>
  <c r="P531" i="132"/>
  <c r="Q531" i="132"/>
  <c r="O531" i="132"/>
  <c r="N531" i="132"/>
  <c r="Q290" i="132"/>
  <c r="L289" i="132"/>
  <c r="L290" i="132"/>
  <c r="M290" i="132"/>
  <c r="N290" i="132"/>
  <c r="M289" i="132"/>
  <c r="N289" i="132"/>
  <c r="O290" i="132"/>
  <c r="O289" i="132"/>
  <c r="P289" i="132"/>
  <c r="Q289" i="132"/>
  <c r="P290" i="132"/>
  <c r="N160" i="132"/>
  <c r="N163" i="132" s="1"/>
  <c r="L163" i="132"/>
  <c r="L329" i="132"/>
  <c r="H19" i="69" l="1"/>
  <c r="L147" i="132"/>
  <c r="L150" i="132" s="1"/>
  <c r="L162" i="132"/>
  <c r="L165" i="132" s="1"/>
  <c r="L161" i="132"/>
  <c r="L164" i="132" s="1"/>
  <c r="L89" i="132"/>
  <c r="L146" i="132"/>
  <c r="L149" i="132" s="1"/>
  <c r="P437" i="132"/>
  <c r="M437" i="132"/>
  <c r="N437" i="132"/>
  <c r="O437" i="132"/>
  <c r="L437" i="132"/>
  <c r="Q437" i="132"/>
  <c r="Q150" i="132"/>
  <c r="Q162" i="132"/>
  <c r="Q165" i="132" s="1"/>
  <c r="N154" i="132"/>
  <c r="D16" i="69"/>
  <c r="D19" i="69" s="1"/>
  <c r="M148" i="132"/>
  <c r="M154" i="132" s="1"/>
  <c r="O148" i="132"/>
  <c r="O154" i="132" s="1"/>
  <c r="Q148" i="132"/>
  <c r="Q161" i="132"/>
  <c r="Q164" i="132" s="1"/>
  <c r="Q149" i="132"/>
  <c r="P148" i="132"/>
  <c r="P154" i="132" s="1"/>
  <c r="O422" i="132"/>
  <c r="M422" i="132"/>
  <c r="Q422" i="132"/>
  <c r="P422" i="132"/>
  <c r="N422" i="132"/>
  <c r="N428" i="132" s="1"/>
  <c r="L422" i="132"/>
  <c r="L428" i="132" s="1"/>
  <c r="Q291" i="132"/>
  <c r="Q293" i="132" s="1"/>
  <c r="Q270" i="132"/>
  <c r="O291" i="132"/>
  <c r="O295" i="132" s="1"/>
  <c r="O332" i="132" s="1"/>
  <c r="P291" i="132"/>
  <c r="P293" i="132" s="1"/>
  <c r="O270" i="132"/>
  <c r="O279" i="132" s="1"/>
  <c r="O331" i="132" s="1"/>
  <c r="P270" i="132"/>
  <c r="M270" i="132"/>
  <c r="M278" i="132" s="1"/>
  <c r="M319" i="132" s="1"/>
  <c r="N270" i="132"/>
  <c r="M291" i="132"/>
  <c r="L291" i="132"/>
  <c r="N291" i="132"/>
  <c r="L270" i="132"/>
  <c r="L166" i="132" l="1"/>
  <c r="L170" i="132" s="1"/>
  <c r="L326" i="132" s="1"/>
  <c r="L152" i="132"/>
  <c r="L305" i="132" s="1"/>
  <c r="Q308" i="132"/>
  <c r="P308" i="132"/>
  <c r="Q152" i="132"/>
  <c r="Q305" i="132" s="1"/>
  <c r="O428" i="132"/>
  <c r="O678" i="132" s="1"/>
  <c r="M428" i="132"/>
  <c r="M678" i="132" s="1"/>
  <c r="P428" i="132"/>
  <c r="P678" i="132" s="1"/>
  <c r="Q428" i="132"/>
  <c r="Q154" i="132"/>
  <c r="N329" i="132"/>
  <c r="N678" i="132"/>
  <c r="L678" i="132"/>
  <c r="L722" i="132" s="1"/>
  <c r="L279" i="132"/>
  <c r="L331" i="132" s="1"/>
  <c r="L278" i="132"/>
  <c r="L319" i="132" s="1"/>
  <c r="M329" i="132"/>
  <c r="Q166" i="132"/>
  <c r="Q170" i="132" s="1"/>
  <c r="Q326" i="132" s="1"/>
  <c r="Q295" i="132"/>
  <c r="Q332" i="132" s="1"/>
  <c r="Q294" i="132"/>
  <c r="Q320" i="132" s="1"/>
  <c r="Q279" i="132"/>
  <c r="Q331" i="132" s="1"/>
  <c r="Q278" i="132"/>
  <c r="Q319" i="132" s="1"/>
  <c r="O293" i="132"/>
  <c r="P294" i="132"/>
  <c r="P320" i="132" s="1"/>
  <c r="O294" i="132"/>
  <c r="O320" i="132" s="1"/>
  <c r="P295" i="132"/>
  <c r="P332" i="132" s="1"/>
  <c r="P279" i="132"/>
  <c r="P331" i="132" s="1"/>
  <c r="O278" i="132"/>
  <c r="O319" i="132" s="1"/>
  <c r="M279" i="132"/>
  <c r="M331" i="132" s="1"/>
  <c r="P278" i="132"/>
  <c r="P319" i="132" s="1"/>
  <c r="N279" i="132"/>
  <c r="N331" i="132" s="1"/>
  <c r="N278" i="132"/>
  <c r="N319" i="132" s="1"/>
  <c r="N295" i="132"/>
  <c r="N332" i="132" s="1"/>
  <c r="N293" i="132"/>
  <c r="N294" i="132"/>
  <c r="N320" i="132" s="1"/>
  <c r="L294" i="132"/>
  <c r="L320" i="132" s="1"/>
  <c r="L295" i="132"/>
  <c r="L332" i="132" s="1"/>
  <c r="L293" i="132"/>
  <c r="M293" i="132"/>
  <c r="M295" i="132"/>
  <c r="M332" i="132" s="1"/>
  <c r="M294" i="132"/>
  <c r="M320" i="132" s="1"/>
  <c r="L168" i="132" l="1"/>
  <c r="L302" i="132" s="1"/>
  <c r="L169" i="132"/>
  <c r="L314" i="132" s="1"/>
  <c r="L153" i="132"/>
  <c r="L317" i="132" s="1"/>
  <c r="N308" i="132"/>
  <c r="O308" i="132"/>
  <c r="M308" i="132"/>
  <c r="L308" i="132"/>
  <c r="Q153" i="132"/>
  <c r="Q317" i="132" s="1"/>
  <c r="Q329" i="132"/>
  <c r="Q678" i="132"/>
  <c r="M722" i="132"/>
  <c r="N722" i="132"/>
  <c r="P329" i="132"/>
  <c r="P722" i="132" s="1"/>
  <c r="O329" i="132"/>
  <c r="O722" i="132" s="1"/>
  <c r="Q168" i="132"/>
  <c r="Q169" i="132"/>
  <c r="Q314" i="132" s="1"/>
  <c r="L171" i="132" l="1"/>
  <c r="Q302" i="132"/>
  <c r="Q722" i="132"/>
  <c r="H722" i="132" s="1"/>
  <c r="I722" i="132" l="1"/>
  <c r="E46" i="136" s="1"/>
  <c r="AH722" i="132"/>
  <c r="E16" i="136"/>
  <c r="T722" i="132"/>
  <c r="U722" i="132"/>
  <c r="Y722" i="132"/>
  <c r="AE722" i="132"/>
  <c r="V722" i="132"/>
  <c r="AB722" i="132"/>
  <c r="AA722" i="132"/>
  <c r="R722" i="132"/>
  <c r="Z722" i="132"/>
  <c r="AF722" i="132"/>
  <c r="AD722" i="132"/>
  <c r="AG722" i="132"/>
  <c r="X722" i="132"/>
  <c r="S722" i="132"/>
  <c r="W722" i="132"/>
  <c r="AC722" i="132"/>
  <c r="J722" i="132" l="1"/>
  <c r="M85" i="132" l="1"/>
  <c r="M362" i="132"/>
  <c r="M162" i="132" l="1"/>
  <c r="M165" i="132" s="1"/>
  <c r="M147" i="132"/>
  <c r="M150" i="132" s="1"/>
  <c r="M89" i="132" l="1"/>
  <c r="M161" i="132"/>
  <c r="M164" i="132" s="1"/>
  <c r="M166" i="132" s="1"/>
  <c r="M170" i="132" s="1"/>
  <c r="M326" i="132" s="1"/>
  <c r="M146" i="132"/>
  <c r="M149" i="132" s="1"/>
  <c r="M152" i="132" s="1"/>
  <c r="M168" i="132" l="1"/>
  <c r="M302" i="132" s="1"/>
  <c r="M169" i="132"/>
  <c r="M314" i="132" s="1"/>
  <c r="M305" i="132"/>
  <c r="M153" i="132"/>
  <c r="M317" i="132" s="1"/>
  <c r="P362" i="132" l="1"/>
  <c r="O85" i="132"/>
  <c r="P85" i="132"/>
  <c r="N362" i="132"/>
  <c r="N85" i="132"/>
  <c r="O362" i="132"/>
  <c r="P89" i="132" l="1"/>
  <c r="N147" i="132"/>
  <c r="N150" i="132" s="1"/>
  <c r="P161" i="132"/>
  <c r="P164" i="132" s="1"/>
  <c r="P146" i="132"/>
  <c r="P149" i="132" s="1"/>
  <c r="O147" i="132"/>
  <c r="O150" i="132" s="1"/>
  <c r="O162" i="132"/>
  <c r="O165" i="132" s="1"/>
  <c r="N162" i="132"/>
  <c r="N165" i="132" s="1"/>
  <c r="N89" i="132" l="1"/>
  <c r="O89" i="132"/>
  <c r="N161" i="132"/>
  <c r="N164" i="132" s="1"/>
  <c r="N166" i="132" s="1"/>
  <c r="N170" i="132" s="1"/>
  <c r="N326" i="132" s="1"/>
  <c r="N146" i="132"/>
  <c r="N149" i="132" s="1"/>
  <c r="N152" i="132" s="1"/>
  <c r="N305" i="132" s="1"/>
  <c r="P147" i="132"/>
  <c r="P150" i="132" s="1"/>
  <c r="P162" i="132"/>
  <c r="P165" i="132" s="1"/>
  <c r="P166" i="132" s="1"/>
  <c r="O146" i="132"/>
  <c r="O149" i="132" s="1"/>
  <c r="O161" i="132"/>
  <c r="O164" i="132" s="1"/>
  <c r="O166" i="132" s="1"/>
  <c r="N168" i="132" l="1"/>
  <c r="N302" i="132" s="1"/>
  <c r="N169" i="132"/>
  <c r="N314" i="132" s="1"/>
  <c r="O168" i="132"/>
  <c r="O170" i="132"/>
  <c r="O326" i="132" s="1"/>
  <c r="O169" i="132"/>
  <c r="O314" i="132" s="1"/>
  <c r="O152" i="132"/>
  <c r="O305" i="132" s="1"/>
  <c r="P169" i="132"/>
  <c r="P314" i="132" s="1"/>
  <c r="P170" i="132"/>
  <c r="P326" i="132" s="1"/>
  <c r="P168" i="132"/>
  <c r="P152" i="132"/>
  <c r="P305" i="132" s="1"/>
  <c r="N153" i="132"/>
  <c r="N317" i="132" s="1"/>
  <c r="P153" i="132" l="1"/>
  <c r="P317" i="132" s="1"/>
  <c r="P302" i="132"/>
  <c r="O153" i="132"/>
  <c r="O317" i="132" s="1"/>
  <c r="O302" i="132"/>
  <c r="L572" i="132" l="1"/>
  <c r="C6" i="152"/>
  <c r="AM23" i="147"/>
  <c r="AM24" i="147" s="1"/>
  <c r="E4" i="152" l="1"/>
  <c r="C57" i="116" s="1"/>
  <c r="D4" i="152"/>
  <c r="G4" i="152"/>
  <c r="E57" i="116" s="1"/>
  <c r="N453" i="132" s="1"/>
  <c r="H4" i="152"/>
  <c r="F57" i="116" s="1"/>
  <c r="O7" i="132" s="1"/>
  <c r="O374" i="132" s="1"/>
  <c r="O382" i="132" s="1"/>
  <c r="O520" i="132" s="1"/>
  <c r="I4" i="152"/>
  <c r="G57" i="116" s="1"/>
  <c r="P453" i="132" s="1"/>
  <c r="F4" i="152"/>
  <c r="D57" i="116" s="1"/>
  <c r="M7" i="132" s="1"/>
  <c r="M371" i="132" s="1"/>
  <c r="M379" i="132" s="1"/>
  <c r="AM33" i="147"/>
  <c r="AM34" i="147" s="1"/>
  <c r="L7" i="132" l="1"/>
  <c r="L179" i="132" s="1"/>
  <c r="L453" i="132"/>
  <c r="O371" i="132"/>
  <c r="O379" i="132" s="1"/>
  <c r="O389" i="132" s="1"/>
  <c r="O453" i="132"/>
  <c r="O179" i="132"/>
  <c r="N63" i="134" s="1"/>
  <c r="O375" i="132"/>
  <c r="O373" i="132"/>
  <c r="O381" i="132" s="1"/>
  <c r="O510" i="132" s="1"/>
  <c r="O102" i="132"/>
  <c r="O236" i="132"/>
  <c r="O238" i="132" s="1"/>
  <c r="P7" i="132"/>
  <c r="P373" i="132" s="1"/>
  <c r="N7" i="132"/>
  <c r="N179" i="132" s="1"/>
  <c r="F37" i="130" s="1"/>
  <c r="F38" i="130" s="1"/>
  <c r="L61" i="134"/>
  <c r="M372" i="132"/>
  <c r="M380" i="132" s="1"/>
  <c r="M383" i="132" s="1"/>
  <c r="M386" i="132" s="1"/>
  <c r="M392" i="132" s="1"/>
  <c r="M677" i="132" s="1"/>
  <c r="O101" i="132"/>
  <c r="O108" i="132" s="1"/>
  <c r="O111" i="132" s="1"/>
  <c r="O114" i="132" s="1"/>
  <c r="O242" i="132"/>
  <c r="O99" i="132"/>
  <c r="O106" i="132" s="1"/>
  <c r="O109" i="132" s="1"/>
  <c r="O112" i="132" s="1"/>
  <c r="O118" i="132" s="1"/>
  <c r="O328" i="132" s="1"/>
  <c r="M102" i="132"/>
  <c r="O372" i="132"/>
  <c r="O380" i="132" s="1"/>
  <c r="O383" i="132" s="1"/>
  <c r="O386" i="132" s="1"/>
  <c r="O392" i="132" s="1"/>
  <c r="O677" i="132" s="1"/>
  <c r="O100" i="132"/>
  <c r="O107" i="132" s="1"/>
  <c r="O110" i="132" s="1"/>
  <c r="O113" i="132" s="1"/>
  <c r="N61" i="134"/>
  <c r="M389" i="132"/>
  <c r="M409" i="132"/>
  <c r="O530" i="132"/>
  <c r="M99" i="132"/>
  <c r="M106" i="132" s="1"/>
  <c r="M109" i="132" s="1"/>
  <c r="M112" i="132" s="1"/>
  <c r="M118" i="132" s="1"/>
  <c r="M328" i="132" s="1"/>
  <c r="M242" i="132"/>
  <c r="M374" i="132"/>
  <c r="M382" i="132" s="1"/>
  <c r="M520" i="132" s="1"/>
  <c r="M179" i="132"/>
  <c r="M101" i="132"/>
  <c r="M108" i="132" s="1"/>
  <c r="M111" i="132" s="1"/>
  <c r="M114" i="132" s="1"/>
  <c r="M236" i="132"/>
  <c r="M238" i="132" s="1"/>
  <c r="M373" i="132"/>
  <c r="M453" i="132"/>
  <c r="M457" i="132" s="1"/>
  <c r="M375" i="132"/>
  <c r="M100" i="132"/>
  <c r="M107" i="132" s="1"/>
  <c r="M110" i="132" s="1"/>
  <c r="M113" i="132" s="1"/>
  <c r="AM35" i="147"/>
  <c r="AM37" i="147" s="1"/>
  <c r="J8" i="152" s="1"/>
  <c r="J6" i="152" s="1"/>
  <c r="J4" i="152" s="1"/>
  <c r="H57" i="116" s="1"/>
  <c r="O397" i="132"/>
  <c r="M530" i="132"/>
  <c r="O459" i="132"/>
  <c r="O457" i="132"/>
  <c r="O458" i="132"/>
  <c r="O237" i="132"/>
  <c r="N457" i="132"/>
  <c r="N459" i="132"/>
  <c r="N458" i="132"/>
  <c r="P459" i="132"/>
  <c r="P457" i="132"/>
  <c r="P458" i="132"/>
  <c r="N375" i="132"/>
  <c r="N373" i="132"/>
  <c r="N99" i="132"/>
  <c r="N374" i="132"/>
  <c r="L242" i="132"/>
  <c r="L459" i="132"/>
  <c r="L457" i="132"/>
  <c r="L458" i="132"/>
  <c r="O409" i="132" l="1"/>
  <c r="O180" i="132"/>
  <c r="O183" i="132"/>
  <c r="O184" i="132"/>
  <c r="M237" i="132"/>
  <c r="G37" i="130"/>
  <c r="G38" i="130" s="1"/>
  <c r="O185" i="132"/>
  <c r="O190" i="132" s="1"/>
  <c r="O195" i="132" s="1"/>
  <c r="L375" i="132"/>
  <c r="L371" i="132"/>
  <c r="L379" i="132" s="1"/>
  <c r="L409" i="132" s="1"/>
  <c r="L101" i="132"/>
  <c r="L108" i="132" s="1"/>
  <c r="L111" i="132" s="1"/>
  <c r="L114" i="132" s="1"/>
  <c r="L373" i="132"/>
  <c r="L381" i="132" s="1"/>
  <c r="L510" i="132" s="1"/>
  <c r="L236" i="132"/>
  <c r="L239" i="132" s="1"/>
  <c r="L100" i="132"/>
  <c r="L107" i="132" s="1"/>
  <c r="L110" i="132" s="1"/>
  <c r="L113" i="132" s="1"/>
  <c r="L372" i="132"/>
  <c r="L380" i="132" s="1"/>
  <c r="L383" i="132" s="1"/>
  <c r="L386" i="132" s="1"/>
  <c r="L392" i="132" s="1"/>
  <c r="L677" i="132" s="1"/>
  <c r="K61" i="134"/>
  <c r="L102" i="132"/>
  <c r="M239" i="132"/>
  <c r="L99" i="132"/>
  <c r="L106" i="132" s="1"/>
  <c r="L109" i="132" s="1"/>
  <c r="L112" i="132" s="1"/>
  <c r="L374" i="132"/>
  <c r="L382" i="132" s="1"/>
  <c r="L520" i="132" s="1"/>
  <c r="P375" i="132"/>
  <c r="O61" i="134"/>
  <c r="O121" i="132"/>
  <c r="O124" i="132" s="1"/>
  <c r="O127" i="132" s="1"/>
  <c r="P374" i="132"/>
  <c r="P382" i="132" s="1"/>
  <c r="P520" i="132" s="1"/>
  <c r="P242" i="132"/>
  <c r="O123" i="132"/>
  <c r="O126" i="132" s="1"/>
  <c r="O129" i="132" s="1"/>
  <c r="O396" i="132"/>
  <c r="P101" i="132"/>
  <c r="P108" i="132" s="1"/>
  <c r="P111" i="132" s="1"/>
  <c r="P114" i="132" s="1"/>
  <c r="O239" i="132"/>
  <c r="P236" i="132"/>
  <c r="P239" i="132" s="1"/>
  <c r="O244" i="132"/>
  <c r="O246" i="132" s="1"/>
  <c r="P179" i="132"/>
  <c r="P185" i="132" s="1"/>
  <c r="L63" i="134"/>
  <c r="E49" i="130" s="1"/>
  <c r="E37" i="130"/>
  <c r="D37" i="130" s="1"/>
  <c r="D38" i="130" s="1"/>
  <c r="N102" i="132"/>
  <c r="M61" i="134"/>
  <c r="P100" i="132"/>
  <c r="P107" i="132" s="1"/>
  <c r="P110" i="132" s="1"/>
  <c r="P113" i="132" s="1"/>
  <c r="N100" i="132"/>
  <c r="N107" i="132" s="1"/>
  <c r="N110" i="132" s="1"/>
  <c r="N113" i="132" s="1"/>
  <c r="N242" i="132"/>
  <c r="O345" i="132"/>
  <c r="O454" i="132" s="1"/>
  <c r="F77" i="134"/>
  <c r="O116" i="132"/>
  <c r="O304" i="132" s="1"/>
  <c r="M185" i="132"/>
  <c r="M395" i="132"/>
  <c r="M398" i="132" s="1"/>
  <c r="M401" i="132" s="1"/>
  <c r="M721" i="132"/>
  <c r="M183" i="132"/>
  <c r="M184" i="132"/>
  <c r="P371" i="132"/>
  <c r="P379" i="132" s="1"/>
  <c r="P409" i="132" s="1"/>
  <c r="N101" i="132"/>
  <c r="N108" i="132" s="1"/>
  <c r="N111" i="132" s="1"/>
  <c r="N114" i="132" s="1"/>
  <c r="M459" i="132"/>
  <c r="P372" i="132"/>
  <c r="P380" i="132" s="1"/>
  <c r="P383" i="132" s="1"/>
  <c r="P386" i="132" s="1"/>
  <c r="P392" i="132" s="1"/>
  <c r="P677" i="132" s="1"/>
  <c r="P99" i="132"/>
  <c r="P106" i="132" s="1"/>
  <c r="P109" i="132" s="1"/>
  <c r="P112" i="132" s="1"/>
  <c r="P118" i="132" s="1"/>
  <c r="P328" i="132" s="1"/>
  <c r="N372" i="132"/>
  <c r="N380" i="132" s="1"/>
  <c r="N383" i="132" s="1"/>
  <c r="N386" i="132" s="1"/>
  <c r="N392" i="132" s="1"/>
  <c r="N677" i="132" s="1"/>
  <c r="N371" i="132"/>
  <c r="N379" i="132" s="1"/>
  <c r="N389" i="132" s="1"/>
  <c r="G50" i="130"/>
  <c r="P102" i="132"/>
  <c r="N236" i="132"/>
  <c r="N238" i="132" s="1"/>
  <c r="M244" i="132"/>
  <c r="M245" i="132" s="1"/>
  <c r="M458" i="132"/>
  <c r="O395" i="132"/>
  <c r="O398" i="132" s="1"/>
  <c r="O401" i="132" s="1"/>
  <c r="M116" i="132"/>
  <c r="M304" i="132" s="1"/>
  <c r="M180" i="132"/>
  <c r="O721" i="132"/>
  <c r="O122" i="132"/>
  <c r="O125" i="132" s="1"/>
  <c r="O128" i="132" s="1"/>
  <c r="M122" i="132"/>
  <c r="M125" i="132" s="1"/>
  <c r="M128" i="132" s="1"/>
  <c r="M397" i="132"/>
  <c r="M123" i="132"/>
  <c r="M126" i="132" s="1"/>
  <c r="M129" i="132" s="1"/>
  <c r="M381" i="132"/>
  <c r="M510" i="132" s="1"/>
  <c r="M121" i="132"/>
  <c r="M124" i="132" s="1"/>
  <c r="M127" i="132" s="1"/>
  <c r="G48" i="130"/>
  <c r="G49" i="130"/>
  <c r="P184" i="132"/>
  <c r="N381" i="132"/>
  <c r="N510" i="132" s="1"/>
  <c r="O188" i="132"/>
  <c r="O193" i="132" s="1"/>
  <c r="O189" i="132"/>
  <c r="O194" i="132" s="1"/>
  <c r="P381" i="132"/>
  <c r="P510" i="132" s="1"/>
  <c r="N183" i="132"/>
  <c r="N180" i="132"/>
  <c r="N184" i="132"/>
  <c r="M63" i="134"/>
  <c r="N185" i="132"/>
  <c r="Q453" i="132"/>
  <c r="Q7" i="132"/>
  <c r="P238" i="132"/>
  <c r="N382" i="132"/>
  <c r="N520" i="132" s="1"/>
  <c r="N106" i="132"/>
  <c r="N109" i="132" s="1"/>
  <c r="N112" i="132" s="1"/>
  <c r="N65" i="134"/>
  <c r="L530" i="132"/>
  <c r="L185" i="132"/>
  <c r="L184" i="132"/>
  <c r="K63" i="134"/>
  <c r="L180" i="132"/>
  <c r="L183" i="132"/>
  <c r="O245" i="132" l="1"/>
  <c r="O684" i="132"/>
  <c r="L121" i="132"/>
  <c r="L124" i="132" s="1"/>
  <c r="L127" i="132" s="1"/>
  <c r="L65" i="134"/>
  <c r="L122" i="132"/>
  <c r="L125" i="132" s="1"/>
  <c r="L128" i="132" s="1"/>
  <c r="M246" i="132"/>
  <c r="M247" i="132"/>
  <c r="E38" i="130"/>
  <c r="L244" i="132"/>
  <c r="L245" i="132" s="1"/>
  <c r="L237" i="132"/>
  <c r="L238" i="132"/>
  <c r="N239" i="132"/>
  <c r="E48" i="130"/>
  <c r="O247" i="132"/>
  <c r="D50" i="130"/>
  <c r="C50" i="130" s="1"/>
  <c r="O63" i="134"/>
  <c r="H50" i="130" s="1"/>
  <c r="P237" i="132"/>
  <c r="P183" i="132"/>
  <c r="H37" i="130"/>
  <c r="H38" i="130" s="1"/>
  <c r="P244" i="132"/>
  <c r="P246" i="132" s="1"/>
  <c r="O130" i="132"/>
  <c r="O134" i="132" s="1"/>
  <c r="O325" i="132" s="1"/>
  <c r="F50" i="130"/>
  <c r="M188" i="132"/>
  <c r="M193" i="132" s="1"/>
  <c r="E50" i="130"/>
  <c r="N244" i="132"/>
  <c r="N246" i="132" s="1"/>
  <c r="N237" i="132"/>
  <c r="F78" i="134"/>
  <c r="F79" i="134" s="1"/>
  <c r="F84" i="134" s="1"/>
  <c r="P180" i="132"/>
  <c r="P189" i="132" s="1"/>
  <c r="P194" i="132" s="1"/>
  <c r="O464" i="132"/>
  <c r="O522" i="132" s="1"/>
  <c r="O523" i="132" s="1"/>
  <c r="O532" i="132"/>
  <c r="O533" i="132" s="1"/>
  <c r="O535" i="132" s="1"/>
  <c r="O538" i="132" s="1"/>
  <c r="O463" i="132"/>
  <c r="O512" i="132" s="1"/>
  <c r="O513" i="132" s="1"/>
  <c r="P122" i="132"/>
  <c r="P125" i="132" s="1"/>
  <c r="P128" i="132" s="1"/>
  <c r="P389" i="132"/>
  <c r="O462" i="132"/>
  <c r="O472" i="132" s="1"/>
  <c r="E77" i="134"/>
  <c r="N345" i="132"/>
  <c r="N454" i="132" s="1"/>
  <c r="G77" i="134"/>
  <c r="P345" i="132"/>
  <c r="P454" i="132" s="1"/>
  <c r="P684" i="132" s="1"/>
  <c r="L345" i="132"/>
  <c r="L454" i="132" s="1"/>
  <c r="C77" i="134"/>
  <c r="M345" i="132"/>
  <c r="M454" i="132" s="1"/>
  <c r="M684" i="132" s="1"/>
  <c r="D77" i="134"/>
  <c r="D78" i="134" s="1"/>
  <c r="D79" i="134" s="1"/>
  <c r="P530" i="132"/>
  <c r="N409" i="132"/>
  <c r="N530" i="132"/>
  <c r="M117" i="132"/>
  <c r="M316" i="132" s="1"/>
  <c r="M189" i="132"/>
  <c r="M194" i="132" s="1"/>
  <c r="O117" i="132"/>
  <c r="O316" i="132" s="1"/>
  <c r="M190" i="132"/>
  <c r="M195" i="132" s="1"/>
  <c r="M396" i="132"/>
  <c r="P123" i="132"/>
  <c r="P126" i="132" s="1"/>
  <c r="P129" i="132" s="1"/>
  <c r="G53" i="130"/>
  <c r="N48" i="134" s="1"/>
  <c r="G56" i="130"/>
  <c r="M130" i="132"/>
  <c r="M132" i="132" s="1"/>
  <c r="M301" i="132" s="1"/>
  <c r="G55" i="130"/>
  <c r="G57" i="130"/>
  <c r="V52" i="134" s="1"/>
  <c r="G59" i="130"/>
  <c r="N54" i="134" s="1"/>
  <c r="G60" i="130"/>
  <c r="G58" i="130"/>
  <c r="V53" i="134" s="1"/>
  <c r="G54" i="130"/>
  <c r="N49" i="134" s="1"/>
  <c r="O199" i="132"/>
  <c r="O204" i="132" s="1"/>
  <c r="O207" i="132" s="1"/>
  <c r="N395" i="132"/>
  <c r="N398" i="132" s="1"/>
  <c r="N401" i="132" s="1"/>
  <c r="O198" i="132"/>
  <c r="O203" i="132" s="1"/>
  <c r="O206" i="132" s="1"/>
  <c r="O200" i="132"/>
  <c r="O205" i="132" s="1"/>
  <c r="O208" i="132" s="1"/>
  <c r="N122" i="132"/>
  <c r="N125" i="132" s="1"/>
  <c r="N128" i="132" s="1"/>
  <c r="P721" i="132"/>
  <c r="P395" i="132"/>
  <c r="P398" i="132" s="1"/>
  <c r="P401" i="132" s="1"/>
  <c r="N116" i="132"/>
  <c r="N304" i="132" s="1"/>
  <c r="N123" i="132"/>
  <c r="N126" i="132" s="1"/>
  <c r="N129" i="132" s="1"/>
  <c r="N121" i="132"/>
  <c r="N124" i="132" s="1"/>
  <c r="N127" i="132" s="1"/>
  <c r="M65" i="134"/>
  <c r="P121" i="132"/>
  <c r="P124" i="132" s="1"/>
  <c r="P127" i="132" s="1"/>
  <c r="P396" i="132"/>
  <c r="N396" i="132"/>
  <c r="N118" i="132"/>
  <c r="N328" i="132" s="1"/>
  <c r="N721" i="132" s="1"/>
  <c r="P247" i="132"/>
  <c r="Q458" i="132"/>
  <c r="Q457" i="132"/>
  <c r="Q459" i="132"/>
  <c r="O256" i="132"/>
  <c r="O605" i="132" s="1"/>
  <c r="O257" i="132"/>
  <c r="O254" i="132"/>
  <c r="Q99" i="132"/>
  <c r="Q179" i="132"/>
  <c r="Q242" i="132"/>
  <c r="Q100" i="132"/>
  <c r="P61" i="134"/>
  <c r="Q371" i="132"/>
  <c r="Q379" i="132" s="1"/>
  <c r="Q373" i="132"/>
  <c r="Q372" i="132"/>
  <c r="Q374" i="132"/>
  <c r="Q375" i="132"/>
  <c r="Q101" i="132"/>
  <c r="Q236" i="132"/>
  <c r="Q102" i="132"/>
  <c r="P397" i="132"/>
  <c r="N188" i="132"/>
  <c r="N193" i="132" s="1"/>
  <c r="N190" i="132"/>
  <c r="N195" i="132" s="1"/>
  <c r="N189" i="132"/>
  <c r="N194" i="132" s="1"/>
  <c r="F49" i="130"/>
  <c r="N397" i="132"/>
  <c r="P116" i="132"/>
  <c r="F48" i="130"/>
  <c r="O248" i="132" a="1"/>
  <c r="O248" i="132" s="1"/>
  <c r="L123" i="132"/>
  <c r="L126" i="132" s="1"/>
  <c r="L129" i="132" s="1"/>
  <c r="L130" i="132" s="1"/>
  <c r="L132" i="132" s="1"/>
  <c r="L301" i="132" s="1"/>
  <c r="L396" i="132"/>
  <c r="D48" i="130"/>
  <c r="C48" i="130" s="1"/>
  <c r="K65" i="134"/>
  <c r="L116" i="132"/>
  <c r="L304" i="132" s="1"/>
  <c r="D49" i="130"/>
  <c r="C49" i="130" s="1"/>
  <c r="L188" i="132"/>
  <c r="L193" i="132" s="1"/>
  <c r="L189" i="132"/>
  <c r="L194" i="132" s="1"/>
  <c r="L190" i="132"/>
  <c r="L195" i="132" s="1"/>
  <c r="M256" i="132"/>
  <c r="M605" i="132" s="1"/>
  <c r="M257" i="132"/>
  <c r="M254" i="132"/>
  <c r="L118" i="132"/>
  <c r="L328" i="132" s="1"/>
  <c r="L721" i="132" s="1"/>
  <c r="L395" i="132"/>
  <c r="L398" i="132" s="1"/>
  <c r="L401" i="132" s="1"/>
  <c r="L397" i="132"/>
  <c r="M248" i="132" a="1"/>
  <c r="M248" i="132" s="1"/>
  <c r="O588" i="132" l="1"/>
  <c r="M198" i="132"/>
  <c r="M199" i="132"/>
  <c r="M204" i="132" s="1"/>
  <c r="M207" i="132" s="1"/>
  <c r="L246" i="132"/>
  <c r="L247" i="132"/>
  <c r="L248" i="132" s="1" a="1"/>
  <c r="L248" i="132" s="1"/>
  <c r="P245" i="132"/>
  <c r="E58" i="130"/>
  <c r="P188" i="132"/>
  <c r="P193" i="132" s="1"/>
  <c r="E55" i="130"/>
  <c r="T50" i="134" s="1"/>
  <c r="P190" i="132"/>
  <c r="P195" i="132" s="1"/>
  <c r="E57" i="130"/>
  <c r="T52" i="134" s="1"/>
  <c r="H48" i="130"/>
  <c r="E53" i="130"/>
  <c r="T48" i="134" s="1"/>
  <c r="E59" i="130"/>
  <c r="T54" i="134" s="1"/>
  <c r="O65" i="134"/>
  <c r="G78" i="134" s="1"/>
  <c r="G79" i="134" s="1"/>
  <c r="G81" i="134" s="1"/>
  <c r="H49" i="130"/>
  <c r="E60" i="130"/>
  <c r="T55" i="134" s="1"/>
  <c r="O474" i="132"/>
  <c r="O491" i="132" s="1"/>
  <c r="O133" i="132"/>
  <c r="O313" i="132" s="1"/>
  <c r="E56" i="130"/>
  <c r="T51" i="134" s="1"/>
  <c r="N245" i="132"/>
  <c r="N254" i="132" s="1"/>
  <c r="N247" i="132"/>
  <c r="E54" i="130"/>
  <c r="L49" i="134" s="1"/>
  <c r="M200" i="132"/>
  <c r="M205" i="132" s="1"/>
  <c r="M208" i="132" s="1"/>
  <c r="O132" i="132"/>
  <c r="O301" i="132" s="1"/>
  <c r="O467" i="132"/>
  <c r="O544" i="132" s="1"/>
  <c r="F80" i="134"/>
  <c r="F81" i="134"/>
  <c r="O473" i="132"/>
  <c r="O490" i="132" s="1"/>
  <c r="E78" i="134"/>
  <c r="E79" i="134" s="1"/>
  <c r="E81" i="134" s="1"/>
  <c r="E89" i="134" s="1"/>
  <c r="N684" i="132"/>
  <c r="V55" i="134"/>
  <c r="C78" i="134"/>
  <c r="C79" i="134" s="1"/>
  <c r="C80" i="134" s="1"/>
  <c r="D81" i="134"/>
  <c r="D89" i="134" s="1"/>
  <c r="D80" i="134"/>
  <c r="M532" i="132"/>
  <c r="M533" i="132" s="1"/>
  <c r="M535" i="132" s="1"/>
  <c r="M538" i="132" s="1"/>
  <c r="M588" i="132" s="1"/>
  <c r="P532" i="132"/>
  <c r="P533" i="132" s="1"/>
  <c r="P535" i="132" s="1"/>
  <c r="P538" i="132" s="1"/>
  <c r="P462" i="132"/>
  <c r="P463" i="132"/>
  <c r="P464" i="132"/>
  <c r="M462" i="132"/>
  <c r="M464" i="132"/>
  <c r="D84" i="134"/>
  <c r="D85" i="134" s="1"/>
  <c r="M463" i="132"/>
  <c r="M512" i="132" s="1"/>
  <c r="M513" i="132" s="1"/>
  <c r="N462" i="132"/>
  <c r="N464" i="132"/>
  <c r="N532" i="132"/>
  <c r="N533" i="132" s="1"/>
  <c r="N535" i="132" s="1"/>
  <c r="N538" i="132" s="1"/>
  <c r="N463" i="132"/>
  <c r="L463" i="132"/>
  <c r="L532" i="132"/>
  <c r="L533" i="132" s="1"/>
  <c r="L535" i="132" s="1"/>
  <c r="L538" i="132" s="1"/>
  <c r="L588" i="132" s="1"/>
  <c r="L462" i="132"/>
  <c r="L464" i="132"/>
  <c r="L684" i="132"/>
  <c r="V54" i="134"/>
  <c r="N55" i="134"/>
  <c r="V48" i="134"/>
  <c r="N51" i="134"/>
  <c r="F20" i="134" s="1"/>
  <c r="V50" i="134"/>
  <c r="P130" i="132"/>
  <c r="P132" i="132" s="1"/>
  <c r="P301" i="132" s="1"/>
  <c r="N50" i="134"/>
  <c r="O216" i="132"/>
  <c r="O221" i="132" s="1"/>
  <c r="O224" i="132" s="1"/>
  <c r="N52" i="134"/>
  <c r="O217" i="132"/>
  <c r="O222" i="132" s="1"/>
  <c r="O225" i="132" s="1"/>
  <c r="M134" i="132"/>
  <c r="M325" i="132" s="1"/>
  <c r="M133" i="132"/>
  <c r="M313" i="132" s="1"/>
  <c r="V51" i="134"/>
  <c r="V49" i="134"/>
  <c r="N53" i="134"/>
  <c r="O215" i="132"/>
  <c r="O220" i="132" s="1"/>
  <c r="O223" i="132" s="1"/>
  <c r="L133" i="132"/>
  <c r="L313" i="132" s="1"/>
  <c r="N117" i="132"/>
  <c r="N316" i="132" s="1"/>
  <c r="L134" i="132"/>
  <c r="L325" i="132" s="1"/>
  <c r="O210" i="132"/>
  <c r="O306" i="132" s="1"/>
  <c r="H55" i="130"/>
  <c r="N130" i="132"/>
  <c r="N132" i="132" s="1"/>
  <c r="N301" i="132" s="1"/>
  <c r="O258" i="132"/>
  <c r="O273" i="132" s="1"/>
  <c r="N200" i="132"/>
  <c r="N199" i="132"/>
  <c r="N204" i="132" s="1"/>
  <c r="N207" i="132" s="1"/>
  <c r="F59" i="130"/>
  <c r="Q237" i="132"/>
  <c r="Q239" i="132"/>
  <c r="Q238" i="132"/>
  <c r="Q244" i="132"/>
  <c r="Q108" i="132"/>
  <c r="Q111" i="132" s="1"/>
  <c r="Q114" i="132" s="1"/>
  <c r="Q107" i="132"/>
  <c r="Q110" i="132" s="1"/>
  <c r="Q113" i="132" s="1"/>
  <c r="N198" i="132"/>
  <c r="P257" i="132"/>
  <c r="P256" i="132"/>
  <c r="P605" i="132" s="1"/>
  <c r="P248" i="132" a="1"/>
  <c r="P248" i="132" s="1"/>
  <c r="P254" i="132"/>
  <c r="P199" i="132"/>
  <c r="P304" i="132"/>
  <c r="P117" i="132"/>
  <c r="P316" i="132" s="1"/>
  <c r="Q382" i="132"/>
  <c r="Q520" i="132" s="1"/>
  <c r="I37" i="130"/>
  <c r="I38" i="130" s="1"/>
  <c r="Q180" i="132"/>
  <c r="Q184" i="132"/>
  <c r="P63" i="134"/>
  <c r="I50" i="130" s="1"/>
  <c r="Q185" i="132"/>
  <c r="Q183" i="132"/>
  <c r="F54" i="130"/>
  <c r="F58" i="130"/>
  <c r="F53" i="130"/>
  <c r="F56" i="130"/>
  <c r="F60" i="130"/>
  <c r="F57" i="130"/>
  <c r="F89" i="134"/>
  <c r="Q106" i="132"/>
  <c r="Q109" i="132" s="1"/>
  <c r="Q112" i="132" s="1"/>
  <c r="O263" i="132"/>
  <c r="O264" i="132" s="1"/>
  <c r="F55" i="130"/>
  <c r="O489" i="132"/>
  <c r="O494" i="132" s="1"/>
  <c r="O497" i="132" s="1"/>
  <c r="O477" i="132"/>
  <c r="O480" i="132" s="1"/>
  <c r="O486" i="132" s="1"/>
  <c r="O679" i="132" s="1"/>
  <c r="Q381" i="132"/>
  <c r="Q510" i="132" s="1"/>
  <c r="F85" i="134"/>
  <c r="F86" i="134"/>
  <c r="F24" i="134" s="1"/>
  <c r="Q380" i="132"/>
  <c r="Q383" i="132" s="1"/>
  <c r="Q386" i="132" s="1"/>
  <c r="Q392" i="132" s="1"/>
  <c r="Q677" i="132" s="1"/>
  <c r="O212" i="132"/>
  <c r="O330" i="132" s="1"/>
  <c r="Q389" i="132"/>
  <c r="Q409" i="132"/>
  <c r="Q530" i="132"/>
  <c r="D54" i="130"/>
  <c r="L198" i="132"/>
  <c r="L203" i="132" s="1"/>
  <c r="L206" i="132" s="1"/>
  <c r="L199" i="132"/>
  <c r="L216" i="132" s="1"/>
  <c r="L221" i="132" s="1"/>
  <c r="L224" i="132" s="1"/>
  <c r="M258" i="132"/>
  <c r="M273" i="132" s="1"/>
  <c r="D60" i="130"/>
  <c r="M263" i="132"/>
  <c r="M264" i="132" s="1"/>
  <c r="D58" i="130"/>
  <c r="C59" i="130"/>
  <c r="C58" i="130"/>
  <c r="C54" i="130"/>
  <c r="C57" i="130"/>
  <c r="C56" i="130"/>
  <c r="C55" i="130"/>
  <c r="C53" i="130"/>
  <c r="C60" i="130"/>
  <c r="D55" i="130"/>
  <c r="D56" i="130"/>
  <c r="L257" i="132"/>
  <c r="L254" i="132"/>
  <c r="L256" i="132"/>
  <c r="L605" i="132" s="1"/>
  <c r="D59" i="130"/>
  <c r="L53" i="134"/>
  <c r="T53" i="134"/>
  <c r="L117" i="132"/>
  <c r="L316" i="132" s="1"/>
  <c r="L200" i="132"/>
  <c r="D57" i="130"/>
  <c r="M203" i="132"/>
  <c r="M206" i="132" s="1"/>
  <c r="M215" i="132"/>
  <c r="M220" i="132" s="1"/>
  <c r="M223" i="132" s="1"/>
  <c r="D53" i="130"/>
  <c r="F94" i="134" l="1"/>
  <c r="P588" i="132"/>
  <c r="H57" i="130"/>
  <c r="L55" i="134"/>
  <c r="M216" i="132"/>
  <c r="M221" i="132" s="1"/>
  <c r="M224" i="132" s="1"/>
  <c r="M210" i="132"/>
  <c r="M217" i="132"/>
  <c r="M222" i="132" s="1"/>
  <c r="M225" i="132" s="1"/>
  <c r="H56" i="130"/>
  <c r="P198" i="132"/>
  <c r="P215" i="132" s="1"/>
  <c r="P220" i="132" s="1"/>
  <c r="P223" i="132" s="1"/>
  <c r="L50" i="134"/>
  <c r="P200" i="132"/>
  <c r="P205" i="132" s="1"/>
  <c r="P208" i="132" s="1"/>
  <c r="L52" i="134"/>
  <c r="H53" i="130"/>
  <c r="W48" i="134" s="1"/>
  <c r="H54" i="130"/>
  <c r="W49" i="134" s="1"/>
  <c r="H60" i="130"/>
  <c r="W55" i="134" s="1"/>
  <c r="H59" i="130"/>
  <c r="W54" i="134" s="1"/>
  <c r="N256" i="132"/>
  <c r="N605" i="132" s="1"/>
  <c r="H58" i="130"/>
  <c r="O53" i="134" s="1"/>
  <c r="L51" i="134"/>
  <c r="N257" i="132"/>
  <c r="L48" i="134"/>
  <c r="D20" i="134" s="1"/>
  <c r="N248" i="132" a="1"/>
  <c r="N248" i="132" s="1"/>
  <c r="L54" i="134"/>
  <c r="E84" i="134"/>
  <c r="E86" i="134" s="1"/>
  <c r="E24" i="134" s="1"/>
  <c r="C81" i="134"/>
  <c r="C89" i="134" s="1"/>
  <c r="C91" i="134" s="1"/>
  <c r="C25" i="134" s="1"/>
  <c r="T49" i="134"/>
  <c r="E80" i="134"/>
  <c r="E94" i="134" s="1"/>
  <c r="E96" i="134" s="1"/>
  <c r="E26" i="134" s="1"/>
  <c r="C84" i="134"/>
  <c r="C86" i="134" s="1"/>
  <c r="C24" i="134" s="1"/>
  <c r="D94" i="134"/>
  <c r="D95" i="134" s="1"/>
  <c r="P134" i="132"/>
  <c r="P325" i="132" s="1"/>
  <c r="P133" i="132"/>
  <c r="P313" i="132" s="1"/>
  <c r="D86" i="134"/>
  <c r="D24" i="134" s="1"/>
  <c r="F23" i="134"/>
  <c r="M473" i="132"/>
  <c r="M490" i="132" s="1"/>
  <c r="N588" i="132"/>
  <c r="M472" i="132"/>
  <c r="M467" i="132"/>
  <c r="M544" i="132" s="1"/>
  <c r="P522" i="132"/>
  <c r="P523" i="132" s="1"/>
  <c r="P474" i="132"/>
  <c r="P491" i="132" s="1"/>
  <c r="G84" i="134"/>
  <c r="G85" i="134" s="1"/>
  <c r="N472" i="132"/>
  <c r="N467" i="132"/>
  <c r="N544" i="132" s="1"/>
  <c r="P512" i="132"/>
  <c r="P513" i="132" s="1"/>
  <c r="P473" i="132"/>
  <c r="P490" i="132" s="1"/>
  <c r="G80" i="134"/>
  <c r="G94" i="134" s="1"/>
  <c r="H77" i="134"/>
  <c r="Q345" i="132"/>
  <c r="Q454" i="132" s="1"/>
  <c r="Q684" i="132" s="1"/>
  <c r="L522" i="132"/>
  <c r="L523" i="132" s="1"/>
  <c r="L474" i="132"/>
  <c r="L491" i="132" s="1"/>
  <c r="P467" i="132"/>
  <c r="P544" i="132" s="1"/>
  <c r="P472" i="132"/>
  <c r="N512" i="132"/>
  <c r="N513" i="132" s="1"/>
  <c r="N473" i="132"/>
  <c r="N490" i="132" s="1"/>
  <c r="N474" i="132"/>
  <c r="N491" i="132" s="1"/>
  <c r="N522" i="132"/>
  <c r="N523" i="132" s="1"/>
  <c r="D23" i="134"/>
  <c r="L467" i="132"/>
  <c r="L544" i="132" s="1"/>
  <c r="L472" i="132"/>
  <c r="L512" i="132"/>
  <c r="L513" i="132" s="1"/>
  <c r="L473" i="132"/>
  <c r="L490" i="132" s="1"/>
  <c r="M522" i="132"/>
  <c r="M523" i="132" s="1"/>
  <c r="M474" i="132"/>
  <c r="M491" i="132" s="1"/>
  <c r="O226" i="132"/>
  <c r="O228" i="132" s="1"/>
  <c r="O303" i="132" s="1"/>
  <c r="N217" i="132"/>
  <c r="N222" i="132" s="1"/>
  <c r="N225" i="132" s="1"/>
  <c r="N205" i="132"/>
  <c r="N208" i="132" s="1"/>
  <c r="N210" i="132" s="1"/>
  <c r="L135" i="132"/>
  <c r="M54" i="134"/>
  <c r="O54" i="134"/>
  <c r="L215" i="132"/>
  <c r="L220" i="132" s="1"/>
  <c r="L223" i="132" s="1"/>
  <c r="N134" i="132"/>
  <c r="N325" i="132" s="1"/>
  <c r="W50" i="134"/>
  <c r="P203" i="132"/>
  <c r="P206" i="132" s="1"/>
  <c r="P212" i="132" s="1"/>
  <c r="P330" i="132" s="1"/>
  <c r="N133" i="132"/>
  <c r="N313" i="132" s="1"/>
  <c r="O50" i="134"/>
  <c r="L204" i="132"/>
  <c r="L207" i="132" s="1"/>
  <c r="Q116" i="132"/>
  <c r="Q304" i="132" s="1"/>
  <c r="U54" i="134"/>
  <c r="Q123" i="132"/>
  <c r="Q126" i="132" s="1"/>
  <c r="Q129" i="132" s="1"/>
  <c r="Q397" i="132"/>
  <c r="N216" i="132"/>
  <c r="N221" i="132" s="1"/>
  <c r="N224" i="132" s="1"/>
  <c r="Q121" i="132"/>
  <c r="Q124" i="132" s="1"/>
  <c r="Q127" i="132" s="1"/>
  <c r="P258" i="132"/>
  <c r="P273" i="132" s="1"/>
  <c r="Q395" i="132"/>
  <c r="Q398" i="132" s="1"/>
  <c r="Q401" i="132" s="1"/>
  <c r="Q122" i="132"/>
  <c r="Q125" i="132" s="1"/>
  <c r="Q128" i="132" s="1"/>
  <c r="P65" i="134"/>
  <c r="S49" i="134"/>
  <c r="K49" i="134"/>
  <c r="O277" i="132"/>
  <c r="O275" i="132"/>
  <c r="M51" i="134"/>
  <c r="U51" i="134"/>
  <c r="Q189" i="132"/>
  <c r="Q194" i="132" s="1"/>
  <c r="Q190" i="132"/>
  <c r="Q195" i="132" s="1"/>
  <c r="Q188" i="132"/>
  <c r="Q193" i="132" s="1"/>
  <c r="I48" i="130"/>
  <c r="O723" i="132"/>
  <c r="Q118" i="132"/>
  <c r="Q328" i="132" s="1"/>
  <c r="Q721" i="132" s="1"/>
  <c r="U53" i="134"/>
  <c r="M53" i="134"/>
  <c r="N203" i="132"/>
  <c r="N206" i="132" s="1"/>
  <c r="N215" i="132"/>
  <c r="N220" i="132" s="1"/>
  <c r="N223" i="132" s="1"/>
  <c r="M49" i="134"/>
  <c r="U49" i="134"/>
  <c r="O51" i="134"/>
  <c r="W51" i="134"/>
  <c r="Q245" i="132"/>
  <c r="Q247" i="132"/>
  <c r="Q246" i="132"/>
  <c r="U48" i="134"/>
  <c r="E23" i="134" s="1"/>
  <c r="M48" i="134"/>
  <c r="M50" i="134"/>
  <c r="U50" i="134"/>
  <c r="F95" i="134"/>
  <c r="F96" i="134"/>
  <c r="F26" i="134" s="1"/>
  <c r="P204" i="132"/>
  <c r="P207" i="132" s="1"/>
  <c r="P216" i="132"/>
  <c r="P221" i="132" s="1"/>
  <c r="P224" i="132" s="1"/>
  <c r="E90" i="134"/>
  <c r="E91" i="134"/>
  <c r="E25" i="134" s="1"/>
  <c r="O211" i="132"/>
  <c r="W52" i="134"/>
  <c r="O52" i="134"/>
  <c r="F91" i="134"/>
  <c r="F25" i="134" s="1"/>
  <c r="F90" i="134"/>
  <c r="N263" i="132"/>
  <c r="N264" i="132" s="1"/>
  <c r="M55" i="134"/>
  <c r="U55" i="134"/>
  <c r="Q396" i="132"/>
  <c r="U52" i="134"/>
  <c r="M52" i="134"/>
  <c r="G89" i="134"/>
  <c r="P263" i="132"/>
  <c r="P264" i="132" s="1"/>
  <c r="I49" i="130"/>
  <c r="L258" i="132"/>
  <c r="L273" i="132" s="1"/>
  <c r="L212" i="132"/>
  <c r="L330" i="132" s="1"/>
  <c r="S48" i="134"/>
  <c r="K48" i="134"/>
  <c r="M275" i="132"/>
  <c r="M277" i="132"/>
  <c r="S52" i="134"/>
  <c r="K52" i="134"/>
  <c r="M212" i="132"/>
  <c r="M330" i="132" s="1"/>
  <c r="L205" i="132"/>
  <c r="L208" i="132" s="1"/>
  <c r="L217" i="132"/>
  <c r="L222" i="132" s="1"/>
  <c r="L225" i="132" s="1"/>
  <c r="K54" i="134"/>
  <c r="S54" i="134"/>
  <c r="L263" i="132"/>
  <c r="L264" i="132" s="1"/>
  <c r="K51" i="134"/>
  <c r="S51" i="134"/>
  <c r="D90" i="134"/>
  <c r="D91" i="134"/>
  <c r="D25" i="134" s="1"/>
  <c r="M306" i="132"/>
  <c r="S50" i="134"/>
  <c r="K50" i="134"/>
  <c r="S53" i="134"/>
  <c r="K53" i="134"/>
  <c r="S55" i="134"/>
  <c r="K55" i="134"/>
  <c r="E85" i="134" l="1"/>
  <c r="M226" i="132"/>
  <c r="M230" i="132" s="1"/>
  <c r="M327" i="132" s="1"/>
  <c r="P217" i="132"/>
  <c r="P222" i="132" s="1"/>
  <c r="P225" i="132" s="1"/>
  <c r="O49" i="134"/>
  <c r="O48" i="134"/>
  <c r="C85" i="134"/>
  <c r="O55" i="134"/>
  <c r="W53" i="134"/>
  <c r="C90" i="134"/>
  <c r="N258" i="132"/>
  <c r="N273" i="132" s="1"/>
  <c r="N277" i="132" s="1"/>
  <c r="E95" i="134"/>
  <c r="C94" i="134"/>
  <c r="C95" i="134" s="1"/>
  <c r="D96" i="134"/>
  <c r="D26" i="134" s="1"/>
  <c r="D27" i="134" s="1"/>
  <c r="D28" i="134" s="1"/>
  <c r="O230" i="132"/>
  <c r="O327" i="132" s="1"/>
  <c r="O334" i="132" s="1"/>
  <c r="O229" i="132"/>
  <c r="O315" i="132" s="1"/>
  <c r="G23" i="134"/>
  <c r="G20" i="134"/>
  <c r="C20" i="134"/>
  <c r="C23" i="134"/>
  <c r="P477" i="132"/>
  <c r="P480" i="132" s="1"/>
  <c r="P486" i="132" s="1"/>
  <c r="P679" i="132" s="1"/>
  <c r="P723" i="132" s="1"/>
  <c r="P489" i="132"/>
  <c r="P494" i="132" s="1"/>
  <c r="P497" i="132" s="1"/>
  <c r="L477" i="132"/>
  <c r="L480" i="132" s="1"/>
  <c r="L486" i="132" s="1"/>
  <c r="L679" i="132" s="1"/>
  <c r="L723" i="132" s="1"/>
  <c r="L489" i="132"/>
  <c r="L494" i="132" s="1"/>
  <c r="L497" i="132" s="1"/>
  <c r="G86" i="134"/>
  <c r="G24" i="134" s="1"/>
  <c r="M489" i="132"/>
  <c r="M494" i="132" s="1"/>
  <c r="M497" i="132" s="1"/>
  <c r="M477" i="132"/>
  <c r="M480" i="132" s="1"/>
  <c r="M486" i="132" s="1"/>
  <c r="M679" i="132" s="1"/>
  <c r="M723" i="132" s="1"/>
  <c r="H78" i="134"/>
  <c r="H79" i="134" s="1"/>
  <c r="H80" i="134" s="1"/>
  <c r="E20" i="134"/>
  <c r="E27" i="134" s="1"/>
  <c r="E28" i="134" s="1"/>
  <c r="Q532" i="132"/>
  <c r="Q533" i="132" s="1"/>
  <c r="Q535" i="132" s="1"/>
  <c r="Q538" i="132" s="1"/>
  <c r="Q464" i="132"/>
  <c r="Q463" i="132"/>
  <c r="Q462" i="132"/>
  <c r="N477" i="132"/>
  <c r="N480" i="132" s="1"/>
  <c r="N486" i="132" s="1"/>
  <c r="N679" i="132" s="1"/>
  <c r="N489" i="132"/>
  <c r="N494" i="132" s="1"/>
  <c r="N497" i="132" s="1"/>
  <c r="L210" i="132"/>
  <c r="L306" i="132" s="1"/>
  <c r="N226" i="132"/>
  <c r="N228" i="132" s="1"/>
  <c r="N303" i="132" s="1"/>
  <c r="P210" i="132"/>
  <c r="P306" i="132" s="1"/>
  <c r="L226" i="132"/>
  <c r="L232" i="132" s="1"/>
  <c r="Q130" i="132"/>
  <c r="Q134" i="132" s="1"/>
  <c r="Q325" i="132" s="1"/>
  <c r="P226" i="132"/>
  <c r="P230" i="132" s="1"/>
  <c r="P327" i="132" s="1"/>
  <c r="P334" i="132" s="1"/>
  <c r="Q199" i="132"/>
  <c r="Q204" i="132" s="1"/>
  <c r="Q207" i="132" s="1"/>
  <c r="F27" i="134"/>
  <c r="F11" i="134" s="1" a="1"/>
  <c r="F11" i="134" s="1"/>
  <c r="Q198" i="132"/>
  <c r="Q203" i="132" s="1"/>
  <c r="Q206" i="132" s="1"/>
  <c r="M334" i="132"/>
  <c r="W721" i="132"/>
  <c r="Y721" i="132"/>
  <c r="Z721" i="132"/>
  <c r="AG721" i="132"/>
  <c r="S721" i="132"/>
  <c r="V721" i="132"/>
  <c r="U721" i="132"/>
  <c r="AE721" i="132"/>
  <c r="AA721" i="132"/>
  <c r="AD721" i="132"/>
  <c r="AC721" i="132"/>
  <c r="X721" i="132"/>
  <c r="AH721" i="132"/>
  <c r="AF721" i="132"/>
  <c r="R721" i="132"/>
  <c r="AB721" i="132"/>
  <c r="E15" i="136"/>
  <c r="T721" i="132"/>
  <c r="H721" i="132"/>
  <c r="I721" i="132"/>
  <c r="E45" i="136" s="1"/>
  <c r="N275" i="132"/>
  <c r="N212" i="132"/>
  <c r="N330" i="132" s="1"/>
  <c r="Q117" i="132"/>
  <c r="Q316" i="132" s="1"/>
  <c r="M228" i="132"/>
  <c r="M303" i="132" s="1"/>
  <c r="N306" i="132"/>
  <c r="G96" i="134"/>
  <c r="G26" i="134" s="1"/>
  <c r="G95" i="134"/>
  <c r="O318" i="132"/>
  <c r="O213" i="132"/>
  <c r="P275" i="132"/>
  <c r="P277" i="132"/>
  <c r="G91" i="134"/>
  <c r="G25" i="134" s="1"/>
  <c r="G90" i="134"/>
  <c r="Q200" i="132"/>
  <c r="Q205" i="132" s="1"/>
  <c r="I55" i="130"/>
  <c r="I60" i="130"/>
  <c r="I54" i="130"/>
  <c r="I53" i="130"/>
  <c r="I58" i="130"/>
  <c r="I56" i="130"/>
  <c r="I57" i="130"/>
  <c r="I59" i="130"/>
  <c r="M229" i="132"/>
  <c r="M315" i="132" s="1"/>
  <c r="Q256" i="132"/>
  <c r="Q605" i="132" s="1"/>
  <c r="Q248" i="132" a="1"/>
  <c r="Q248" i="132" s="1"/>
  <c r="Q254" i="132"/>
  <c r="Q257" i="132"/>
  <c r="O307" i="132"/>
  <c r="O310" i="132" s="1"/>
  <c r="O280" i="132"/>
  <c r="M211" i="132"/>
  <c r="M307" i="132"/>
  <c r="M280" i="132"/>
  <c r="L275" i="132"/>
  <c r="L277" i="132"/>
  <c r="Q588" i="132" l="1"/>
  <c r="C96" i="134"/>
  <c r="C26" i="134" s="1"/>
  <c r="C27" i="134" s="1"/>
  <c r="C11" i="134" s="1" a="1"/>
  <c r="C11" i="134" s="1"/>
  <c r="O322" i="132"/>
  <c r="Q216" i="132"/>
  <c r="Q221" i="132" s="1"/>
  <c r="Q224" i="132" s="1"/>
  <c r="N230" i="132"/>
  <c r="N327" i="132" s="1"/>
  <c r="N334" i="132" s="1"/>
  <c r="N229" i="132"/>
  <c r="N315" i="132" s="1"/>
  <c r="P211" i="132"/>
  <c r="P318" i="132" s="1"/>
  <c r="L228" i="132"/>
  <c r="L303" i="132" s="1"/>
  <c r="L229" i="132"/>
  <c r="L315" i="132" s="1"/>
  <c r="L211" i="132"/>
  <c r="L318" i="132" s="1"/>
  <c r="Q467" i="132"/>
  <c r="Q544" i="132" s="1"/>
  <c r="Q472" i="132"/>
  <c r="Q512" i="132"/>
  <c r="Q513" i="132" s="1"/>
  <c r="Q473" i="132"/>
  <c r="Q490" i="132" s="1"/>
  <c r="N723" i="132"/>
  <c r="H84" i="134"/>
  <c r="H86" i="134" s="1"/>
  <c r="H24" i="134" s="1"/>
  <c r="Q522" i="132"/>
  <c r="Q523" i="132" s="1"/>
  <c r="Q474" i="132"/>
  <c r="Q491" i="132" s="1"/>
  <c r="H81" i="134"/>
  <c r="H89" i="134" s="1"/>
  <c r="H91" i="134" s="1"/>
  <c r="H25" i="134" s="1"/>
  <c r="Q132" i="132"/>
  <c r="Q301" i="132" s="1"/>
  <c r="Q133" i="132"/>
  <c r="Q313" i="132" s="1"/>
  <c r="D11" i="134" a="1"/>
  <c r="D11" i="134" s="1"/>
  <c r="M351" i="132" s="1"/>
  <c r="L230" i="132"/>
  <c r="L327" i="132" s="1"/>
  <c r="L334" i="132" s="1"/>
  <c r="G27" i="134"/>
  <c r="G11" i="134" s="1" a="1"/>
  <c r="G11" i="134" s="1"/>
  <c r="P229" i="132"/>
  <c r="P315" i="132" s="1"/>
  <c r="P228" i="132"/>
  <c r="P303" i="132" s="1"/>
  <c r="Q215" i="132"/>
  <c r="Q220" i="132" s="1"/>
  <c r="Q223" i="132" s="1"/>
  <c r="J721" i="132"/>
  <c r="F28" i="134"/>
  <c r="E11" i="134" a="1"/>
  <c r="E11" i="134" s="1"/>
  <c r="N351" i="132" s="1"/>
  <c r="N211" i="132"/>
  <c r="M310" i="132"/>
  <c r="P55" i="134"/>
  <c r="X55" i="134"/>
  <c r="P54" i="134"/>
  <c r="X54" i="134"/>
  <c r="Q208" i="132"/>
  <c r="Q210" i="132" s="1"/>
  <c r="Q217" i="132"/>
  <c r="Q222" i="132" s="1"/>
  <c r="Q225" i="132" s="1"/>
  <c r="Q212" i="132"/>
  <c r="Q330" i="132" s="1"/>
  <c r="P50" i="134"/>
  <c r="X50" i="134"/>
  <c r="X52" i="134"/>
  <c r="P52" i="134"/>
  <c r="Q258" i="132"/>
  <c r="Q273" i="132" s="1"/>
  <c r="P51" i="134"/>
  <c r="X51" i="134"/>
  <c r="P49" i="134"/>
  <c r="X49" i="134"/>
  <c r="F12" i="134" a="1"/>
  <c r="F12" i="134" s="1"/>
  <c r="F13" i="134" s="1" a="1"/>
  <c r="F13" i="134" s="1"/>
  <c r="O353" i="132" s="1"/>
  <c r="O351" i="132"/>
  <c r="Q263" i="132"/>
  <c r="Q264" i="132" s="1"/>
  <c r="X53" i="134"/>
  <c r="P53" i="134"/>
  <c r="P307" i="132"/>
  <c r="P280" i="132"/>
  <c r="P48" i="134"/>
  <c r="X48" i="134"/>
  <c r="N280" i="132"/>
  <c r="N307" i="132"/>
  <c r="N310" i="132" s="1"/>
  <c r="M318" i="132"/>
  <c r="M322" i="132" s="1"/>
  <c r="M213" i="132"/>
  <c r="L307" i="132"/>
  <c r="L280" i="132"/>
  <c r="P322" i="132" l="1"/>
  <c r="P213" i="132"/>
  <c r="L351" i="132"/>
  <c r="L322" i="132"/>
  <c r="P310" i="132"/>
  <c r="L213" i="132"/>
  <c r="C12" i="134" a="1"/>
  <c r="C12" i="134" s="1"/>
  <c r="C13" i="134" s="1" a="1"/>
  <c r="C13" i="134" s="1"/>
  <c r="H90" i="134"/>
  <c r="C28" i="134"/>
  <c r="G28" i="134"/>
  <c r="H94" i="134"/>
  <c r="H96" i="134" s="1"/>
  <c r="H26" i="134" s="1"/>
  <c r="H23" i="134"/>
  <c r="H20" i="134"/>
  <c r="H85" i="134"/>
  <c r="Q477" i="132"/>
  <c r="Q480" i="132" s="1"/>
  <c r="Q486" i="132" s="1"/>
  <c r="Q679" i="132" s="1"/>
  <c r="Q723" i="132" s="1"/>
  <c r="Q489" i="132"/>
  <c r="Q494" i="132" s="1"/>
  <c r="Q497" i="132" s="1"/>
  <c r="D12" i="134" a="1"/>
  <c r="D12" i="134" s="1"/>
  <c r="D13" i="134" s="1" a="1"/>
  <c r="D13" i="134" s="1"/>
  <c r="M353" i="132" s="1"/>
  <c r="L231" i="132"/>
  <c r="E12" i="134" a="1"/>
  <c r="E12" i="134" s="1"/>
  <c r="E13" i="134" s="1" a="1"/>
  <c r="E13" i="134" s="1"/>
  <c r="N353" i="132" s="1"/>
  <c r="L310" i="132"/>
  <c r="Q226" i="132"/>
  <c r="Q228" i="132" s="1"/>
  <c r="Q303" i="132" s="1"/>
  <c r="N318" i="132"/>
  <c r="N322" i="132" s="1"/>
  <c r="N213" i="132"/>
  <c r="Q306" i="132"/>
  <c r="Q211" i="132"/>
  <c r="Q318" i="132" s="1"/>
  <c r="Q277" i="132"/>
  <c r="Q275" i="132"/>
  <c r="G12" i="134" a="1"/>
  <c r="G12" i="134" s="1"/>
  <c r="P351" i="132"/>
  <c r="O352" i="132"/>
  <c r="F14" i="134" a="1"/>
  <c r="F14" i="134" s="1"/>
  <c r="O354" i="132" s="1"/>
  <c r="L353" i="132" l="1"/>
  <c r="L352" i="132"/>
  <c r="H95" i="134"/>
  <c r="H27" i="134"/>
  <c r="H11" i="134" s="1" a="1"/>
  <c r="H11" i="134" s="1"/>
  <c r="Q230" i="132"/>
  <c r="Q327" i="132" s="1"/>
  <c r="Q334" i="132" s="1"/>
  <c r="O365" i="132"/>
  <c r="O479" i="132" s="1"/>
  <c r="O482" i="132" s="1"/>
  <c r="AD723" i="132"/>
  <c r="Y723" i="132"/>
  <c r="S723" i="132"/>
  <c r="V723" i="132"/>
  <c r="R723" i="132"/>
  <c r="U723" i="132"/>
  <c r="X723" i="132"/>
  <c r="W723" i="132"/>
  <c r="AG723" i="132"/>
  <c r="E17" i="136"/>
  <c r="AA723" i="132"/>
  <c r="AC723" i="132"/>
  <c r="I723" i="132"/>
  <c r="E47" i="136" s="1"/>
  <c r="T723" i="132"/>
  <c r="AB723" i="132"/>
  <c r="AF723" i="132"/>
  <c r="Z723" i="132"/>
  <c r="H723" i="132"/>
  <c r="AH723" i="132"/>
  <c r="AE723" i="132"/>
  <c r="D14" i="134" a="1"/>
  <c r="D14" i="134" s="1"/>
  <c r="M354" i="132" s="1"/>
  <c r="M352" i="132"/>
  <c r="Q229" i="132"/>
  <c r="Q315" i="132" s="1"/>
  <c r="Q322" i="132" s="1"/>
  <c r="N352" i="132"/>
  <c r="E14" i="134" a="1"/>
  <c r="E14" i="134" s="1"/>
  <c r="N354" i="132" s="1"/>
  <c r="Q213" i="132"/>
  <c r="O359" i="132"/>
  <c r="O639" i="132"/>
  <c r="O638" i="132"/>
  <c r="O364" i="132"/>
  <c r="O358" i="132"/>
  <c r="O618" i="132"/>
  <c r="O619" i="132" s="1"/>
  <c r="G13" i="134" a="1"/>
  <c r="G13" i="134" s="1"/>
  <c r="P353" i="132" s="1"/>
  <c r="P352" i="132"/>
  <c r="Q307" i="132"/>
  <c r="Q310" i="132" s="1"/>
  <c r="Q280" i="132"/>
  <c r="C14" i="134" a="1"/>
  <c r="C14" i="134" s="1"/>
  <c r="L354" i="132" s="1"/>
  <c r="L358" i="132" l="1"/>
  <c r="H28" i="134"/>
  <c r="O385" i="132"/>
  <c r="O421" i="132"/>
  <c r="O400" i="132"/>
  <c r="O403" i="132" s="1"/>
  <c r="O469" i="132"/>
  <c r="O526" i="132" s="1"/>
  <c r="O436" i="132"/>
  <c r="O439" i="132" s="1"/>
  <c r="O496" i="132"/>
  <c r="O499" i="132" s="1"/>
  <c r="M365" i="132"/>
  <c r="M400" i="132" s="1"/>
  <c r="M403" i="132" s="1"/>
  <c r="J723" i="132"/>
  <c r="M638" i="132"/>
  <c r="N639" i="132"/>
  <c r="N364" i="132"/>
  <c r="N478" i="132" s="1"/>
  <c r="N481" i="132" s="1"/>
  <c r="M618" i="132"/>
  <c r="M619" i="132" s="1"/>
  <c r="M627" i="132" s="1"/>
  <c r="M668" i="132" s="1"/>
  <c r="M711" i="132" s="1"/>
  <c r="M364" i="132"/>
  <c r="M639" i="132"/>
  <c r="M359" i="132"/>
  <c r="M358" i="132"/>
  <c r="N638" i="132"/>
  <c r="N358" i="132"/>
  <c r="N618" i="132"/>
  <c r="N619" i="132" s="1"/>
  <c r="N627" i="132" s="1"/>
  <c r="N668" i="132" s="1"/>
  <c r="N711" i="132" s="1"/>
  <c r="N365" i="132"/>
  <c r="N479" i="132" s="1"/>
  <c r="N482" i="132" s="1"/>
  <c r="N359" i="132"/>
  <c r="O640" i="132"/>
  <c r="H12" i="134" a="1"/>
  <c r="H12" i="134" s="1"/>
  <c r="H13" i="134" s="1" a="1"/>
  <c r="H13" i="134" s="1"/>
  <c r="Q353" i="132" s="1"/>
  <c r="Q351" i="132"/>
  <c r="O627" i="132"/>
  <c r="O668" i="132" s="1"/>
  <c r="O711" i="132" s="1"/>
  <c r="O628" i="132"/>
  <c r="O680" i="132" s="1"/>
  <c r="O724" i="132" s="1"/>
  <c r="O478" i="132"/>
  <c r="O481" i="132" s="1"/>
  <c r="O384" i="132"/>
  <c r="O399" i="132"/>
  <c r="O402" i="132" s="1"/>
  <c r="O495" i="132"/>
  <c r="O498" i="132" s="1"/>
  <c r="O500" i="132" s="1"/>
  <c r="O420" i="132"/>
  <c r="O468" i="132"/>
  <c r="O516" i="132" s="1"/>
  <c r="O435" i="132"/>
  <c r="O438" i="132" s="1"/>
  <c r="O525" i="132"/>
  <c r="O424" i="132"/>
  <c r="G14" i="134" a="1"/>
  <c r="G14" i="134" s="1"/>
  <c r="P354" i="132" s="1"/>
  <c r="P639" i="132" s="1"/>
  <c r="O388" i="132"/>
  <c r="O524" i="132"/>
  <c r="L359" i="132"/>
  <c r="L618" i="132"/>
  <c r="L619" i="132" s="1"/>
  <c r="L364" i="132"/>
  <c r="L639" i="132"/>
  <c r="L365" i="132"/>
  <c r="L638" i="132"/>
  <c r="O404" i="132" l="1"/>
  <c r="O406" i="132" s="1"/>
  <c r="O650" i="132" s="1"/>
  <c r="O692" i="132" s="1"/>
  <c r="M421" i="132"/>
  <c r="M479" i="132"/>
  <c r="M482" i="132" s="1"/>
  <c r="O440" i="132"/>
  <c r="O444" i="132" s="1"/>
  <c r="O675" i="132" s="1"/>
  <c r="O719" i="132" s="1"/>
  <c r="M496" i="132"/>
  <c r="M499" i="132" s="1"/>
  <c r="M436" i="132"/>
  <c r="M439" i="132" s="1"/>
  <c r="M385" i="132"/>
  <c r="M388" i="132" s="1"/>
  <c r="M469" i="132"/>
  <c r="M526" i="132" s="1"/>
  <c r="M640" i="132"/>
  <c r="M643" i="132" s="1"/>
  <c r="M669" i="132" s="1"/>
  <c r="M712" i="132" s="1"/>
  <c r="N435" i="132"/>
  <c r="N438" i="132" s="1"/>
  <c r="N420" i="132"/>
  <c r="N423" i="132" s="1"/>
  <c r="N399" i="132"/>
  <c r="N402" i="132" s="1"/>
  <c r="N495" i="132"/>
  <c r="N498" i="132" s="1"/>
  <c r="N468" i="132"/>
  <c r="N516" i="132" s="1"/>
  <c r="N384" i="132"/>
  <c r="N514" i="132" s="1"/>
  <c r="N640" i="132"/>
  <c r="N643" i="132" s="1"/>
  <c r="N669" i="132" s="1"/>
  <c r="N712" i="132" s="1"/>
  <c r="M628" i="132"/>
  <c r="M680" i="132" s="1"/>
  <c r="M724" i="132" s="1"/>
  <c r="N421" i="132"/>
  <c r="N424" i="132" s="1"/>
  <c r="M468" i="132"/>
  <c r="M516" i="132" s="1"/>
  <c r="M420" i="132"/>
  <c r="M435" i="132"/>
  <c r="M438" i="132" s="1"/>
  <c r="M478" i="132"/>
  <c r="M481" i="132" s="1"/>
  <c r="M399" i="132"/>
  <c r="M402" i="132" s="1"/>
  <c r="M404" i="132" s="1"/>
  <c r="M384" i="132"/>
  <c r="M495" i="132"/>
  <c r="M498" i="132" s="1"/>
  <c r="N628" i="132"/>
  <c r="N680" i="132" s="1"/>
  <c r="N724" i="132" s="1"/>
  <c r="N400" i="132"/>
  <c r="N403" i="132" s="1"/>
  <c r="N385" i="132"/>
  <c r="N524" i="132" s="1"/>
  <c r="N436" i="132"/>
  <c r="N439" i="132" s="1"/>
  <c r="N469" i="132"/>
  <c r="N526" i="132" s="1"/>
  <c r="N496" i="132"/>
  <c r="N499" i="132" s="1"/>
  <c r="L640" i="132"/>
  <c r="L642" i="132" s="1"/>
  <c r="L657" i="132" s="1"/>
  <c r="L699" i="132" s="1"/>
  <c r="O643" i="132"/>
  <c r="O669" i="132" s="1"/>
  <c r="O712" i="132" s="1"/>
  <c r="O644" i="132"/>
  <c r="O681" i="132" s="1"/>
  <c r="O725" i="132" s="1"/>
  <c r="O642" i="132"/>
  <c r="O657" i="132" s="1"/>
  <c r="O699" i="132" s="1"/>
  <c r="O387" i="132"/>
  <c r="O514" i="132"/>
  <c r="P638" i="132"/>
  <c r="P640" i="132" s="1"/>
  <c r="O484" i="132"/>
  <c r="O527" i="132"/>
  <c r="N484" i="132"/>
  <c r="P359" i="132"/>
  <c r="P618" i="132"/>
  <c r="P619" i="132" s="1"/>
  <c r="P365" i="132"/>
  <c r="O423" i="132"/>
  <c r="O515" i="132"/>
  <c r="P358" i="132"/>
  <c r="O504" i="132"/>
  <c r="O676" i="132" s="1"/>
  <c r="O720" i="132" s="1"/>
  <c r="O502" i="132"/>
  <c r="O503" i="132"/>
  <c r="O664" i="132" s="1"/>
  <c r="O707" i="132" s="1"/>
  <c r="O506" i="132"/>
  <c r="Q352" i="132"/>
  <c r="H14" i="134" a="1"/>
  <c r="H14" i="134" s="1"/>
  <c r="Q354" i="132" s="1"/>
  <c r="P364" i="132"/>
  <c r="M424" i="132"/>
  <c r="M525" i="132"/>
  <c r="L479" i="132"/>
  <c r="L482" i="132" s="1"/>
  <c r="L400" i="132"/>
  <c r="L403" i="132" s="1"/>
  <c r="L496" i="132"/>
  <c r="L499" i="132" s="1"/>
  <c r="L436" i="132"/>
  <c r="L439" i="132" s="1"/>
  <c r="L469" i="132"/>
  <c r="L526" i="132" s="1"/>
  <c r="L385" i="132"/>
  <c r="L421" i="132"/>
  <c r="L628" i="132"/>
  <c r="L680" i="132" s="1"/>
  <c r="L724" i="132" s="1"/>
  <c r="L627" i="132"/>
  <c r="L668" i="132" s="1"/>
  <c r="L711" i="132" s="1"/>
  <c r="L495" i="132"/>
  <c r="L498" i="132" s="1"/>
  <c r="L384" i="132"/>
  <c r="L468" i="132"/>
  <c r="L516" i="132" s="1"/>
  <c r="L435" i="132"/>
  <c r="L438" i="132" s="1"/>
  <c r="L420" i="132"/>
  <c r="L399" i="132"/>
  <c r="L402" i="132" s="1"/>
  <c r="L478" i="132"/>
  <c r="L481" i="132" s="1"/>
  <c r="O407" i="132" l="1"/>
  <c r="O662" i="132" s="1"/>
  <c r="O705" i="132" s="1"/>
  <c r="O442" i="132"/>
  <c r="O651" i="132" s="1"/>
  <c r="O693" i="132" s="1"/>
  <c r="M500" i="132"/>
  <c r="M502" i="132" s="1"/>
  <c r="M652" i="132" s="1"/>
  <c r="M694" i="132" s="1"/>
  <c r="O408" i="132"/>
  <c r="O674" i="132" s="1"/>
  <c r="O718" i="132" s="1"/>
  <c r="M484" i="132"/>
  <c r="M655" i="132" s="1"/>
  <c r="M697" i="132" s="1"/>
  <c r="O443" i="132"/>
  <c r="O663" i="132" s="1"/>
  <c r="O706" i="132" s="1"/>
  <c r="O732" i="132" s="1"/>
  <c r="M644" i="132"/>
  <c r="M681" i="132" s="1"/>
  <c r="M725" i="132" s="1"/>
  <c r="M642" i="132"/>
  <c r="M657" i="132" s="1"/>
  <c r="M699" i="132" s="1"/>
  <c r="M524" i="132"/>
  <c r="M527" i="132" s="1"/>
  <c r="N440" i="132"/>
  <c r="N442" i="132" s="1"/>
  <c r="N651" i="132" s="1"/>
  <c r="N693" i="132" s="1"/>
  <c r="M440" i="132"/>
  <c r="M444" i="132" s="1"/>
  <c r="M675" i="132" s="1"/>
  <c r="M719" i="132" s="1"/>
  <c r="N515" i="132"/>
  <c r="N517" i="132" s="1"/>
  <c r="N539" i="132" s="1"/>
  <c r="N551" i="132" s="1"/>
  <c r="N550" i="132" s="1"/>
  <c r="N500" i="132"/>
  <c r="N506" i="132" s="1"/>
  <c r="N644" i="132"/>
  <c r="N681" i="132" s="1"/>
  <c r="N725" i="132" s="1"/>
  <c r="N642" i="132"/>
  <c r="N657" i="132" s="1"/>
  <c r="N699" i="132" s="1"/>
  <c r="N387" i="132"/>
  <c r="N404" i="132"/>
  <c r="N408" i="132" s="1"/>
  <c r="N674" i="132" s="1"/>
  <c r="N718" i="132" s="1"/>
  <c r="M406" i="132"/>
  <c r="M650" i="132" s="1"/>
  <c r="M692" i="132" s="1"/>
  <c r="M407" i="132"/>
  <c r="M662" i="132" s="1"/>
  <c r="M705" i="132" s="1"/>
  <c r="M408" i="132"/>
  <c r="M674" i="132" s="1"/>
  <c r="M718" i="132" s="1"/>
  <c r="M504" i="132"/>
  <c r="M676" i="132" s="1"/>
  <c r="M720" i="132" s="1"/>
  <c r="M515" i="132"/>
  <c r="M423" i="132"/>
  <c r="M426" i="132" s="1"/>
  <c r="L643" i="132"/>
  <c r="L669" i="132" s="1"/>
  <c r="L712" i="132" s="1"/>
  <c r="N525" i="132"/>
  <c r="N527" i="132" s="1"/>
  <c r="M387" i="132"/>
  <c r="M390" i="132" s="1"/>
  <c r="M391" i="132" s="1"/>
  <c r="M665" i="132" s="1"/>
  <c r="M708" i="132" s="1"/>
  <c r="M514" i="132"/>
  <c r="N388" i="132"/>
  <c r="L644" i="132"/>
  <c r="L681" i="132" s="1"/>
  <c r="L725" i="132" s="1"/>
  <c r="O738" i="132"/>
  <c r="O517" i="132"/>
  <c r="O539" i="132" s="1"/>
  <c r="N426" i="132"/>
  <c r="N654" i="132" s="1"/>
  <c r="N696" i="132" s="1"/>
  <c r="Q618" i="132"/>
  <c r="Q619" i="132" s="1"/>
  <c r="Q627" i="132" s="1"/>
  <c r="Q668" i="132" s="1"/>
  <c r="Q711" i="132" s="1"/>
  <c r="Q364" i="132"/>
  <c r="Q384" i="132" s="1"/>
  <c r="Q639" i="132"/>
  <c r="O426" i="132"/>
  <c r="O427" i="132" s="1"/>
  <c r="O666" i="132" s="1"/>
  <c r="O709" i="132" s="1"/>
  <c r="O655" i="132"/>
  <c r="O697" i="132" s="1"/>
  <c r="Q359" i="132"/>
  <c r="Q638" i="132"/>
  <c r="P644" i="132"/>
  <c r="P681" i="132" s="1"/>
  <c r="P725" i="132" s="1"/>
  <c r="P643" i="132"/>
  <c r="P669" i="132" s="1"/>
  <c r="P712" i="132" s="1"/>
  <c r="P642" i="132"/>
  <c r="P657" i="132" s="1"/>
  <c r="P699" i="132" s="1"/>
  <c r="Q358" i="132"/>
  <c r="P495" i="132"/>
  <c r="P498" i="132" s="1"/>
  <c r="P468" i="132"/>
  <c r="P516" i="132" s="1"/>
  <c r="P399" i="132"/>
  <c r="P402" i="132" s="1"/>
  <c r="P478" i="132"/>
  <c r="P481" i="132" s="1"/>
  <c r="P420" i="132"/>
  <c r="P435" i="132"/>
  <c r="P438" i="132" s="1"/>
  <c r="P384" i="132"/>
  <c r="Q365" i="132"/>
  <c r="O505" i="132"/>
  <c r="O652" i="132"/>
  <c r="O694" i="132" s="1"/>
  <c r="O733" i="132" s="1"/>
  <c r="P421" i="132"/>
  <c r="P496" i="132"/>
  <c r="P499" i="132" s="1"/>
  <c r="P436" i="132"/>
  <c r="P439" i="132" s="1"/>
  <c r="P469" i="132"/>
  <c r="P526" i="132" s="1"/>
  <c r="P385" i="132"/>
  <c r="P479" i="132"/>
  <c r="P482" i="132" s="1"/>
  <c r="P400" i="132"/>
  <c r="P403" i="132" s="1"/>
  <c r="N655" i="132"/>
  <c r="N697" i="132" s="1"/>
  <c r="O390" i="132"/>
  <c r="P627" i="132"/>
  <c r="P668" i="132" s="1"/>
  <c r="P711" i="132" s="1"/>
  <c r="P628" i="132"/>
  <c r="P680" i="132" s="1"/>
  <c r="P724" i="132" s="1"/>
  <c r="O541" i="132"/>
  <c r="O540" i="132"/>
  <c r="N485" i="132"/>
  <c r="N667" i="132" s="1"/>
  <c r="N710" i="132" s="1"/>
  <c r="O485" i="132"/>
  <c r="O667" i="132" s="1"/>
  <c r="O710" i="132" s="1"/>
  <c r="L440" i="132"/>
  <c r="L443" i="132" s="1"/>
  <c r="L663" i="132" s="1"/>
  <c r="L706" i="132" s="1"/>
  <c r="L514" i="132"/>
  <c r="L387" i="132"/>
  <c r="L500" i="132"/>
  <c r="L484" i="132"/>
  <c r="L404" i="132"/>
  <c r="L424" i="132"/>
  <c r="L525" i="132"/>
  <c r="L515" i="132"/>
  <c r="L423" i="132"/>
  <c r="L388" i="132"/>
  <c r="L524" i="132"/>
  <c r="O589" i="132" l="1"/>
  <c r="M485" i="132"/>
  <c r="M667" i="132" s="1"/>
  <c r="M710" i="132" s="1"/>
  <c r="O731" i="132"/>
  <c r="M503" i="132"/>
  <c r="M664" i="132" s="1"/>
  <c r="M707" i="132" s="1"/>
  <c r="M733" i="132" s="1"/>
  <c r="M506" i="132"/>
  <c r="M738" i="132"/>
  <c r="N443" i="132"/>
  <c r="N663" i="132" s="1"/>
  <c r="N706" i="132" s="1"/>
  <c r="N444" i="132"/>
  <c r="N675" i="132" s="1"/>
  <c r="N719" i="132" s="1"/>
  <c r="M443" i="132"/>
  <c r="M663" i="132" s="1"/>
  <c r="M706" i="132" s="1"/>
  <c r="M442" i="132"/>
  <c r="M651" i="132" s="1"/>
  <c r="M693" i="132" s="1"/>
  <c r="N738" i="132"/>
  <c r="N502" i="132"/>
  <c r="N652" i="132" s="1"/>
  <c r="N694" i="132" s="1"/>
  <c r="N503" i="132"/>
  <c r="N664" i="132" s="1"/>
  <c r="N707" i="132" s="1"/>
  <c r="N504" i="132"/>
  <c r="N676" i="132" s="1"/>
  <c r="N720" i="132" s="1"/>
  <c r="N390" i="132"/>
  <c r="N391" i="132" s="1"/>
  <c r="N665" i="132" s="1"/>
  <c r="N708" i="132" s="1"/>
  <c r="N407" i="132"/>
  <c r="N662" i="132" s="1"/>
  <c r="N705" i="132" s="1"/>
  <c r="N406" i="132"/>
  <c r="N650" i="132" s="1"/>
  <c r="N692" i="132" s="1"/>
  <c r="L738" i="132"/>
  <c r="M731" i="132"/>
  <c r="M505" i="132"/>
  <c r="M427" i="132"/>
  <c r="M666" i="132" s="1"/>
  <c r="M709" i="132" s="1"/>
  <c r="M654" i="132"/>
  <c r="M696" i="132" s="1"/>
  <c r="M517" i="132"/>
  <c r="M539" i="132" s="1"/>
  <c r="M653" i="132"/>
  <c r="M695" i="132" s="1"/>
  <c r="M734" i="132" s="1"/>
  <c r="O545" i="132"/>
  <c r="Q435" i="132"/>
  <c r="Q438" i="132" s="1"/>
  <c r="P738" i="132"/>
  <c r="O551" i="132"/>
  <c r="Q628" i="132"/>
  <c r="Q680" i="132" s="1"/>
  <c r="Q724" i="132" s="1"/>
  <c r="X724" i="132" s="1"/>
  <c r="I711" i="132"/>
  <c r="D49" i="136" s="1"/>
  <c r="D61" i="136" s="1"/>
  <c r="Q478" i="132"/>
  <c r="Q481" i="132" s="1"/>
  <c r="Q640" i="132"/>
  <c r="Q644" i="132" s="1"/>
  <c r="Q681" i="132" s="1"/>
  <c r="Q725" i="132" s="1"/>
  <c r="Q399" i="132"/>
  <c r="Q402" i="132" s="1"/>
  <c r="Q420" i="132"/>
  <c r="Q423" i="132" s="1"/>
  <c r="Q468" i="132"/>
  <c r="Q516" i="132" s="1"/>
  <c r="Q495" i="132"/>
  <c r="Q498" i="132" s="1"/>
  <c r="N427" i="132"/>
  <c r="N666" i="132" s="1"/>
  <c r="N709" i="132" s="1"/>
  <c r="N735" i="132" s="1"/>
  <c r="H711" i="132"/>
  <c r="P440" i="132"/>
  <c r="P443" i="132" s="1"/>
  <c r="P663" i="132" s="1"/>
  <c r="P706" i="132" s="1"/>
  <c r="L442" i="132"/>
  <c r="L651" i="132" s="1"/>
  <c r="L693" i="132" s="1"/>
  <c r="O487" i="132"/>
  <c r="L444" i="132"/>
  <c r="L675" i="132" s="1"/>
  <c r="L719" i="132" s="1"/>
  <c r="N736" i="132"/>
  <c r="P424" i="132"/>
  <c r="P525" i="132"/>
  <c r="P514" i="132"/>
  <c r="P387" i="132"/>
  <c r="O736" i="132"/>
  <c r="N541" i="132"/>
  <c r="N540" i="132"/>
  <c r="N487" i="132"/>
  <c r="Q421" i="132"/>
  <c r="Q436" i="132"/>
  <c r="Q439" i="132" s="1"/>
  <c r="Q496" i="132"/>
  <c r="Q499" i="132" s="1"/>
  <c r="Q385" i="132"/>
  <c r="Q469" i="132"/>
  <c r="Q526" i="132" s="1"/>
  <c r="Q400" i="132"/>
  <c r="Q403" i="132" s="1"/>
  <c r="Q479" i="132"/>
  <c r="Q482" i="132" s="1"/>
  <c r="O590" i="132"/>
  <c r="O546" i="132"/>
  <c r="O552" i="132"/>
  <c r="P515" i="132"/>
  <c r="P423" i="132"/>
  <c r="N589" i="132"/>
  <c r="N545" i="132"/>
  <c r="O553" i="132"/>
  <c r="O595" i="132" s="1"/>
  <c r="O591" i="132"/>
  <c r="P484" i="132"/>
  <c r="Q514" i="132"/>
  <c r="Q387" i="132"/>
  <c r="P388" i="132"/>
  <c r="P524" i="132"/>
  <c r="P404" i="132"/>
  <c r="O653" i="132"/>
  <c r="O695" i="132" s="1"/>
  <c r="O654" i="132"/>
  <c r="O696" i="132" s="1"/>
  <c r="O735" i="132" s="1"/>
  <c r="O429" i="132"/>
  <c r="Y711" i="132"/>
  <c r="X711" i="132"/>
  <c r="D19" i="136"/>
  <c r="D31" i="136" s="1"/>
  <c r="AD711" i="132"/>
  <c r="AA711" i="132"/>
  <c r="AF711" i="132"/>
  <c r="AB711" i="132"/>
  <c r="AH711" i="132"/>
  <c r="V711" i="132"/>
  <c r="W711" i="132"/>
  <c r="AC711" i="132"/>
  <c r="Z711" i="132"/>
  <c r="AE711" i="132"/>
  <c r="T711" i="132"/>
  <c r="S711" i="132"/>
  <c r="R711" i="132"/>
  <c r="AG711" i="132"/>
  <c r="U711" i="132"/>
  <c r="O391" i="132"/>
  <c r="O665" i="132" s="1"/>
  <c r="O708" i="132" s="1"/>
  <c r="P500" i="132"/>
  <c r="L527" i="132"/>
  <c r="L540" i="132" s="1"/>
  <c r="M487" i="132"/>
  <c r="M736" i="132"/>
  <c r="M393" i="132"/>
  <c r="L390" i="132"/>
  <c r="L391" i="132" s="1"/>
  <c r="L665" i="132" s="1"/>
  <c r="L708" i="132" s="1"/>
  <c r="L517" i="132"/>
  <c r="L539" i="132" s="1"/>
  <c r="L426" i="132"/>
  <c r="L407" i="132"/>
  <c r="L662" i="132" s="1"/>
  <c r="L705" i="132" s="1"/>
  <c r="L408" i="132"/>
  <c r="L674" i="132" s="1"/>
  <c r="L718" i="132" s="1"/>
  <c r="L406" i="132"/>
  <c r="L650" i="132" s="1"/>
  <c r="L692" i="132" s="1"/>
  <c r="L655" i="132"/>
  <c r="L697" i="132" s="1"/>
  <c r="M540" i="132"/>
  <c r="M541" i="132"/>
  <c r="L502" i="132"/>
  <c r="L506" i="132"/>
  <c r="L504" i="132"/>
  <c r="L676" i="132" s="1"/>
  <c r="L720" i="132" s="1"/>
  <c r="L503" i="132"/>
  <c r="L664" i="132" s="1"/>
  <c r="L707" i="132" s="1"/>
  <c r="L485" i="132"/>
  <c r="L667" i="132" s="1"/>
  <c r="L710" i="132" s="1"/>
  <c r="O593" i="132" l="1"/>
  <c r="O550" i="132"/>
  <c r="N732" i="132"/>
  <c r="M732" i="132"/>
  <c r="N393" i="132"/>
  <c r="N653" i="132"/>
  <c r="N695" i="132" s="1"/>
  <c r="N734" i="132" s="1"/>
  <c r="N733" i="132"/>
  <c r="N505" i="132"/>
  <c r="N731" i="132"/>
  <c r="M429" i="132"/>
  <c r="H724" i="132"/>
  <c r="M735" i="132"/>
  <c r="Q440" i="132"/>
  <c r="Q444" i="132" s="1"/>
  <c r="Q675" i="132" s="1"/>
  <c r="Q719" i="132" s="1"/>
  <c r="M551" i="132"/>
  <c r="M550" i="132" s="1"/>
  <c r="M545" i="132"/>
  <c r="M589" i="132"/>
  <c r="L427" i="132"/>
  <c r="L666" i="132" s="1"/>
  <c r="L709" i="132" s="1"/>
  <c r="S724" i="132"/>
  <c r="AC724" i="132"/>
  <c r="T724" i="132"/>
  <c r="AF724" i="132"/>
  <c r="AE724" i="132"/>
  <c r="U724" i="132"/>
  <c r="R724" i="132"/>
  <c r="AG724" i="132"/>
  <c r="E19" i="136"/>
  <c r="E31" i="136" s="1"/>
  <c r="AB724" i="132"/>
  <c r="AA724" i="132"/>
  <c r="AD724" i="132"/>
  <c r="Y724" i="132"/>
  <c r="V724" i="132"/>
  <c r="O557" i="132"/>
  <c r="O577" i="132" s="1"/>
  <c r="Q643" i="132"/>
  <c r="Q669" i="132" s="1"/>
  <c r="Q712" i="132" s="1"/>
  <c r="V712" i="132" s="1"/>
  <c r="Q484" i="132"/>
  <c r="Q485" i="132" s="1"/>
  <c r="Q667" i="132" s="1"/>
  <c r="Q710" i="132" s="1"/>
  <c r="Z724" i="132"/>
  <c r="W724" i="132"/>
  <c r="Q642" i="132"/>
  <c r="Q657" i="132" s="1"/>
  <c r="Q699" i="132" s="1"/>
  <c r="S699" i="132" s="1"/>
  <c r="I724" i="132"/>
  <c r="E49" i="136" s="1"/>
  <c r="E61" i="136" s="1"/>
  <c r="Q404" i="132"/>
  <c r="Q407" i="132" s="1"/>
  <c r="Q662" i="132" s="1"/>
  <c r="Q705" i="132" s="1"/>
  <c r="AH724" i="132"/>
  <c r="Q500" i="132"/>
  <c r="Q502" i="132" s="1"/>
  <c r="L732" i="132"/>
  <c r="Q515" i="132"/>
  <c r="Q517" i="132" s="1"/>
  <c r="Q539" i="132" s="1"/>
  <c r="P442" i="132"/>
  <c r="P651" i="132" s="1"/>
  <c r="P693" i="132" s="1"/>
  <c r="P517" i="132"/>
  <c r="P539" i="132" s="1"/>
  <c r="P444" i="132"/>
  <c r="P675" i="132" s="1"/>
  <c r="P719" i="132" s="1"/>
  <c r="N429" i="132"/>
  <c r="O393" i="132"/>
  <c r="P390" i="132"/>
  <c r="P391" i="132" s="1"/>
  <c r="O734" i="132"/>
  <c r="N591" i="132"/>
  <c r="N553" i="132"/>
  <c r="N595" i="132" s="1"/>
  <c r="N557" i="132"/>
  <c r="N577" i="132" s="1"/>
  <c r="N593" i="132"/>
  <c r="Q424" i="132"/>
  <c r="Q426" i="132" s="1"/>
  <c r="Q427" i="132" s="1"/>
  <c r="Q666" i="132" s="1"/>
  <c r="Q709" i="132" s="1"/>
  <c r="Q525" i="132"/>
  <c r="P485" i="132"/>
  <c r="P667" i="132" s="1"/>
  <c r="P710" i="132" s="1"/>
  <c r="P655" i="132"/>
  <c r="P697" i="132" s="1"/>
  <c r="P426" i="132"/>
  <c r="P427" i="132" s="1"/>
  <c r="P666" i="132" s="1"/>
  <c r="P709" i="132" s="1"/>
  <c r="P407" i="132"/>
  <c r="P662" i="132" s="1"/>
  <c r="P406" i="132"/>
  <c r="P650" i="132" s="1"/>
  <c r="P408" i="132"/>
  <c r="P674" i="132" s="1"/>
  <c r="L541" i="132"/>
  <c r="L553" i="132" s="1"/>
  <c r="L595" i="132" s="1"/>
  <c r="P502" i="132"/>
  <c r="P504" i="132"/>
  <c r="P676" i="132" s="1"/>
  <c r="P720" i="132" s="1"/>
  <c r="P506" i="132"/>
  <c r="P503" i="132"/>
  <c r="P664" i="132" s="1"/>
  <c r="P707" i="132" s="1"/>
  <c r="O603" i="132"/>
  <c r="O606" i="132"/>
  <c r="O607" i="132" s="1"/>
  <c r="J711" i="132"/>
  <c r="AH725" i="132"/>
  <c r="AD725" i="132"/>
  <c r="AE725" i="132"/>
  <c r="W725" i="132"/>
  <c r="AG725" i="132"/>
  <c r="S725" i="132"/>
  <c r="U725" i="132"/>
  <c r="V725" i="132"/>
  <c r="Z725" i="132"/>
  <c r="AA725" i="132"/>
  <c r="AF725" i="132"/>
  <c r="E20" i="136"/>
  <c r="E32" i="136" s="1"/>
  <c r="X725" i="132"/>
  <c r="AC725" i="132"/>
  <c r="R725" i="132"/>
  <c r="T725" i="132"/>
  <c r="AB725" i="132"/>
  <c r="Y725" i="132"/>
  <c r="H725" i="132"/>
  <c r="I725" i="132"/>
  <c r="E50" i="136" s="1"/>
  <c r="E62" i="136" s="1"/>
  <c r="P527" i="132"/>
  <c r="O594" i="132"/>
  <c r="O558" i="132"/>
  <c r="O559" i="132" s="1"/>
  <c r="Q524" i="132"/>
  <c r="Q388" i="132"/>
  <c r="O547" i="132"/>
  <c r="N590" i="132"/>
  <c r="N552" i="132"/>
  <c r="N546" i="132"/>
  <c r="N547" i="132" s="1"/>
  <c r="L487" i="132"/>
  <c r="L731" i="132"/>
  <c r="M553" i="132"/>
  <c r="M595" i="132" s="1"/>
  <c r="M591" i="132"/>
  <c r="M546" i="132"/>
  <c r="M552" i="132"/>
  <c r="M590" i="132"/>
  <c r="L546" i="132"/>
  <c r="L552" i="132"/>
  <c r="L590" i="132"/>
  <c r="L654" i="132"/>
  <c r="L696" i="132" s="1"/>
  <c r="L736" i="132"/>
  <c r="L545" i="132"/>
  <c r="L551" i="132"/>
  <c r="L550" i="132" s="1"/>
  <c r="L589" i="132"/>
  <c r="L505" i="132"/>
  <c r="L652" i="132"/>
  <c r="L694" i="132" s="1"/>
  <c r="L653" i="132"/>
  <c r="L695" i="132" s="1"/>
  <c r="L393" i="132"/>
  <c r="P551" i="132" l="1"/>
  <c r="P550" i="132" s="1"/>
  <c r="O592" i="132"/>
  <c r="O596" i="132" a="1"/>
  <c r="Q443" i="132"/>
  <c r="Q663" i="132" s="1"/>
  <c r="Q706" i="132" s="1"/>
  <c r="Z706" i="132" s="1"/>
  <c r="Q442" i="132"/>
  <c r="Q651" i="132" s="1"/>
  <c r="Q693" i="132" s="1"/>
  <c r="R693" i="132" s="1"/>
  <c r="L429" i="132"/>
  <c r="M557" i="132"/>
  <c r="M577" i="132" s="1"/>
  <c r="M593" i="132"/>
  <c r="C20" i="136"/>
  <c r="C32" i="136" s="1"/>
  <c r="AG699" i="132"/>
  <c r="R699" i="132"/>
  <c r="O556" i="132"/>
  <c r="O576" i="132" s="1"/>
  <c r="O596" i="132"/>
  <c r="AA699" i="132"/>
  <c r="AD699" i="132"/>
  <c r="AF699" i="132"/>
  <c r="H712" i="132"/>
  <c r="U712" i="132"/>
  <c r="AB712" i="132"/>
  <c r="Z712" i="132"/>
  <c r="S712" i="132"/>
  <c r="AE712" i="132"/>
  <c r="AH712" i="132"/>
  <c r="I699" i="132"/>
  <c r="C50" i="136" s="1"/>
  <c r="C62" i="136" s="1"/>
  <c r="AE699" i="132"/>
  <c r="AG712" i="132"/>
  <c r="H699" i="132"/>
  <c r="T712" i="132"/>
  <c r="Q506" i="132"/>
  <c r="Q504" i="132"/>
  <c r="Q676" i="132" s="1"/>
  <c r="Q720" i="132" s="1"/>
  <c r="AB720" i="132" s="1"/>
  <c r="AF712" i="132"/>
  <c r="Q503" i="132"/>
  <c r="Q664" i="132" s="1"/>
  <c r="Q707" i="132" s="1"/>
  <c r="V707" i="132" s="1"/>
  <c r="AD712" i="132"/>
  <c r="AA712" i="132"/>
  <c r="Y712" i="132"/>
  <c r="R712" i="132"/>
  <c r="I712" i="132"/>
  <c r="D50" i="136" s="1"/>
  <c r="D62" i="136" s="1"/>
  <c r="W712" i="132"/>
  <c r="D20" i="136"/>
  <c r="D32" i="136" s="1"/>
  <c r="Q655" i="132"/>
  <c r="Q697" i="132" s="1"/>
  <c r="T697" i="132" s="1"/>
  <c r="AC712" i="132"/>
  <c r="X712" i="132"/>
  <c r="Q406" i="132"/>
  <c r="Q650" i="132" s="1"/>
  <c r="Q692" i="132" s="1"/>
  <c r="AF692" i="132" s="1"/>
  <c r="J724" i="132"/>
  <c r="Q408" i="132"/>
  <c r="Q674" i="132" s="1"/>
  <c r="Q718" i="132" s="1"/>
  <c r="AE718" i="132" s="1"/>
  <c r="U699" i="132"/>
  <c r="AC699" i="132"/>
  <c r="AH699" i="132"/>
  <c r="Z699" i="132"/>
  <c r="N596" i="132" a="1"/>
  <c r="N596" i="132" s="1"/>
  <c r="V699" i="132"/>
  <c r="W699" i="132"/>
  <c r="Y699" i="132"/>
  <c r="T699" i="132"/>
  <c r="X699" i="132"/>
  <c r="AB699" i="132"/>
  <c r="O578" i="132"/>
  <c r="Q738" i="132"/>
  <c r="W738" i="132" s="1"/>
  <c r="I710" i="132"/>
  <c r="D47" i="136" s="1"/>
  <c r="H710" i="132"/>
  <c r="Q527" i="132"/>
  <c r="Q540" i="132" s="1"/>
  <c r="P487" i="132"/>
  <c r="P653" i="132"/>
  <c r="P695" i="132" s="1"/>
  <c r="P665" i="132"/>
  <c r="P708" i="132" s="1"/>
  <c r="P393" i="132"/>
  <c r="Q487" i="132"/>
  <c r="P732" i="132"/>
  <c r="P545" i="132"/>
  <c r="P589" i="132"/>
  <c r="O597" i="132" a="1"/>
  <c r="O597" i="132" s="1"/>
  <c r="O598" i="132" s="1"/>
  <c r="J725" i="132"/>
  <c r="M596" i="132" a="1"/>
  <c r="M596" i="132" s="1"/>
  <c r="Q390" i="132"/>
  <c r="Q391" i="132" s="1"/>
  <c r="Q665" i="132" s="1"/>
  <c r="Q708" i="132" s="1"/>
  <c r="AC709" i="132"/>
  <c r="AG709" i="132"/>
  <c r="R709" i="132"/>
  <c r="AD709" i="132"/>
  <c r="Z709" i="132"/>
  <c r="AH709" i="132"/>
  <c r="AE709" i="132"/>
  <c r="AB709" i="132"/>
  <c r="Y709" i="132"/>
  <c r="T709" i="132"/>
  <c r="S709" i="132"/>
  <c r="AF709" i="132"/>
  <c r="U709" i="132"/>
  <c r="X709" i="132"/>
  <c r="W709" i="132"/>
  <c r="AA709" i="132"/>
  <c r="V709" i="132"/>
  <c r="D16" i="136"/>
  <c r="I709" i="132"/>
  <c r="D46" i="136" s="1"/>
  <c r="H709" i="132"/>
  <c r="N606" i="132"/>
  <c r="N607" i="132" s="1"/>
  <c r="N603" i="132"/>
  <c r="O579" i="132"/>
  <c r="O583" i="132" s="1"/>
  <c r="O658" i="132" s="1"/>
  <c r="O700" i="132" s="1"/>
  <c r="P652" i="132"/>
  <c r="P694" i="132" s="1"/>
  <c r="P733" i="132" s="1"/>
  <c r="P505" i="132"/>
  <c r="Q652" i="132"/>
  <c r="Q694" i="132" s="1"/>
  <c r="P736" i="132"/>
  <c r="Q551" i="132"/>
  <c r="Q550" i="132" s="1"/>
  <c r="Q545" i="132"/>
  <c r="Q589" i="132"/>
  <c r="AC693" i="132"/>
  <c r="V693" i="132"/>
  <c r="AE693" i="132"/>
  <c r="X705" i="132"/>
  <c r="AG705" i="132"/>
  <c r="D13" i="136"/>
  <c r="W705" i="132"/>
  <c r="T705" i="132"/>
  <c r="V705" i="132"/>
  <c r="R705" i="132"/>
  <c r="AC705" i="132"/>
  <c r="AD705" i="132"/>
  <c r="AE705" i="132"/>
  <c r="AH705" i="132"/>
  <c r="Z705" i="132"/>
  <c r="AF705" i="132"/>
  <c r="AB705" i="132"/>
  <c r="U705" i="132"/>
  <c r="S705" i="132"/>
  <c r="AA705" i="132"/>
  <c r="Y705" i="132"/>
  <c r="P718" i="132"/>
  <c r="AH719" i="132"/>
  <c r="AA719" i="132"/>
  <c r="AB719" i="132"/>
  <c r="U719" i="132"/>
  <c r="AD719" i="132"/>
  <c r="T719" i="132"/>
  <c r="Y719" i="132"/>
  <c r="S719" i="132"/>
  <c r="W719" i="132"/>
  <c r="X719" i="132"/>
  <c r="AC719" i="132"/>
  <c r="AE719" i="132"/>
  <c r="E14" i="136"/>
  <c r="AG719" i="132"/>
  <c r="R719" i="132"/>
  <c r="V719" i="132"/>
  <c r="AF719" i="132"/>
  <c r="Z719" i="132"/>
  <c r="H719" i="132"/>
  <c r="I719" i="132"/>
  <c r="E44" i="136" s="1"/>
  <c r="L591" i="132"/>
  <c r="P692" i="132"/>
  <c r="P593" i="132"/>
  <c r="P557" i="132"/>
  <c r="P540" i="132"/>
  <c r="P541" i="132"/>
  <c r="Q654" i="132"/>
  <c r="Q696" i="132" s="1"/>
  <c r="Q429" i="132"/>
  <c r="P705" i="132"/>
  <c r="N558" i="132"/>
  <c r="N594" i="132"/>
  <c r="X710" i="132"/>
  <c r="Y710" i="132"/>
  <c r="V710" i="132"/>
  <c r="S710" i="132"/>
  <c r="AH710" i="132"/>
  <c r="R710" i="132"/>
  <c r="AB710" i="132"/>
  <c r="Z710" i="132"/>
  <c r="W710" i="132"/>
  <c r="AC710" i="132"/>
  <c r="AF710" i="132"/>
  <c r="T710" i="132"/>
  <c r="AA710" i="132"/>
  <c r="AD710" i="132"/>
  <c r="D17" i="136"/>
  <c r="AG710" i="132"/>
  <c r="U710" i="132"/>
  <c r="AE710" i="132"/>
  <c r="O612" i="132"/>
  <c r="O613" i="132" s="1"/>
  <c r="O622" i="132"/>
  <c r="P654" i="132"/>
  <c r="P696" i="132" s="1"/>
  <c r="P735" i="132" s="1"/>
  <c r="P429" i="132"/>
  <c r="N592" i="132"/>
  <c r="N556" i="132"/>
  <c r="L735" i="132"/>
  <c r="L557" i="132"/>
  <c r="L577" i="132" s="1"/>
  <c r="L593" i="132"/>
  <c r="L594" i="132"/>
  <c r="L558" i="132"/>
  <c r="L559" i="132" s="1"/>
  <c r="L547" i="132"/>
  <c r="M558" i="132"/>
  <c r="M559" i="132" s="1"/>
  <c r="M594" i="132"/>
  <c r="L734" i="132"/>
  <c r="M547" i="132"/>
  <c r="L733" i="132"/>
  <c r="S693" i="132" l="1"/>
  <c r="H706" i="132"/>
  <c r="D14" i="136"/>
  <c r="AC706" i="132"/>
  <c r="I706" i="132"/>
  <c r="D44" i="136" s="1"/>
  <c r="S706" i="132"/>
  <c r="W693" i="132"/>
  <c r="X706" i="132"/>
  <c r="AB706" i="132"/>
  <c r="U706" i="132"/>
  <c r="V706" i="132"/>
  <c r="AA706" i="132"/>
  <c r="H693" i="132"/>
  <c r="T693" i="132"/>
  <c r="Z693" i="132"/>
  <c r="AG693" i="132"/>
  <c r="R706" i="132"/>
  <c r="AH706" i="132"/>
  <c r="O585" i="132"/>
  <c r="O682" i="132" s="1"/>
  <c r="Y693" i="132"/>
  <c r="AB693" i="132"/>
  <c r="X693" i="132"/>
  <c r="AD706" i="132"/>
  <c r="T706" i="132"/>
  <c r="I693" i="132"/>
  <c r="C44" i="136" s="1"/>
  <c r="AD693" i="132"/>
  <c r="AH693" i="132"/>
  <c r="Q732" i="132"/>
  <c r="Z732" i="132" s="1"/>
  <c r="AG706" i="132"/>
  <c r="AF706" i="132"/>
  <c r="AE706" i="132"/>
  <c r="C14" i="136"/>
  <c r="AA693" i="132"/>
  <c r="AF693" i="132"/>
  <c r="U693" i="132"/>
  <c r="W706" i="132"/>
  <c r="Y706" i="132"/>
  <c r="AH692" i="132"/>
  <c r="AA738" i="132"/>
  <c r="AH738" i="132"/>
  <c r="M556" i="132"/>
  <c r="M592" i="132"/>
  <c r="M597" i="132" s="1" a="1"/>
  <c r="M597" i="132" s="1"/>
  <c r="M598" i="132" s="1"/>
  <c r="M606" i="132"/>
  <c r="M607" i="132" s="1"/>
  <c r="M603" i="132"/>
  <c r="Y738" i="132"/>
  <c r="P577" i="132"/>
  <c r="H720" i="132"/>
  <c r="O584" i="132"/>
  <c r="O670" i="132" s="1"/>
  <c r="O713" i="132" s="1"/>
  <c r="O714" i="132" s="1"/>
  <c r="O715" i="132" s="1"/>
  <c r="AE720" i="132"/>
  <c r="H707" i="132"/>
  <c r="T720" i="132"/>
  <c r="S697" i="132"/>
  <c r="AE697" i="132"/>
  <c r="Z707" i="132"/>
  <c r="X697" i="132"/>
  <c r="R697" i="132"/>
  <c r="AB707" i="132"/>
  <c r="AF697" i="132"/>
  <c r="AB697" i="132"/>
  <c r="I697" i="132"/>
  <c r="C47" i="136" s="1"/>
  <c r="F47" i="136" s="1"/>
  <c r="Y692" i="132"/>
  <c r="C13" i="136"/>
  <c r="AB718" i="132"/>
  <c r="R692" i="132"/>
  <c r="Y718" i="132"/>
  <c r="AF720" i="132"/>
  <c r="Z720" i="132"/>
  <c r="Y720" i="132"/>
  <c r="AA720" i="132"/>
  <c r="R720" i="132"/>
  <c r="S720" i="132"/>
  <c r="I720" i="132"/>
  <c r="E48" i="136" s="1"/>
  <c r="E60" i="136" s="1"/>
  <c r="X720" i="132"/>
  <c r="E18" i="136"/>
  <c r="U720" i="132"/>
  <c r="AH720" i="132"/>
  <c r="V720" i="132"/>
  <c r="AG720" i="132"/>
  <c r="AD720" i="132"/>
  <c r="AC720" i="132"/>
  <c r="W720" i="132"/>
  <c r="W697" i="132"/>
  <c r="C17" i="136"/>
  <c r="F17" i="136" s="1"/>
  <c r="AC697" i="132"/>
  <c r="X707" i="132"/>
  <c r="W707" i="132"/>
  <c r="AF707" i="132"/>
  <c r="U707" i="132"/>
  <c r="I707" i="132"/>
  <c r="D48" i="136" s="1"/>
  <c r="D60" i="136" s="1"/>
  <c r="Z697" i="132"/>
  <c r="T707" i="132"/>
  <c r="R707" i="132"/>
  <c r="H697" i="132"/>
  <c r="AD697" i="132"/>
  <c r="V697" i="132"/>
  <c r="U697" i="132"/>
  <c r="AH707" i="132"/>
  <c r="AE707" i="132"/>
  <c r="AA707" i="132"/>
  <c r="J712" i="132"/>
  <c r="AD707" i="132"/>
  <c r="S707" i="132"/>
  <c r="Y697" i="132"/>
  <c r="AA697" i="132"/>
  <c r="Y707" i="132"/>
  <c r="AG707" i="132"/>
  <c r="Q505" i="132"/>
  <c r="AG697" i="132"/>
  <c r="Q736" i="132"/>
  <c r="K736" i="132" s="1"/>
  <c r="D18" i="136"/>
  <c r="AH697" i="132"/>
  <c r="AC707" i="132"/>
  <c r="X692" i="132"/>
  <c r="Q731" i="132"/>
  <c r="V731" i="132" s="1"/>
  <c r="AA692" i="132"/>
  <c r="F32" i="136"/>
  <c r="T692" i="132"/>
  <c r="AC692" i="132"/>
  <c r="Z692" i="132"/>
  <c r="F20" i="136"/>
  <c r="W692" i="132"/>
  <c r="AE692" i="132"/>
  <c r="U692" i="132"/>
  <c r="I738" i="132"/>
  <c r="S692" i="132"/>
  <c r="V692" i="132"/>
  <c r="AD692" i="132"/>
  <c r="S738" i="132"/>
  <c r="AG692" i="132"/>
  <c r="AB692" i="132"/>
  <c r="S718" i="132"/>
  <c r="AD718" i="132"/>
  <c r="Q541" i="132"/>
  <c r="Q591" i="132" s="1"/>
  <c r="AH718" i="132"/>
  <c r="T718" i="132"/>
  <c r="R718" i="132"/>
  <c r="V718" i="132"/>
  <c r="AC718" i="132"/>
  <c r="W718" i="132"/>
  <c r="AG718" i="132"/>
  <c r="Z718" i="132"/>
  <c r="U718" i="132"/>
  <c r="X718" i="132"/>
  <c r="F50" i="136"/>
  <c r="F62" i="136" s="1"/>
  <c r="AA718" i="132"/>
  <c r="AF718" i="132"/>
  <c r="E13" i="136"/>
  <c r="T738" i="132"/>
  <c r="AG738" i="132"/>
  <c r="AF738" i="132"/>
  <c r="AB738" i="132"/>
  <c r="H738" i="132"/>
  <c r="G50" i="136" s="1"/>
  <c r="G62" i="136" s="1"/>
  <c r="AD738" i="132"/>
  <c r="Z738" i="132"/>
  <c r="K738" i="132"/>
  <c r="AC738" i="132"/>
  <c r="AE738" i="132"/>
  <c r="I694" i="132"/>
  <c r="C48" i="136" s="1"/>
  <c r="H694" i="132"/>
  <c r="U738" i="132"/>
  <c r="X738" i="132"/>
  <c r="V738" i="132"/>
  <c r="R738" i="132"/>
  <c r="J699" i="132"/>
  <c r="I696" i="132"/>
  <c r="C46" i="136" s="1"/>
  <c r="F46" i="136" s="1"/>
  <c r="P734" i="132"/>
  <c r="H696" i="132"/>
  <c r="M578" i="132"/>
  <c r="J709" i="132"/>
  <c r="J719" i="132"/>
  <c r="Q393" i="132"/>
  <c r="Q653" i="132"/>
  <c r="Q695" i="132" s="1"/>
  <c r="X695" i="132" s="1"/>
  <c r="J710" i="132"/>
  <c r="N559" i="132"/>
  <c r="N579" i="132" s="1"/>
  <c r="N583" i="132" s="1"/>
  <c r="N658" i="132" s="1"/>
  <c r="N700" i="132" s="1"/>
  <c r="N578" i="132"/>
  <c r="N584" i="132" s="1"/>
  <c r="N670" i="132" s="1"/>
  <c r="P591" i="132"/>
  <c r="P553" i="132"/>
  <c r="P595" i="132" s="1"/>
  <c r="P592" i="132"/>
  <c r="P556" i="132"/>
  <c r="P546" i="132"/>
  <c r="P552" i="132"/>
  <c r="P596" i="132" s="1" a="1"/>
  <c r="P590" i="132"/>
  <c r="O726" i="132"/>
  <c r="O727" i="132" s="1"/>
  <c r="O728" i="132" s="1"/>
  <c r="O683" i="132"/>
  <c r="N585" i="132"/>
  <c r="N682" i="132" s="1"/>
  <c r="N576" i="132"/>
  <c r="I705" i="132"/>
  <c r="D43" i="136" s="1"/>
  <c r="J705" i="132"/>
  <c r="H705" i="132"/>
  <c r="P731" i="132"/>
  <c r="I692" i="132"/>
  <c r="C43" i="136" s="1"/>
  <c r="H692" i="132"/>
  <c r="Q557" i="132"/>
  <c r="Q577" i="132" s="1"/>
  <c r="Q593" i="132"/>
  <c r="O580" i="132"/>
  <c r="O581" i="132" s="1"/>
  <c r="Y708" i="132"/>
  <c r="X708" i="132"/>
  <c r="D15" i="136"/>
  <c r="R708" i="132"/>
  <c r="Z708" i="132"/>
  <c r="T708" i="132"/>
  <c r="AG708" i="132"/>
  <c r="AE708" i="132"/>
  <c r="AF708" i="132"/>
  <c r="AA708" i="132"/>
  <c r="AB708" i="132"/>
  <c r="AH708" i="132"/>
  <c r="S708" i="132"/>
  <c r="AC708" i="132"/>
  <c r="W708" i="132"/>
  <c r="V708" i="132"/>
  <c r="U708" i="132"/>
  <c r="AD708" i="132"/>
  <c r="I708" i="132"/>
  <c r="D45" i="136" s="1"/>
  <c r="H708" i="132"/>
  <c r="O626" i="132"/>
  <c r="O656" i="132" s="1"/>
  <c r="O624" i="132"/>
  <c r="N612" i="132"/>
  <c r="N613" i="132" s="1"/>
  <c r="N622" i="132"/>
  <c r="Y694" i="132"/>
  <c r="Z694" i="132"/>
  <c r="AC694" i="132"/>
  <c r="AB694" i="132"/>
  <c r="W694" i="132"/>
  <c r="AG694" i="132"/>
  <c r="AA694" i="132"/>
  <c r="AF694" i="132"/>
  <c r="AE694" i="132"/>
  <c r="U694" i="132"/>
  <c r="T694" i="132"/>
  <c r="Q733" i="132"/>
  <c r="I733" i="132" s="1"/>
  <c r="R694" i="132"/>
  <c r="V694" i="132"/>
  <c r="AH694" i="132"/>
  <c r="AD694" i="132"/>
  <c r="X694" i="132"/>
  <c r="C18" i="136"/>
  <c r="S694" i="132"/>
  <c r="H718" i="132"/>
  <c r="I718" i="132"/>
  <c r="E43" i="136" s="1"/>
  <c r="E59" i="136" s="1"/>
  <c r="Q546" i="132"/>
  <c r="Q590" i="132"/>
  <c r="Q552" i="132"/>
  <c r="N597" i="132" a="1"/>
  <c r="N597" i="132" s="1"/>
  <c r="N598" i="132" s="1"/>
  <c r="X696" i="132"/>
  <c r="AH696" i="132"/>
  <c r="V696" i="132"/>
  <c r="R696" i="132"/>
  <c r="AG696" i="132"/>
  <c r="AE696" i="132"/>
  <c r="AD696" i="132"/>
  <c r="C16" i="136"/>
  <c r="F16" i="136" s="1"/>
  <c r="AB696" i="132"/>
  <c r="S696" i="132"/>
  <c r="Q735" i="132"/>
  <c r="I735" i="132" s="1"/>
  <c r="Y696" i="132"/>
  <c r="T696" i="132"/>
  <c r="AC696" i="132"/>
  <c r="W696" i="132"/>
  <c r="Z696" i="132"/>
  <c r="AF696" i="132"/>
  <c r="AA696" i="132"/>
  <c r="U696" i="132"/>
  <c r="P606" i="132"/>
  <c r="P607" i="132" s="1"/>
  <c r="P603" i="132"/>
  <c r="L556" i="132"/>
  <c r="L592" i="132"/>
  <c r="L597" i="132" s="1" a="1"/>
  <c r="L597" i="132" s="1"/>
  <c r="L598" i="132" s="1"/>
  <c r="L596" i="132" a="1"/>
  <c r="L596" i="132" s="1"/>
  <c r="M579" i="132"/>
  <c r="M583" i="132" s="1"/>
  <c r="M658" i="132" s="1"/>
  <c r="L578" i="132"/>
  <c r="L579" i="132"/>
  <c r="L583" i="132" s="1"/>
  <c r="L658" i="132" s="1"/>
  <c r="L700" i="132" s="1"/>
  <c r="L606" i="132"/>
  <c r="L607" i="132" s="1"/>
  <c r="L603" i="132"/>
  <c r="F14" i="136" l="1"/>
  <c r="D29" i="136"/>
  <c r="F44" i="136"/>
  <c r="M584" i="132"/>
  <c r="M670" i="132" s="1"/>
  <c r="M671" i="132" s="1"/>
  <c r="J706" i="132"/>
  <c r="J693" i="132"/>
  <c r="W732" i="132"/>
  <c r="AC732" i="132"/>
  <c r="AF732" i="132"/>
  <c r="Y732" i="132"/>
  <c r="V732" i="132"/>
  <c r="AD732" i="132"/>
  <c r="H732" i="132"/>
  <c r="G44" i="136" s="1"/>
  <c r="K732" i="132"/>
  <c r="R732" i="132"/>
  <c r="AE732" i="132"/>
  <c r="I732" i="132"/>
  <c r="AB732" i="132"/>
  <c r="AG732" i="132"/>
  <c r="T732" i="132"/>
  <c r="S732" i="132"/>
  <c r="AA732" i="132"/>
  <c r="U732" i="132"/>
  <c r="AH732" i="132"/>
  <c r="X732" i="132"/>
  <c r="U731" i="132"/>
  <c r="M576" i="132"/>
  <c r="M585" i="132"/>
  <c r="M682" i="132" s="1"/>
  <c r="M622" i="132"/>
  <c r="M612" i="132"/>
  <c r="M613" i="132" s="1"/>
  <c r="O586" i="132"/>
  <c r="O671" i="132"/>
  <c r="AA736" i="132"/>
  <c r="Z736" i="132"/>
  <c r="AF736" i="132"/>
  <c r="AC736" i="132"/>
  <c r="S736" i="132"/>
  <c r="T736" i="132"/>
  <c r="AH736" i="132"/>
  <c r="AB736" i="132"/>
  <c r="Y736" i="132"/>
  <c r="AG736" i="132"/>
  <c r="Q553" i="132"/>
  <c r="Q595" i="132" s="1"/>
  <c r="X736" i="132"/>
  <c r="V736" i="132"/>
  <c r="I736" i="132"/>
  <c r="W736" i="132"/>
  <c r="U736" i="132"/>
  <c r="H736" i="132"/>
  <c r="G47" i="136" s="1"/>
  <c r="AC731" i="132"/>
  <c r="AB731" i="132"/>
  <c r="R736" i="132"/>
  <c r="AE736" i="132"/>
  <c r="AD736" i="132"/>
  <c r="F13" i="136"/>
  <c r="W731" i="132"/>
  <c r="S731" i="132"/>
  <c r="Y731" i="132"/>
  <c r="AF731" i="132"/>
  <c r="R731" i="132"/>
  <c r="Z731" i="132"/>
  <c r="X731" i="132"/>
  <c r="AE731" i="132"/>
  <c r="AG731" i="132"/>
  <c r="T731" i="132"/>
  <c r="AA731" i="132"/>
  <c r="AH731" i="132"/>
  <c r="AD731" i="132"/>
  <c r="J697" i="132"/>
  <c r="J707" i="132"/>
  <c r="J720" i="132"/>
  <c r="E29" i="136"/>
  <c r="F48" i="136"/>
  <c r="F60" i="136" s="1"/>
  <c r="J692" i="132"/>
  <c r="C60" i="136"/>
  <c r="J718" i="132"/>
  <c r="J738" i="132"/>
  <c r="R695" i="132"/>
  <c r="Z695" i="132"/>
  <c r="C15" i="136"/>
  <c r="C29" i="136" s="1"/>
  <c r="Q734" i="132"/>
  <c r="K734" i="132" s="1"/>
  <c r="H735" i="132"/>
  <c r="G46" i="136" s="1"/>
  <c r="T695" i="132"/>
  <c r="H733" i="132"/>
  <c r="G48" i="136" s="1"/>
  <c r="G60" i="136" s="1"/>
  <c r="D59" i="136"/>
  <c r="K735" i="132"/>
  <c r="I695" i="132"/>
  <c r="C45" i="136" s="1"/>
  <c r="H695" i="132"/>
  <c r="J696" i="132"/>
  <c r="J708" i="132"/>
  <c r="AB695" i="132"/>
  <c r="W695" i="132"/>
  <c r="AE695" i="132"/>
  <c r="AD695" i="132"/>
  <c r="V695" i="132"/>
  <c r="AF695" i="132"/>
  <c r="Y695" i="132"/>
  <c r="AG695" i="132"/>
  <c r="AA695" i="132"/>
  <c r="S695" i="132"/>
  <c r="AC695" i="132"/>
  <c r="U695" i="132"/>
  <c r="AH695" i="132"/>
  <c r="N683" i="132"/>
  <c r="N726" i="132"/>
  <c r="N727" i="132" s="1"/>
  <c r="N728" i="132" s="1"/>
  <c r="Q556" i="132"/>
  <c r="Q592" i="132"/>
  <c r="AA735" i="132"/>
  <c r="Z735" i="132"/>
  <c r="AB735" i="132"/>
  <c r="W735" i="132"/>
  <c r="AG735" i="132"/>
  <c r="V735" i="132"/>
  <c r="U735" i="132"/>
  <c r="X735" i="132"/>
  <c r="S735" i="132"/>
  <c r="AH735" i="132"/>
  <c r="AF735" i="132"/>
  <c r="R735" i="132"/>
  <c r="AC735" i="132"/>
  <c r="Y735" i="132"/>
  <c r="T735" i="132"/>
  <c r="AD735" i="132"/>
  <c r="AE735" i="132"/>
  <c r="N626" i="132"/>
  <c r="N656" i="132" s="1"/>
  <c r="N624" i="132"/>
  <c r="J694" i="132"/>
  <c r="P596" i="132"/>
  <c r="N713" i="132"/>
  <c r="N714" i="132" s="1"/>
  <c r="N715" i="132" s="1"/>
  <c r="N671" i="132"/>
  <c r="Q547" i="132"/>
  <c r="Z733" i="132"/>
  <c r="V733" i="132"/>
  <c r="U733" i="132"/>
  <c r="AG733" i="132"/>
  <c r="X733" i="132"/>
  <c r="AE733" i="132"/>
  <c r="AF733" i="132"/>
  <c r="AH733" i="132"/>
  <c r="AD733" i="132"/>
  <c r="Y733" i="132"/>
  <c r="AC733" i="132"/>
  <c r="W733" i="132"/>
  <c r="AA733" i="132"/>
  <c r="AB733" i="132"/>
  <c r="O659" i="132"/>
  <c r="O698" i="132"/>
  <c r="P594" i="132"/>
  <c r="P597" i="132" s="1" a="1"/>
  <c r="P597" i="132" s="1"/>
  <c r="P598" i="132" s="1"/>
  <c r="P558" i="132"/>
  <c r="P559" i="132" s="1"/>
  <c r="P612" i="132"/>
  <c r="P613" i="132" s="1"/>
  <c r="P622" i="132"/>
  <c r="Q594" i="132"/>
  <c r="Q558" i="132"/>
  <c r="Q559" i="132" s="1"/>
  <c r="D30" i="136"/>
  <c r="F18" i="136"/>
  <c r="C30" i="136"/>
  <c r="E30" i="136"/>
  <c r="F43" i="136"/>
  <c r="P547" i="132"/>
  <c r="Q603" i="132"/>
  <c r="Q606" i="132"/>
  <c r="Q607" i="132" s="1"/>
  <c r="K733" i="132"/>
  <c r="O739" i="132"/>
  <c r="I731" i="132"/>
  <c r="K731" i="132"/>
  <c r="H731" i="132"/>
  <c r="G43" i="136" s="1"/>
  <c r="N586" i="132"/>
  <c r="N580" i="132"/>
  <c r="N581" i="132" s="1"/>
  <c r="P585" i="132"/>
  <c r="P682" i="132" s="1"/>
  <c r="P576" i="132"/>
  <c r="M580" i="132"/>
  <c r="M581" i="132" s="1"/>
  <c r="L585" i="132"/>
  <c r="L682" i="132" s="1"/>
  <c r="L576" i="132"/>
  <c r="L584" i="132"/>
  <c r="L670" i="132" s="1"/>
  <c r="L612" i="132"/>
  <c r="L613" i="132" s="1"/>
  <c r="L622" i="132"/>
  <c r="M700" i="132"/>
  <c r="Q596" i="132" l="1" a="1"/>
  <c r="F29" i="136"/>
  <c r="M713" i="132"/>
  <c r="M714" i="132" s="1"/>
  <c r="M715" i="132" s="1"/>
  <c r="M586" i="132"/>
  <c r="J732" i="132"/>
  <c r="M624" i="132"/>
  <c r="M626" i="132"/>
  <c r="M656" i="132" s="1"/>
  <c r="M683" i="132"/>
  <c r="M726" i="132"/>
  <c r="M727" i="132" s="1"/>
  <c r="M728" i="132" s="1"/>
  <c r="J736" i="132"/>
  <c r="Q596" i="132"/>
  <c r="J731" i="132"/>
  <c r="I734" i="132"/>
  <c r="Y734" i="132"/>
  <c r="F15" i="136"/>
  <c r="AA734" i="132"/>
  <c r="AB734" i="132"/>
  <c r="AC734" i="132"/>
  <c r="U734" i="132"/>
  <c r="AD734" i="132"/>
  <c r="AF734" i="132"/>
  <c r="AE734" i="132"/>
  <c r="T734" i="132"/>
  <c r="X734" i="132"/>
  <c r="W734" i="132"/>
  <c r="V734" i="132"/>
  <c r="Z734" i="132"/>
  <c r="H734" i="132"/>
  <c r="G45" i="136" s="1"/>
  <c r="G59" i="136" s="1"/>
  <c r="AH734" i="132"/>
  <c r="R734" i="132"/>
  <c r="AG734" i="132"/>
  <c r="S734" i="132"/>
  <c r="Q597" i="132" a="1"/>
  <c r="Q597" i="132" s="1"/>
  <c r="Q598" i="132" s="1"/>
  <c r="J695" i="132"/>
  <c r="P579" i="132"/>
  <c r="P583" i="132" s="1"/>
  <c r="P658" i="132" s="1"/>
  <c r="P700" i="132" s="1"/>
  <c r="Q578" i="132"/>
  <c r="Q584" i="132" s="1"/>
  <c r="Q670" i="132" s="1"/>
  <c r="Q713" i="132" s="1"/>
  <c r="J735" i="132"/>
  <c r="N739" i="132"/>
  <c r="P578" i="132"/>
  <c r="P584" i="132" s="1"/>
  <c r="P670" i="132" s="1"/>
  <c r="P713" i="132" s="1"/>
  <c r="C59" i="136"/>
  <c r="F45" i="136"/>
  <c r="F59" i="136" s="1"/>
  <c r="Q612" i="132"/>
  <c r="Q613" i="132" s="1"/>
  <c r="Q622" i="132"/>
  <c r="N698" i="132"/>
  <c r="N659" i="132"/>
  <c r="O737" i="132"/>
  <c r="O740" i="132" s="1"/>
  <c r="O741" i="132" s="1"/>
  <c r="O701" i="132"/>
  <c r="O702" i="132" s="1"/>
  <c r="P624" i="132"/>
  <c r="P626" i="132"/>
  <c r="P656" i="132" s="1"/>
  <c r="Q579" i="132"/>
  <c r="Q583" i="132" s="1"/>
  <c r="Q658" i="132" s="1"/>
  <c r="Q700" i="132" s="1"/>
  <c r="P726" i="132"/>
  <c r="P727" i="132" s="1"/>
  <c r="P728" i="132" s="1"/>
  <c r="P683" i="132"/>
  <c r="Q576" i="132"/>
  <c r="Q585" i="132"/>
  <c r="Q682" i="132" s="1"/>
  <c r="F30" i="136"/>
  <c r="J733" i="132"/>
  <c r="L624" i="132"/>
  <c r="L626" i="132"/>
  <c r="L656" i="132" s="1"/>
  <c r="L713" i="132"/>
  <c r="L671" i="132"/>
  <c r="L580" i="132"/>
  <c r="L581" i="132" s="1"/>
  <c r="L586" i="132"/>
  <c r="L683" i="132"/>
  <c r="L726" i="132"/>
  <c r="M739" i="132" l="1"/>
  <c r="M698" i="132"/>
  <c r="M659" i="132"/>
  <c r="J734" i="132"/>
  <c r="I700" i="132"/>
  <c r="C51" i="136" s="1"/>
  <c r="C63" i="136" s="1"/>
  <c r="Q671" i="132"/>
  <c r="P714" i="132"/>
  <c r="P715" i="132" s="1"/>
  <c r="P739" i="132"/>
  <c r="H700" i="132"/>
  <c r="P580" i="132"/>
  <c r="P581" i="132" s="1"/>
  <c r="P586" i="132"/>
  <c r="P671" i="132"/>
  <c r="P698" i="132"/>
  <c r="P659" i="132"/>
  <c r="N701" i="132"/>
  <c r="N702" i="132" s="1"/>
  <c r="N737" i="132"/>
  <c r="N740" i="132" s="1"/>
  <c r="N741" i="132" s="1"/>
  <c r="Q580" i="132"/>
  <c r="Q581" i="132" s="1"/>
  <c r="Q586" i="132"/>
  <c r="Q726" i="132"/>
  <c r="Q739" i="132" s="1"/>
  <c r="Q683" i="132"/>
  <c r="V713" i="132"/>
  <c r="X713" i="132"/>
  <c r="U713" i="132"/>
  <c r="R713" i="132"/>
  <c r="AA713" i="132"/>
  <c r="D21" i="136"/>
  <c r="AE713" i="132"/>
  <c r="AF713" i="132"/>
  <c r="W713" i="132"/>
  <c r="S713" i="132"/>
  <c r="Z713" i="132"/>
  <c r="AD713" i="132"/>
  <c r="AC713" i="132"/>
  <c r="AG713" i="132"/>
  <c r="T713" i="132"/>
  <c r="AB713" i="132"/>
  <c r="AH713" i="132"/>
  <c r="Y713" i="132"/>
  <c r="Q714" i="132"/>
  <c r="Q626" i="132"/>
  <c r="Q656" i="132" s="1"/>
  <c r="Q624" i="132"/>
  <c r="AG700" i="132"/>
  <c r="AC700" i="132"/>
  <c r="Z700" i="132"/>
  <c r="AA700" i="132"/>
  <c r="X700" i="132"/>
  <c r="R700" i="132"/>
  <c r="AB700" i="132"/>
  <c r="Y700" i="132"/>
  <c r="AF700" i="132"/>
  <c r="AD700" i="132"/>
  <c r="V700" i="132"/>
  <c r="S700" i="132"/>
  <c r="C21" i="136"/>
  <c r="U700" i="132"/>
  <c r="T700" i="132"/>
  <c r="W700" i="132"/>
  <c r="AE700" i="132"/>
  <c r="AH700" i="132"/>
  <c r="I713" i="132"/>
  <c r="D51" i="136" s="1"/>
  <c r="H713" i="132"/>
  <c r="L714" i="132"/>
  <c r="L739" i="132"/>
  <c r="L727" i="132"/>
  <c r="L698" i="132"/>
  <c r="L659" i="132"/>
  <c r="M737" i="132" l="1"/>
  <c r="M740" i="132" s="1"/>
  <c r="M741" i="132" s="1"/>
  <c r="M701" i="132"/>
  <c r="M702" i="132" s="1"/>
  <c r="I726" i="132"/>
  <c r="E51" i="136" s="1"/>
  <c r="E63" i="136" s="1"/>
  <c r="E64" i="136" s="1"/>
  <c r="E66" i="136" s="1"/>
  <c r="H726" i="132"/>
  <c r="J713" i="132"/>
  <c r="AH739" i="132"/>
  <c r="V739" i="132"/>
  <c r="W739" i="132"/>
  <c r="Y739" i="132"/>
  <c r="T739" i="132"/>
  <c r="Z739" i="132"/>
  <c r="AA739" i="132"/>
  <c r="AF739" i="132"/>
  <c r="X739" i="132"/>
  <c r="S739" i="132"/>
  <c r="AG739" i="132"/>
  <c r="U739" i="132"/>
  <c r="AE739" i="132"/>
  <c r="AC739" i="132"/>
  <c r="R739" i="132"/>
  <c r="AB739" i="132"/>
  <c r="AD739" i="132"/>
  <c r="AF726" i="132"/>
  <c r="T726" i="132"/>
  <c r="E21" i="136"/>
  <c r="F21" i="136" s="1"/>
  <c r="W726" i="132"/>
  <c r="Z726" i="132"/>
  <c r="X726" i="132"/>
  <c r="Q727" i="132"/>
  <c r="AG726" i="132"/>
  <c r="AE726" i="132"/>
  <c r="V726" i="132"/>
  <c r="U726" i="132"/>
  <c r="AC726" i="132"/>
  <c r="S726" i="132"/>
  <c r="AH726" i="132"/>
  <c r="AD726" i="132"/>
  <c r="Y726" i="132"/>
  <c r="AB726" i="132"/>
  <c r="AA726" i="132"/>
  <c r="R726" i="132"/>
  <c r="D33" i="136"/>
  <c r="D34" i="136" s="1"/>
  <c r="D22" i="136"/>
  <c r="D24" i="136" s="1"/>
  <c r="Q698" i="132"/>
  <c r="H698" i="132" s="1"/>
  <c r="Q659" i="132"/>
  <c r="J700" i="132"/>
  <c r="Q715" i="132"/>
  <c r="R714" i="132"/>
  <c r="AF714" i="132"/>
  <c r="AE714" i="132"/>
  <c r="AA714" i="132"/>
  <c r="V714" i="132"/>
  <c r="Z714" i="132"/>
  <c r="AH714" i="132"/>
  <c r="U714" i="132"/>
  <c r="AG714" i="132"/>
  <c r="W714" i="132"/>
  <c r="AC714" i="132"/>
  <c r="X714" i="132"/>
  <c r="AB714" i="132"/>
  <c r="S714" i="132"/>
  <c r="AD714" i="132"/>
  <c r="T714" i="132"/>
  <c r="Y714" i="132"/>
  <c r="C33" i="136"/>
  <c r="P737" i="132"/>
  <c r="P740" i="132" s="1"/>
  <c r="P741" i="132" s="1"/>
  <c r="P701" i="132"/>
  <c r="P702" i="132" s="1"/>
  <c r="L728" i="132"/>
  <c r="K739" i="132"/>
  <c r="H739" i="132"/>
  <c r="G51" i="136" s="1"/>
  <c r="G63" i="136" s="1"/>
  <c r="I739" i="132"/>
  <c r="L737" i="132"/>
  <c r="L701" i="132"/>
  <c r="I714" i="132"/>
  <c r="H714" i="132"/>
  <c r="L715" i="132"/>
  <c r="D52" i="136"/>
  <c r="D63" i="136"/>
  <c r="D64" i="136" s="1"/>
  <c r="D66" i="136" s="1"/>
  <c r="E52" i="136" l="1"/>
  <c r="E54" i="136" s="1"/>
  <c r="E55" i="136" s="1"/>
  <c r="F51" i="136"/>
  <c r="F63" i="136" s="1"/>
  <c r="J739" i="132"/>
  <c r="I698" i="132"/>
  <c r="C49" i="136" s="1"/>
  <c r="C52" i="136" s="1"/>
  <c r="J714" i="132"/>
  <c r="AB727" i="132"/>
  <c r="AF727" i="132"/>
  <c r="R727" i="132"/>
  <c r="X727" i="132"/>
  <c r="S727" i="132"/>
  <c r="Q728" i="132"/>
  <c r="Y727" i="132"/>
  <c r="AA727" i="132"/>
  <c r="W727" i="132"/>
  <c r="U727" i="132"/>
  <c r="AG727" i="132"/>
  <c r="V727" i="132"/>
  <c r="AE727" i="132"/>
  <c r="Z727" i="132"/>
  <c r="T727" i="132"/>
  <c r="AC727" i="132"/>
  <c r="AD727" i="132"/>
  <c r="AH727" i="132"/>
  <c r="W698" i="132"/>
  <c r="Z698" i="132"/>
  <c r="R698" i="132"/>
  <c r="AF698" i="132"/>
  <c r="Y698" i="132"/>
  <c r="T698" i="132"/>
  <c r="AH698" i="132"/>
  <c r="AA698" i="132"/>
  <c r="S698" i="132"/>
  <c r="Q737" i="132"/>
  <c r="I737" i="132" s="1"/>
  <c r="C19" i="136"/>
  <c r="V698" i="132"/>
  <c r="AC698" i="132"/>
  <c r="Q701" i="132"/>
  <c r="I701" i="132" s="1"/>
  <c r="AG698" i="132"/>
  <c r="X698" i="132"/>
  <c r="AD698" i="132"/>
  <c r="U698" i="132"/>
  <c r="AE698" i="132"/>
  <c r="AB698" i="132"/>
  <c r="D36" i="136"/>
  <c r="D35" i="136"/>
  <c r="D37" i="136" s="1"/>
  <c r="H727" i="132"/>
  <c r="J726" i="132"/>
  <c r="E33" i="136"/>
  <c r="E34" i="136" s="1"/>
  <c r="E22" i="136"/>
  <c r="E24" i="136" s="1"/>
  <c r="I727" i="132"/>
  <c r="T715" i="132"/>
  <c r="AD715" i="132"/>
  <c r="U715" i="132"/>
  <c r="AB715" i="132"/>
  <c r="R715" i="132"/>
  <c r="V715" i="132"/>
  <c r="X715" i="132"/>
  <c r="AC715" i="132"/>
  <c r="Y715" i="132"/>
  <c r="AH715" i="132"/>
  <c r="AA715" i="132"/>
  <c r="AG715" i="132"/>
  <c r="AF715" i="132"/>
  <c r="AE715" i="132"/>
  <c r="S715" i="132"/>
  <c r="D23" i="136"/>
  <c r="D25" i="136" s="1"/>
  <c r="W715" i="132"/>
  <c r="Z715" i="132"/>
  <c r="D54" i="136"/>
  <c r="D55" i="136" s="1"/>
  <c r="D53" i="136"/>
  <c r="D65" i="136" s="1"/>
  <c r="D67" i="136" s="1"/>
  <c r="L702" i="132"/>
  <c r="I715" i="132"/>
  <c r="H715" i="132"/>
  <c r="L740" i="132"/>
  <c r="F49" i="136" l="1"/>
  <c r="F61" i="136" s="1"/>
  <c r="F64" i="136" s="1"/>
  <c r="C61" i="136"/>
  <c r="C64" i="136" s="1"/>
  <c r="C66" i="136" s="1"/>
  <c r="F66" i="136" s="1"/>
  <c r="F67" i="136" s="1"/>
  <c r="E53" i="136"/>
  <c r="E65" i="136" s="1"/>
  <c r="E67" i="136" s="1"/>
  <c r="K737" i="132"/>
  <c r="H737" i="132"/>
  <c r="G49" i="136" s="1"/>
  <c r="G61" i="136" s="1"/>
  <c r="J698" i="132"/>
  <c r="J715" i="132"/>
  <c r="AC701" i="132"/>
  <c r="Q702" i="132"/>
  <c r="I702" i="132" s="1"/>
  <c r="AD701" i="132"/>
  <c r="X701" i="132"/>
  <c r="AE701" i="132"/>
  <c r="Y701" i="132"/>
  <c r="V701" i="132"/>
  <c r="AH701" i="132"/>
  <c r="U701" i="132"/>
  <c r="AA701" i="132"/>
  <c r="S701" i="132"/>
  <c r="AB701" i="132"/>
  <c r="Z701" i="132"/>
  <c r="R701" i="132"/>
  <c r="AG701" i="132"/>
  <c r="T701" i="132"/>
  <c r="W701" i="132"/>
  <c r="AF701" i="132"/>
  <c r="H701" i="132"/>
  <c r="W728" i="132"/>
  <c r="AB728" i="132"/>
  <c r="S728" i="132"/>
  <c r="AC728" i="132"/>
  <c r="AA728" i="132"/>
  <c r="AH728" i="132"/>
  <c r="Y728" i="132"/>
  <c r="AG728" i="132"/>
  <c r="T728" i="132"/>
  <c r="R728" i="132"/>
  <c r="V728" i="132"/>
  <c r="E23" i="136"/>
  <c r="E25" i="136" s="1"/>
  <c r="AF728" i="132"/>
  <c r="Z728" i="132"/>
  <c r="AD728" i="132"/>
  <c r="X728" i="132"/>
  <c r="AE728" i="132"/>
  <c r="U728" i="132"/>
  <c r="C22" i="136"/>
  <c r="C24" i="136" s="1"/>
  <c r="F24" i="136" s="1"/>
  <c r="F25" i="136" s="1"/>
  <c r="C31" i="136"/>
  <c r="F19" i="136"/>
  <c r="F22" i="136" s="1"/>
  <c r="E36" i="136"/>
  <c r="E35" i="136"/>
  <c r="E37" i="136" s="1"/>
  <c r="AC737" i="132"/>
  <c r="S737" i="132"/>
  <c r="Q740" i="132"/>
  <c r="W737" i="132"/>
  <c r="T737" i="132"/>
  <c r="V737" i="132"/>
  <c r="Z737" i="132"/>
  <c r="AF737" i="132"/>
  <c r="AE737" i="132"/>
  <c r="U737" i="132"/>
  <c r="Y737" i="132"/>
  <c r="AA737" i="132"/>
  <c r="AG737" i="132"/>
  <c r="X737" i="132"/>
  <c r="AB737" i="132"/>
  <c r="AH737" i="132"/>
  <c r="R737" i="132"/>
  <c r="AD737" i="132"/>
  <c r="I728" i="132"/>
  <c r="J727" i="132"/>
  <c r="H728" i="132"/>
  <c r="F33" i="136"/>
  <c r="C54" i="136"/>
  <c r="C53" i="136"/>
  <c r="C65" i="136" s="1"/>
  <c r="C67" i="136" s="1"/>
  <c r="L741" i="132"/>
  <c r="F52" i="136" l="1"/>
  <c r="F53" i="136" s="1"/>
  <c r="F65" i="136" s="1"/>
  <c r="H702" i="132"/>
  <c r="G52" i="136"/>
  <c r="G54" i="136" s="1"/>
  <c r="J728" i="132"/>
  <c r="F31" i="136"/>
  <c r="F34" i="136" s="1"/>
  <c r="C34" i="136"/>
  <c r="Q741" i="132"/>
  <c r="I741" i="132" s="1"/>
  <c r="AD740" i="132"/>
  <c r="Y740" i="132"/>
  <c r="U740" i="132"/>
  <c r="AH740" i="132"/>
  <c r="T740" i="132"/>
  <c r="AB740" i="132"/>
  <c r="W740" i="132"/>
  <c r="AA740" i="132"/>
  <c r="AG740" i="132"/>
  <c r="AC740" i="132"/>
  <c r="S740" i="132"/>
  <c r="AE740" i="132"/>
  <c r="X740" i="132"/>
  <c r="V740" i="132"/>
  <c r="Z740" i="132"/>
  <c r="AF740" i="132"/>
  <c r="R740" i="132"/>
  <c r="J701" i="132"/>
  <c r="K740" i="132"/>
  <c r="I740" i="132"/>
  <c r="J737" i="132"/>
  <c r="H740" i="132"/>
  <c r="AB702" i="132"/>
  <c r="V702" i="132"/>
  <c r="AH702" i="132"/>
  <c r="R702" i="132"/>
  <c r="W702" i="132"/>
  <c r="U702" i="132"/>
  <c r="T702" i="132"/>
  <c r="AG702" i="132"/>
  <c r="AF702" i="132"/>
  <c r="S702" i="132"/>
  <c r="AA702" i="132"/>
  <c r="Z702" i="132"/>
  <c r="X702" i="132"/>
  <c r="Y702" i="132"/>
  <c r="AD702" i="132"/>
  <c r="AE702" i="132"/>
  <c r="AC702" i="132"/>
  <c r="C23" i="136"/>
  <c r="C25" i="136" s="1"/>
  <c r="C55" i="136"/>
  <c r="F54" i="136" l="1"/>
  <c r="F55" i="136" s="1"/>
  <c r="G64" i="136"/>
  <c r="G53" i="136"/>
  <c r="G65" i="136" s="1"/>
  <c r="H741" i="132"/>
  <c r="J740" i="132"/>
  <c r="AH741" i="132"/>
  <c r="X741" i="132"/>
  <c r="AG741" i="132"/>
  <c r="Y741" i="132"/>
  <c r="AB741" i="132"/>
  <c r="AF741" i="132"/>
  <c r="AA741" i="132"/>
  <c r="R741" i="132"/>
  <c r="AE741" i="132"/>
  <c r="T741" i="132"/>
  <c r="F23" i="136"/>
  <c r="Z741" i="132"/>
  <c r="S741" i="132"/>
  <c r="AD741" i="132"/>
  <c r="V741" i="132"/>
  <c r="AC741" i="132"/>
  <c r="W741" i="132"/>
  <c r="U741" i="132"/>
  <c r="F35" i="136"/>
  <c r="C35" i="136"/>
  <c r="C37" i="136" s="1"/>
  <c r="C36" i="136"/>
  <c r="F36" i="136" s="1"/>
  <c r="J702" i="132"/>
  <c r="K741" i="132"/>
  <c r="G66" i="136"/>
  <c r="G55" i="136"/>
  <c r="G67" i="136" s="1"/>
  <c r="J741" i="13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<sst xmlns="http://schemas.openxmlformats.org/spreadsheetml/2006/main" count="2912" uniqueCount="1465">
  <si>
    <t>Disclaimer</t>
  </si>
  <si>
    <t>We are providing this information to assist consultees to engage with and respond to our statutory consultation [https://www.ofgem.gov.uk/publications/statutory-consultation-strengthening-financial-resilience] on proposed licence modifications and the accompanying impact assessment, and therefore to facilitate our functions under the Gas Act 1986, the Electricity Act 1989, and the Utilities Act 2000.</t>
  </si>
  <si>
    <t xml:space="preserve">For the avoidance of doubt, any calculations within the Impact Assessment that rely upon DTC allowances are based upon Period 9a allowances or an average of early October 2022 index wholesale price contracts (as appropriate) and do not (and do not purport to) indicate any actual future price cap allowances (including future wholesale allowances). 
</t>
  </si>
  <si>
    <t>These calculations (and the figures used within them) have been undertaken and/or provided for the limited purpose of this Impact Assessment and are not appropriate for other purposes. We have based our calculations of the varying wholesale allowance on the Annex 2 wholesale cost allowance methodology model.</t>
  </si>
  <si>
    <t>This model was originally developed to support the impact assessment of the 'Strengthening Financial Resilience' policy consultation (June 2022) and was revised to produce the updated impact assessment published as part of the statutory consultation (November 2022)</t>
  </si>
  <si>
    <t>Version Control</t>
  </si>
  <si>
    <t>Date Published</t>
  </si>
  <si>
    <t>Changes</t>
  </si>
  <si>
    <t>v1.0</t>
  </si>
  <si>
    <t>Public version of the impact assessment model for the statutory consultation.  Original contained commercially sensitive, supplier-specific data.</t>
  </si>
  <si>
    <t>End of Sheet</t>
  </si>
  <si>
    <t>Model Map</t>
  </si>
  <si>
    <t>Description</t>
  </si>
  <si>
    <t xml:space="preserve">This file sets out the inputs and calculations used to estimate the benefits and costs of the proposed policies within the Statutory Consultation - Strengthening Financial Resilience. Further detail on the choice and intrepretation of the assumtpions in this model can be found in the impact assessment. </t>
  </si>
  <si>
    <t>The diagram below ('Model Map') provides an overview of the structure of this file.</t>
  </si>
  <si>
    <t>Users can change between policy options using the dropdown list in cell C4 of the 'Benefits and NPV Tables' worksheet</t>
  </si>
  <si>
    <t>These policy options are defined in the 'Policy Requirements' worksheet</t>
  </si>
  <si>
    <t>The capital adequacy target (£110 or £220 per customer in the published report) is set in cell C32 of the 'Policy Requirements' worksheet</t>
  </si>
  <si>
    <t>Model map</t>
  </si>
  <si>
    <t>List of tabs</t>
  </si>
  <si>
    <t>Worksheet</t>
  </si>
  <si>
    <t>Type</t>
  </si>
  <si>
    <t>Data Source</t>
  </si>
  <si>
    <t>Cover Sheet</t>
  </si>
  <si>
    <t>n/a</t>
  </si>
  <si>
    <t>Front sheet, version control</t>
  </si>
  <si>
    <t>N/A</t>
  </si>
  <si>
    <t>This worksheet, provides an overview of the workbook structure</t>
  </si>
  <si>
    <t>1 Outputs</t>
  </si>
  <si>
    <t>Benefits and NPV Tables</t>
  </si>
  <si>
    <t>Outputs</t>
  </si>
  <si>
    <t>The sheet includes a drop down list to slect the policy for the workbook as well as the output tables used in Impact Assessment. The output tables show the net benefits of each policy to customers of failed suppliers, engaged customers of non-failed suppliers, non engaged customers and in total. The tables include annual benefits and a 6 year NPV.</t>
  </si>
  <si>
    <t>2 Inputs</t>
  </si>
  <si>
    <t>Consolidated Model</t>
  </si>
  <si>
    <t>Calculations</t>
  </si>
  <si>
    <t>Calculates the pre and post policy costs and benefits. The policy is sleected within the "Policy Requirements" tab</t>
  </si>
  <si>
    <t>3 Main Inputs</t>
  </si>
  <si>
    <t>Central Inputs</t>
  </si>
  <si>
    <t>Input</t>
  </si>
  <si>
    <t>Consolidates the main assumptions of the model</t>
  </si>
  <si>
    <t>Policy Requirements</t>
  </si>
  <si>
    <t>Inputs the level of protection of each policy option. This is where the policy option is slelected for the rest of the workbook</t>
  </si>
  <si>
    <t>4. Analysis</t>
  </si>
  <si>
    <t>SVT% Transition</t>
  </si>
  <si>
    <t>Calculates the percentage of customers on Standard Variable Tariff (SVT) by supplier category</t>
  </si>
  <si>
    <t>SVT Proportions Calculations. April-Sept Tariff RFI</t>
  </si>
  <si>
    <t>Credit rating analysis</t>
  </si>
  <si>
    <t>Calculates the proportion of challenger and small suppliers by estimated credit rating</t>
  </si>
  <si>
    <t>Moody's Rating Methodology: Unregulated Utlities and Unregulated Power Companies</t>
  </si>
  <si>
    <t>WACC Forecast</t>
  </si>
  <si>
    <t xml:space="preserve">Calulates a forecast of the annual WACC for suppliers of different credit ratings for the evaluation period </t>
  </si>
  <si>
    <t>Total CBs</t>
  </si>
  <si>
    <t>Scale gross credit balance obligations by the average of net unbilled to total gross CBs</t>
  </si>
  <si>
    <t>RFI data</t>
  </si>
  <si>
    <t>Historical Hedging</t>
  </si>
  <si>
    <t>Calculates expected hedging cost in different post-policy scneario with lower default rates (i.e. better credit ratings)</t>
  </si>
  <si>
    <t>Administration Cost</t>
  </si>
  <si>
    <t>Using data from administrator proposals, progress reports and final reports to calculate a per-customer administrative cost of bankruptcy</t>
  </si>
  <si>
    <t>Administrator proposals, progress reports and final reports</t>
  </si>
  <si>
    <t>5. Analysis Inputs</t>
  </si>
  <si>
    <t>Gross Credit Balances</t>
  </si>
  <si>
    <t>Aggregate total gross CBs for all customers, large customers and small customers separately</t>
  </si>
  <si>
    <t>Customer Debit Balances</t>
  </si>
  <si>
    <t>Aggregate debit balances for all customers, large customers and small customer seperately</t>
  </si>
  <si>
    <t>CBs Unbilled Proportion</t>
  </si>
  <si>
    <t>Gross vs Net-of-Unbilled Credit Balance Proportions</t>
  </si>
  <si>
    <t>Failures</t>
  </si>
  <si>
    <t>Supplier failures since 2016</t>
  </si>
  <si>
    <t>Default Rates</t>
  </si>
  <si>
    <t xml:space="preserve">Three year average default rates by credit rating </t>
  </si>
  <si>
    <t>S&amp;P rating: European corporates 1981-2020</t>
  </si>
  <si>
    <t>Distributional Weighting</t>
  </si>
  <si>
    <t>Input and calculations</t>
  </si>
  <si>
    <t>Calulates weights for engaged and disengaged customers incorprating different marginal utilitity based on the different incomes of the 2 groups</t>
  </si>
  <si>
    <t>Ofgem: Assessing the distributional impacts of economic regulation</t>
  </si>
  <si>
    <t>6. Price cap input</t>
  </si>
  <si>
    <t>Price Cap Scalar</t>
  </si>
  <si>
    <t>Calculates a scaling factor to account for increasing price cap over the evaluation period</t>
  </si>
  <si>
    <t>RO Obligation Rate</t>
  </si>
  <si>
    <t>Calculates the average obligation for England Wales and Scotland for ROCs per MWh from 2017 to 2022</t>
  </si>
  <si>
    <t>Ofgem: Renewables Obligation (RO) Buy-out Price, Mutualisation Threshold and Mutualisation Ceilings for 2021-22</t>
  </si>
  <si>
    <t>Average Tariffs</t>
  </si>
  <si>
    <t xml:space="preserve">Calculates the average tariff for June 2020 to September 2021 weighted by the number of customers using tariff types </t>
  </si>
  <si>
    <t>Ofgem: Retail Market Indicators</t>
  </si>
  <si>
    <t>Price Cap Forecast</t>
  </si>
  <si>
    <t>Calculates an estimation of DTC from Q1 2023 to 2024 for scaling up and down tariffs levels, CCBs, and hedging exposure appropriately to price cap variations in pre and post policy options</t>
  </si>
  <si>
    <t>Ofgem Default Tariff Cap letter Period 9a</t>
  </si>
  <si>
    <t>7. Data Inputs</t>
  </si>
  <si>
    <t>CPIH</t>
  </si>
  <si>
    <t>Consumer Price Index</t>
  </si>
  <si>
    <t>ONS</t>
  </si>
  <si>
    <t>Ofgem SOLR</t>
  </si>
  <si>
    <t>Aggregate SOLR costs</t>
  </si>
  <si>
    <t>Aggregated Ofgem data</t>
  </si>
  <si>
    <t>Customer Groups</t>
  </si>
  <si>
    <t>Customer numbers by category of supplier</t>
  </si>
  <si>
    <t>Distributional Weights</t>
  </si>
  <si>
    <t>The marginal utility of income and distrinutional weights by income decile</t>
  </si>
  <si>
    <t>Policy selection for workbook</t>
  </si>
  <si>
    <t>Live Policy Selection</t>
  </si>
  <si>
    <t>These policies are defined in the Policy Requirements sheet</t>
  </si>
  <si>
    <t>Output Tables</t>
  </si>
  <si>
    <t>Annual Benefits Tables</t>
  </si>
  <si>
    <t>Year of Analysis</t>
  </si>
  <si>
    <t>Customers of Failed Suppliers</t>
  </si>
  <si>
    <t>Engaged Customers with non-Failed Suppliers</t>
  </si>
  <si>
    <t>Disengaged Customers</t>
  </si>
  <si>
    <t>Total</t>
  </si>
  <si>
    <t>Cost of CCB in SAR/SoLR</t>
  </si>
  <si>
    <t>Cost of RO in SAR/SoLR</t>
  </si>
  <si>
    <t>Cost of CCB in Tariffs</t>
  </si>
  <si>
    <t>Cost of RO in Tariffs</t>
  </si>
  <si>
    <t>Cost of CA in Tariffs</t>
  </si>
  <si>
    <t>Total Hedging Costs</t>
  </si>
  <si>
    <t>Total Switching Costs</t>
  </si>
  <si>
    <t>Total Admin Costs</t>
  </si>
  <si>
    <t>Additional Tariff Increase</t>
  </si>
  <si>
    <t>Total (unweighted)</t>
  </si>
  <si>
    <t>Total per affected customer</t>
  </si>
  <si>
    <t>Total (social weighting)</t>
  </si>
  <si>
    <t>Ringfencing cost and mutualisation of CCB/RO</t>
  </si>
  <si>
    <t>Hedging cost</t>
  </si>
  <si>
    <t>Inefficient Switching</t>
  </si>
  <si>
    <t>Admin Costs</t>
  </si>
  <si>
    <t>Pricing dynamics of large suppliers</t>
  </si>
  <si>
    <t>6 year NPV Tables</t>
  </si>
  <si>
    <t>Total NPV</t>
  </si>
  <si>
    <t>Annual Average</t>
  </si>
  <si>
    <t>Replacing hedges of failed suppliers</t>
  </si>
  <si>
    <t xml:space="preserve">Inefficient switching </t>
  </si>
  <si>
    <t>Admin costs</t>
  </si>
  <si>
    <t>Additional tariff effects</t>
  </si>
  <si>
    <t>Total (£m)</t>
  </si>
  <si>
    <t>Total per affected customer (£)</t>
  </si>
  <si>
    <t>Total (social weighting) (£m)</t>
  </si>
  <si>
    <t>20-year NPV calculations are given in the Consolidated Model worksheet</t>
  </si>
  <si>
    <t>Units</t>
  </si>
  <si>
    <t>General Assumptions</t>
  </si>
  <si>
    <t>Estimate used only for the purpose of this IA in forecasting impact on CCBs and hedging</t>
  </si>
  <si>
    <t>WACC &amp; Default Rates</t>
  </si>
  <si>
    <t>WACC</t>
  </si>
  <si>
    <t>BBB</t>
  </si>
  <si>
    <t>%</t>
  </si>
  <si>
    <t>BB</t>
  </si>
  <si>
    <t>B</t>
  </si>
  <si>
    <t>CCC</t>
  </si>
  <si>
    <t xml:space="preserve">BB </t>
  </si>
  <si>
    <t>Customer Numbers</t>
  </si>
  <si>
    <t>Total Customer Numbers</t>
  </si>
  <si>
    <t># mn</t>
  </si>
  <si>
    <t>Large Supplier Customers</t>
  </si>
  <si>
    <t>Challenger Supplier Customers</t>
  </si>
  <si>
    <t>Small Supplier Customers</t>
  </si>
  <si>
    <t>Total Small Supplier Customers</t>
  </si>
  <si>
    <t>Engaged Customers</t>
  </si>
  <si>
    <t>Engaged Customers of Existing Suppliers</t>
  </si>
  <si>
    <t>Engaged Customers of Large Suppliers</t>
  </si>
  <si>
    <t>Engaged Customers of Small (Non-failed) Suppliers</t>
  </si>
  <si>
    <t>Total engaged customers</t>
  </si>
  <si>
    <t>RO Assumptions</t>
  </si>
  <si>
    <t>ROC Obligation Rate</t>
  </si>
  <si>
    <t>ROC/MWh</t>
  </si>
  <si>
    <t>Average Electricity Consumption</t>
  </si>
  <si>
    <t>MWh/customer/year</t>
  </si>
  <si>
    <t>ROC Buy-out Price</t>
  </si>
  <si>
    <t>£/ROC</t>
  </si>
  <si>
    <t>Maximum RO Term</t>
  </si>
  <si>
    <t>Months</t>
  </si>
  <si>
    <t>Total RO Cost per Customer</t>
  </si>
  <si>
    <t>£/customer</t>
  </si>
  <si>
    <t>Hedging Cost</t>
  </si>
  <si>
    <t>£/cust</t>
  </si>
  <si>
    <t>Switching Rate</t>
  </si>
  <si>
    <t>Switching Rate - Historical</t>
  </si>
  <si>
    <t>Rate</t>
  </si>
  <si>
    <t>Historical Tariff Differential</t>
  </si>
  <si>
    <t>Switching Rate Elasticity</t>
  </si>
  <si>
    <t>Pre-policy</t>
  </si>
  <si>
    <t>Supplier Credit Rating</t>
  </si>
  <si>
    <t>Large</t>
  </si>
  <si>
    <t>Small Supplier Scenario Weightings</t>
  </si>
  <si>
    <t>%BBB</t>
  </si>
  <si>
    <t>Do-nothing - option 5 - (from 'Credit Rating Analysis')</t>
  </si>
  <si>
    <t>%BB</t>
  </si>
  <si>
    <t>%B</t>
  </si>
  <si>
    <t>%CCC</t>
  </si>
  <si>
    <t>WACC &amp; Default Rate Inputs</t>
  </si>
  <si>
    <t>Supplier WACC</t>
  </si>
  <si>
    <t>WACC Uplift</t>
  </si>
  <si>
    <t>Challenger</t>
  </si>
  <si>
    <t>Small</t>
  </si>
  <si>
    <t>Implied market average</t>
  </si>
  <si>
    <t>Default Rate Inputs</t>
  </si>
  <si>
    <t>Cost of CCB Protection</t>
  </si>
  <si>
    <t>Gross CCB - Large</t>
  </si>
  <si>
    <t>Net of Unbilled - Sep to Dec (Large)</t>
  </si>
  <si>
    <t>Gross CCB - Challenger</t>
  </si>
  <si>
    <t>Net of Unbilled - Sep to Dec (Challenger)</t>
  </si>
  <si>
    <t>Gross CCB - Small</t>
  </si>
  <si>
    <t>Net of Unbilled - Sep to Dec (Small)</t>
  </si>
  <si>
    <t>Retained Debit Balances</t>
  </si>
  <si>
    <t>CCB Ringfence Percentage</t>
  </si>
  <si>
    <t>Cost of Protected CCBs</t>
  </si>
  <si>
    <t>Protected CCB - Large</t>
  </si>
  <si>
    <t>Protected CCB - Challenger</t>
  </si>
  <si>
    <t>Protected CCB - Small</t>
  </si>
  <si>
    <t>Cost of Protected CCB - Large</t>
  </si>
  <si>
    <t>Cost of Protected CCB - Challenger</t>
  </si>
  <si>
    <t>Cost of Protected CCB - Small</t>
  </si>
  <si>
    <t>CCB Cost of Insurance in Tariff - Large</t>
  </si>
  <si>
    <t>£m</t>
  </si>
  <si>
    <t>CCB Cost of Insurance in Tariff - Challenger</t>
  </si>
  <si>
    <t>Borne by Customers of Failed Suppliers</t>
  </si>
  <si>
    <t>Borne by Engaged Customers of Existing Suppliers</t>
  </si>
  <si>
    <t>Borne by Disengaged Customers of Existing Suppliers</t>
  </si>
  <si>
    <t>Cost of Unprotected CCBs</t>
  </si>
  <si>
    <t>Unprotected CCB - Large</t>
  </si>
  <si>
    <t>Unprotected CCB - Challenger</t>
  </si>
  <si>
    <t>Unprotected CCB - Small</t>
  </si>
  <si>
    <t>Cost of Unprotected CCB - Large</t>
  </si>
  <si>
    <t>Cost of Unprotected CCB - Challenger</t>
  </si>
  <si>
    <t>Cost of Unprotected CCB - Small</t>
  </si>
  <si>
    <t>CCB Cost of Insurance in SAR/SoLR - Large</t>
  </si>
  <si>
    <t>CCB Cost of Insurance in SAR/SoLR - Challenger</t>
  </si>
  <si>
    <t>CCB Cost of Insurance in SAR/SoLR - Small</t>
  </si>
  <si>
    <t>CCB Cost of Insurance in SAR/SoLR - Total</t>
  </si>
  <si>
    <t>Cost of RO Protection</t>
  </si>
  <si>
    <t>Total ROCs</t>
  </si>
  <si>
    <t>RO Ringfence Percentage</t>
  </si>
  <si>
    <t>Cost of Protected ROCs</t>
  </si>
  <si>
    <t>Protected ROCs</t>
  </si>
  <si>
    <t>Cost of Protected RO - Large</t>
  </si>
  <si>
    <t>Cost of Protected RO - Challenger</t>
  </si>
  <si>
    <t>Cost of Protected RO - Small</t>
  </si>
  <si>
    <t>RO Cost of Insurance in Tariff - Large</t>
  </si>
  <si>
    <t>RO Cost of Insurance in Tariff - Challenger</t>
  </si>
  <si>
    <t>RO Cost of Insurance in Tariff - Small</t>
  </si>
  <si>
    <t>Cost of Unprotected ROCs</t>
  </si>
  <si>
    <t>Unprotected RO - Large</t>
  </si>
  <si>
    <t>Unprotected RO - Challenger</t>
  </si>
  <si>
    <t>Unprotected RO - Small</t>
  </si>
  <si>
    <t>Cost of Unprotected RO - Large</t>
  </si>
  <si>
    <t>Cost of Unprotected RO - Challenger</t>
  </si>
  <si>
    <t>Cost of Unprotected RO - Small</t>
  </si>
  <si>
    <t>RO Cost of Insurance in SAR/SoLR - Large</t>
  </si>
  <si>
    <t>RO Cost of Insurance in SAR/SoLR - Challenger</t>
  </si>
  <si>
    <t>RO Cost of Insurance in SAR/SoLR - Small</t>
  </si>
  <si>
    <t>RO Cost of Insurance in SAR/SoLR - Total</t>
  </si>
  <si>
    <t>Hedging</t>
  </si>
  <si>
    <t>General Inputs</t>
  </si>
  <si>
    <t>Retained Hedges in SAR (large)</t>
  </si>
  <si>
    <t>Retained Hedges in SAR (Challenger)</t>
  </si>
  <si>
    <t>Retained Hedges in SoLR (Small)</t>
  </si>
  <si>
    <t>Hedging Exposure</t>
  </si>
  <si>
    <t>Capital Adequacy Requirement</t>
  </si>
  <si>
    <t>Hedges Already Protected</t>
  </si>
  <si>
    <t>Remaining Capital Adequacy Required</t>
  </si>
  <si>
    <t>Capital Adequacy Costs</t>
  </si>
  <si>
    <t>Total Hedges Protected</t>
  </si>
  <si>
    <t>Cost of Protected Hedges</t>
  </si>
  <si>
    <t>Total Cost of Protected Hedges - Large</t>
  </si>
  <si>
    <t>Total Cost of Protected Hedges - Challenger</t>
  </si>
  <si>
    <t>Total Cost of Protected Hedges - Small</t>
  </si>
  <si>
    <t>check total</t>
  </si>
  <si>
    <t>Uncovered Hedges</t>
  </si>
  <si>
    <t>Cost of Uncovered Hedges</t>
  </si>
  <si>
    <t>Tariff Increase</t>
  </si>
  <si>
    <t>SVT Levels</t>
  </si>
  <si>
    <t>SVT - Large</t>
  </si>
  <si>
    <t>Historical Avg</t>
  </si>
  <si>
    <t>SVT - Challenger</t>
  </si>
  <si>
    <t>SVT - Small</t>
  </si>
  <si>
    <t>SVT - Failed</t>
  </si>
  <si>
    <t>FTP Levels</t>
  </si>
  <si>
    <t>FTP Gap</t>
  </si>
  <si>
    <t>FTP Gap Elasticity</t>
  </si>
  <si>
    <t>FPT - Large</t>
  </si>
  <si>
    <t>FPT - Challenger</t>
  </si>
  <si>
    <t>FPT - Small</t>
  </si>
  <si>
    <t>FPT - Failed</t>
  </si>
  <si>
    <t xml:space="preserve">Switching Costs </t>
  </si>
  <si>
    <t xml:space="preserve">% of customer base of failed suppliers to average of small </t>
  </si>
  <si>
    <t xml:space="preserve">Customer Switching Cost </t>
  </si>
  <si>
    <t xml:space="preserve">Supplier Switching Cost </t>
  </si>
  <si>
    <t>Original Tariff Differential</t>
  </si>
  <si>
    <t>Current Tariff Differential</t>
  </si>
  <si>
    <t>Customer Switching Costs</t>
  </si>
  <si>
    <t>Customer Switching Costs due to SAR - Large</t>
  </si>
  <si>
    <t>Customer Switching Costs due to SAR - Challenger</t>
  </si>
  <si>
    <t>Customer Switching Costs due to SoLR - Small</t>
  </si>
  <si>
    <t>Supplier Switching Costs</t>
  </si>
  <si>
    <t>Supplier Switching Costs due to SAR - Large</t>
  </si>
  <si>
    <t>Supplier Switching Costs due to SAR - Challenger</t>
  </si>
  <si>
    <t>Supplier Switching Costs due to SolR - Small</t>
  </si>
  <si>
    <t>Inefficient Switches</t>
  </si>
  <si>
    <t>Switching Costs due to Inefficient Switches</t>
  </si>
  <si>
    <t>Administration Costs</t>
  </si>
  <si>
    <t>Administration Cost per Customer</t>
  </si>
  <si>
    <t>Annual Admin Cost of Bankruptcies - Large</t>
  </si>
  <si>
    <t>Annual Admin Cost of Bankruptcies - Challenger</t>
  </si>
  <si>
    <t>Annual Admin Cost of Bankruptcies - Small</t>
  </si>
  <si>
    <t>Consolidated Results - Pre-policy</t>
  </si>
  <si>
    <t>Post-policy</t>
  </si>
  <si>
    <t>Selected Policy</t>
  </si>
  <si>
    <t>Policy Definition</t>
  </si>
  <si>
    <t>Ringfence Requirements</t>
  </si>
  <si>
    <t>CCB Ringfence</t>
  </si>
  <si>
    <t>RO Ringfence</t>
  </si>
  <si>
    <t>CA Requirement</t>
  </si>
  <si>
    <t>WACC - Large</t>
  </si>
  <si>
    <t>WACC - Challenger</t>
  </si>
  <si>
    <t>WACC - Small</t>
  </si>
  <si>
    <t>Gross CCB - All</t>
  </si>
  <si>
    <t>Net of Unbilled - Average from Sep to Jan (Weighted Average)</t>
  </si>
  <si>
    <t>Net of Unbilled - Average (Large)</t>
  </si>
  <si>
    <t>Net of Unbilled - Average (Challenger)</t>
  </si>
  <si>
    <t>Net of Unbilled - Average (Small)</t>
  </si>
  <si>
    <t>Protected CCB - All</t>
  </si>
  <si>
    <t>CCB Cost of Insurance in Tariff - Small</t>
  </si>
  <si>
    <t>Protected CCB</t>
  </si>
  <si>
    <t>Protected capital for CCBs</t>
  </si>
  <si>
    <t>Protected capital for RO</t>
  </si>
  <si>
    <t xml:space="preserve">Hedging Exposure </t>
  </si>
  <si>
    <t>Challenger Supplier Considerations</t>
  </si>
  <si>
    <t>CCB Requirement</t>
  </si>
  <si>
    <t>RO Requirement</t>
  </si>
  <si>
    <t>Required Capital</t>
  </si>
  <si>
    <t>CCB Cost</t>
  </si>
  <si>
    <t>RO Cost</t>
  </si>
  <si>
    <t>CA Cost</t>
  </si>
  <si>
    <t>Challenger Supplier Tariff Increase</t>
  </si>
  <si>
    <t>Small Supplier Considerations</t>
  </si>
  <si>
    <t>Small Supplier Tariff Increase</t>
  </si>
  <si>
    <t>DTC Increase</t>
  </si>
  <si>
    <t>DTC CCB Assumption</t>
  </si>
  <si>
    <t>DTC RO Assumption</t>
  </si>
  <si>
    <t>DTC CA Assumption</t>
  </si>
  <si>
    <t>Total Protected Cash</t>
  </si>
  <si>
    <t>DTC WACC Allowance</t>
  </si>
  <si>
    <t>Gross Tariff Increases - SVT</t>
  </si>
  <si>
    <t>Net Tariff Increases - SVT</t>
  </si>
  <si>
    <t>Gross Tariff Increases - FPT</t>
  </si>
  <si>
    <t>Historical deltas</t>
  </si>
  <si>
    <t>Net Tariff Increases - FPT</t>
  </si>
  <si>
    <t>SVT vs FPT Weightings</t>
  </si>
  <si>
    <t>Failed</t>
  </si>
  <si>
    <t>cf. engaged share of large supplier customer base</t>
  </si>
  <si>
    <t>Large - Engaged</t>
  </si>
  <si>
    <t>SVT</t>
  </si>
  <si>
    <t>FTC</t>
  </si>
  <si>
    <t>Large - Disengaged</t>
  </si>
  <si>
    <t>Weighted Average Tariff Increase</t>
  </si>
  <si>
    <t>Cust.N</t>
  </si>
  <si>
    <t>Total amount</t>
  </si>
  <si>
    <t>Final Tariffs</t>
  </si>
  <si>
    <t>Supplier Switching Costs due to SoLR - Small</t>
  </si>
  <si>
    <t>Consolidated Results - Post-policy</t>
  </si>
  <si>
    <t>Additional capital</t>
  </si>
  <si>
    <t>Delta</t>
  </si>
  <si>
    <t>6y average</t>
  </si>
  <si>
    <t>6y NPV</t>
  </si>
  <si>
    <t>20y NPV</t>
  </si>
  <si>
    <t>End of sheet</t>
  </si>
  <si>
    <t>Input Assumptions</t>
  </si>
  <si>
    <t>Static Customer Number and Supplier Inputs</t>
  </si>
  <si>
    <t>Sheet "Distributional Weighting"</t>
  </si>
  <si>
    <t>Credit Balance Inputs</t>
  </si>
  <si>
    <t>Gross - Average from Sep to Dec 2020 (Weighted Average)</t>
  </si>
  <si>
    <t>Ofgem RFI data</t>
  </si>
  <si>
    <t>Gross - Sep to Dec 2020 (Large)</t>
  </si>
  <si>
    <t>Gross - Sep to Dec 2020 (Challenger)</t>
  </si>
  <si>
    <t>Gross - Sep to Dec 2020 (Small)</t>
  </si>
  <si>
    <t>Retained Debit Balances in SAR</t>
  </si>
  <si>
    <t>Hedging Inputs</t>
  </si>
  <si>
    <t xml:space="preserve">Ofgem Assumption </t>
  </si>
  <si>
    <t>Retained Hedges in SoLR</t>
  </si>
  <si>
    <t>Tariff Inputs</t>
  </si>
  <si>
    <t>Historical Average Large SVT</t>
  </si>
  <si>
    <t>Ofgem Tariff Data from 2019-2021</t>
  </si>
  <si>
    <t>Challenger SVT Differential</t>
  </si>
  <si>
    <t>Small SVT Differential</t>
  </si>
  <si>
    <t>Failed SVT Differential</t>
  </si>
  <si>
    <t>Historical Average Large FPT</t>
  </si>
  <si>
    <t>Challenger FPT Differential</t>
  </si>
  <si>
    <t>Small FPT Differential</t>
  </si>
  <si>
    <t>Failed FPT  Differential</t>
  </si>
  <si>
    <t>Large Average SVT Proportion Apr 2019-Oct 2021</t>
  </si>
  <si>
    <t>Challenger SVT Proportion Apr 2019-Oct 2021</t>
  </si>
  <si>
    <t>Small SVT Proportion Apr 2019-Oct 2021</t>
  </si>
  <si>
    <t>Failed SVT Proportion Apr 2019-Oct 2021</t>
  </si>
  <si>
    <t>DTC increase for CCB (% of protection)</t>
  </si>
  <si>
    <t>Ofgem Policy Design</t>
  </si>
  <si>
    <t>DTC increase for RO (% of protection)</t>
  </si>
  <si>
    <t>DTC increase for CA (% of protection)</t>
  </si>
  <si>
    <t>Switching Inputs</t>
  </si>
  <si>
    <t>Historical Annual Switching Rate</t>
  </si>
  <si>
    <t>June IA 5.53</t>
  </si>
  <si>
    <t>Switching Price Elasticity</t>
  </si>
  <si>
    <t>Ofgem Assumption</t>
  </si>
  <si>
    <t>Supplier Switching Cost</t>
  </si>
  <si>
    <t>Average switching costs 2016 - 2020</t>
  </si>
  <si>
    <t>Discount rate</t>
  </si>
  <si>
    <t>Benefit discount rate:</t>
  </si>
  <si>
    <t>HMT GB</t>
  </si>
  <si>
    <t>Transition Inputs by Year</t>
  </si>
  <si>
    <t>Year</t>
  </si>
  <si>
    <t>WACC - BBB</t>
  </si>
  <si>
    <t>Sheet "WACC Forecast"</t>
  </si>
  <si>
    <t xml:space="preserve">WACC - BB </t>
  </si>
  <si>
    <t>WACC - B</t>
  </si>
  <si>
    <t>WACC - CCC</t>
  </si>
  <si>
    <t>WACC Adder</t>
  </si>
  <si>
    <t>Sheet "Price cap Scalar"</t>
  </si>
  <si>
    <t>Total Customers</t>
  </si>
  <si>
    <t>Large Supplier Customer Percentage Assumption</t>
  </si>
  <si>
    <t>Ofgem FRP RFI data</t>
  </si>
  <si>
    <t>'Challenger' Supplier Customer Percentage Assumption</t>
  </si>
  <si>
    <t>Small Supplier Customer Percentage Assumption</t>
  </si>
  <si>
    <t>Failed Supplier Percentage</t>
  </si>
  <si>
    <t>Sheet "Failures"</t>
  </si>
  <si>
    <t>Large Average SVT Proportion</t>
  </si>
  <si>
    <t>Sheet "SVT% Transition"</t>
  </si>
  <si>
    <t>Challenger SVT Proportion</t>
  </si>
  <si>
    <t>Small SVT Proportion</t>
  </si>
  <si>
    <t>Failed SVT Proportion</t>
  </si>
  <si>
    <t>Average Annual Electricity Consumption (MWh p.a.)</t>
  </si>
  <si>
    <t>Calculated</t>
  </si>
  <si>
    <t>Sheet "RO Obligation Rate"</t>
  </si>
  <si>
    <t>Renewables Obligation (RO) Buy-out Price, Mutualisation Threshold and Mutualisation Ceilings for 2022-23</t>
  </si>
  <si>
    <t>RO Maximum Term (months)</t>
  </si>
  <si>
    <t>POLICY OPTION DESIGN</t>
  </si>
  <si>
    <t>Percentage of CCB protection Assumption</t>
  </si>
  <si>
    <t>Policy Label</t>
  </si>
  <si>
    <t>Policy Option</t>
  </si>
  <si>
    <t>1. RO + CCB RF</t>
  </si>
  <si>
    <t>2. RO RF</t>
  </si>
  <si>
    <t>3. CA</t>
  </si>
  <si>
    <t>4. CA + RO RF</t>
  </si>
  <si>
    <t>Do nothing</t>
  </si>
  <si>
    <t>Spare 1</t>
  </si>
  <si>
    <t>Spare 2</t>
  </si>
  <si>
    <t>Spare 3</t>
  </si>
  <si>
    <t>Percentage of RO protection Assumption</t>
  </si>
  <si>
    <t>Percentage of Hedging Exposure reduced by CA Assumption</t>
  </si>
  <si>
    <t>Choose CA capital empoyed target</t>
  </si>
  <si>
    <t>Overall Weighted Protection Assumption</t>
  </si>
  <si>
    <t>Weighting on CCB Protection</t>
  </si>
  <si>
    <t>Weighting on RO Protection</t>
  </si>
  <si>
    <t>Weighting on Hedging Exposure</t>
  </si>
  <si>
    <t>SVT Proportion Transition</t>
  </si>
  <si>
    <t>We assume SVT/FTC proportions will return to historic levels (estimated with 2019-2021)</t>
  </si>
  <si>
    <t>Index</t>
  </si>
  <si>
    <t>Target</t>
  </si>
  <si>
    <t>CAGR</t>
  </si>
  <si>
    <t>Normal Years</t>
  </si>
  <si>
    <t>Accelerated Years</t>
  </si>
  <si>
    <t>Notes:</t>
  </si>
  <si>
    <t>Transition period assumed to have a kink at 2025 due to MSC and EPG phase out</t>
  </si>
  <si>
    <t>Acceleration Factor</t>
  </si>
  <si>
    <t>Effective Years</t>
  </si>
  <si>
    <t>Average Proportion of SVT by Supplier Size Apr-Sep 2022</t>
  </si>
  <si>
    <t>Tariff</t>
  </si>
  <si>
    <t>Size</t>
  </si>
  <si>
    <t>S</t>
  </si>
  <si>
    <t>Credit Rating Analysis</t>
  </si>
  <si>
    <t>Source: Moody's Rating Methodology: Unregulated Utlities and Unregulated Power Companies</t>
  </si>
  <si>
    <t>Output</t>
  </si>
  <si>
    <t xml:space="preserve">Option </t>
  </si>
  <si>
    <t>% AA</t>
  </si>
  <si>
    <t>% A</t>
  </si>
  <si>
    <t>% BBB</t>
  </si>
  <si>
    <t>% BB</t>
  </si>
  <si>
    <t>% B</t>
  </si>
  <si>
    <t>% CCC</t>
  </si>
  <si>
    <t>Weights</t>
  </si>
  <si>
    <t>Qualitative</t>
  </si>
  <si>
    <t>Scale</t>
  </si>
  <si>
    <t>Market Diversification</t>
  </si>
  <si>
    <t>Market Framework</t>
  </si>
  <si>
    <t>Capital Requirements</t>
  </si>
  <si>
    <t>Financial Policy</t>
  </si>
  <si>
    <t>Quantitative</t>
  </si>
  <si>
    <t>Interest Coverage</t>
  </si>
  <si>
    <t>CFO/Debt</t>
  </si>
  <si>
    <t>RCF/Debt</t>
  </si>
  <si>
    <t>Overall Rating Score</t>
  </si>
  <si>
    <t>Overall Rating</t>
  </si>
  <si>
    <t>Inputs</t>
  </si>
  <si>
    <t>Sub-Factor Rating</t>
  </si>
  <si>
    <t>Score</t>
  </si>
  <si>
    <t>Score (Lower Limit)</t>
  </si>
  <si>
    <t>Score (Upper Limit)</t>
  </si>
  <si>
    <t>Midpoints</t>
  </si>
  <si>
    <t>Quantitative Factor Thresholds</t>
  </si>
  <si>
    <t>Qualitative Factor  Thresholds</t>
  </si>
  <si>
    <t>Sub-Factor Rating Differences</t>
  </si>
  <si>
    <t>Quantitative Factor Threshold Differences</t>
  </si>
  <si>
    <t>AAA</t>
  </si>
  <si>
    <t>CF/Debt</t>
  </si>
  <si>
    <t>Protection Equal to or Above</t>
  </si>
  <si>
    <t>AAA to AA</t>
  </si>
  <si>
    <t>AA</t>
  </si>
  <si>
    <t>AA to A</t>
  </si>
  <si>
    <t>A</t>
  </si>
  <si>
    <t>A to BBB</t>
  </si>
  <si>
    <t>BBB  to BB</t>
  </si>
  <si>
    <t>BB to B</t>
  </si>
  <si>
    <t>BBB to BB</t>
  </si>
  <si>
    <t>B to CCC</t>
  </si>
  <si>
    <t>CCC to CC</t>
  </si>
  <si>
    <t>CC</t>
  </si>
  <si>
    <t>Analysis - Quantitative Factors</t>
  </si>
  <si>
    <t>Unaffected Qualitative Factors</t>
  </si>
  <si>
    <t>Assumptions</t>
  </si>
  <si>
    <t>Assumptions (£)</t>
  </si>
  <si>
    <t>Small supplier CCB</t>
  </si>
  <si>
    <t>Revenue (£m)</t>
  </si>
  <si>
    <t>Small supplier RO</t>
  </si>
  <si>
    <t>Dividends</t>
  </si>
  <si>
    <t>Interest</t>
  </si>
  <si>
    <t>Bank loan</t>
  </si>
  <si>
    <t>CCBs</t>
  </si>
  <si>
    <t>Debt</t>
  </si>
  <si>
    <t>RO</t>
  </si>
  <si>
    <t>Interest rate</t>
  </si>
  <si>
    <t>Allowed Interest for CCB and RO protection</t>
  </si>
  <si>
    <t>Starting margin</t>
  </si>
  <si>
    <t>% of CF as Dividend</t>
  </si>
  <si>
    <t>% of CCB Protection</t>
  </si>
  <si>
    <t>% of RO Protection</t>
  </si>
  <si>
    <t>% of Hedging Exposure reduced by CA</t>
  </si>
  <si>
    <t>Level of Remaining Debt (£m)</t>
  </si>
  <si>
    <t>EBIT (£m)</t>
  </si>
  <si>
    <t>Dividend (£m)</t>
  </si>
  <si>
    <t>CF (£m)</t>
  </si>
  <si>
    <t>Scalar</t>
  </si>
  <si>
    <t>Spread Calculations</t>
  </si>
  <si>
    <t>Avg Start:</t>
  </si>
  <si>
    <t>Avg End:</t>
  </si>
  <si>
    <t>BBB Bond</t>
  </si>
  <si>
    <t>BB Bond</t>
  </si>
  <si>
    <t>B Bond</t>
  </si>
  <si>
    <t>CCC Bond</t>
  </si>
  <si>
    <t>Risk-Free Rate Forward Curve Data</t>
  </si>
  <si>
    <t>RFR (Nominal)</t>
  </si>
  <si>
    <t>Nominal RfR Forecast</t>
  </si>
  <si>
    <t>RFR (Real)</t>
  </si>
  <si>
    <t>Real RfR Forecast</t>
  </si>
  <si>
    <t>Forecast Bond Yield Calculations</t>
  </si>
  <si>
    <t>Scenario WACC Tables</t>
  </si>
  <si>
    <t>Standard Assumptions</t>
  </si>
  <si>
    <t>Gearing</t>
  </si>
  <si>
    <t>NERA assumption</t>
  </si>
  <si>
    <t>TMR</t>
  </si>
  <si>
    <t>Ofgem assumption</t>
  </si>
  <si>
    <t>Asset beta</t>
  </si>
  <si>
    <t>CMA Investigation</t>
  </si>
  <si>
    <t>Equity beta</t>
  </si>
  <si>
    <t>Scenario</t>
  </si>
  <si>
    <t>Cost of equity (real, post-tax)</t>
  </si>
  <si>
    <t>Cost of equity (nominal, post-tax)</t>
  </si>
  <si>
    <t>Cost of debt (nominal, pre-tax)</t>
  </si>
  <si>
    <t>WACC (vanilla)</t>
  </si>
  <si>
    <t>Final WACC Table</t>
  </si>
  <si>
    <t>WACC - BB</t>
  </si>
  <si>
    <t>Total Credit Balances</t>
  </si>
  <si>
    <t>Summary of Approach</t>
  </si>
  <si>
    <t>We scale gross credit balance obligations by the average of net unbilled to total gross CBs</t>
  </si>
  <si>
    <t>Total Average Net Obligations per customer (pre-policy) (£)</t>
  </si>
  <si>
    <t>Total Obligations (pre-policy) (£)</t>
  </si>
  <si>
    <t>Total Peak Obligations (Post-policy)* (£)</t>
  </si>
  <si>
    <t>Total Peak Net Obligations (post-policy) (£)</t>
  </si>
  <si>
    <t>* assumes a supplier behaves in line with a large supplier post-policy</t>
  </si>
  <si>
    <t>Calc</t>
  </si>
  <si>
    <t xml:space="preserve">Item </t>
  </si>
  <si>
    <t>Percentage of Net vs. Gross</t>
  </si>
  <si>
    <t xml:space="preserve">Output </t>
  </si>
  <si>
    <t xml:space="preserve">Average - Whole Period </t>
  </si>
  <si>
    <t xml:space="preserve">Max - Whole Period </t>
  </si>
  <si>
    <t xml:space="preserve">Average - Sep to Dec </t>
  </si>
  <si>
    <t>Max - 2021</t>
  </si>
  <si>
    <t xml:space="preserve">Number of Customers </t>
  </si>
  <si>
    <t xml:space="preserve">CB per Customer </t>
  </si>
  <si>
    <t>Total CBs - Large Suppliers (£m)</t>
  </si>
  <si>
    <t xml:space="preserve">Customer Numbers - Large </t>
  </si>
  <si>
    <t>Average CBs - Large Suppliers</t>
  </si>
  <si>
    <t>Average DBs - Large</t>
  </si>
  <si>
    <t>Average Net CBs - Large</t>
  </si>
  <si>
    <t>Total CBs - Challenger Suppliers (£m)</t>
  </si>
  <si>
    <t>Customer Numbers - Challenger</t>
  </si>
  <si>
    <t>Average CBs - Challenger Suppliers</t>
  </si>
  <si>
    <t>Average DBs - Challenger Suppliers</t>
  </si>
  <si>
    <t>Average Net CBs - Challenger Suppliers</t>
  </si>
  <si>
    <t>Total CBs - Small Suppliers (£m)</t>
  </si>
  <si>
    <t>Customer Numbers - Small</t>
  </si>
  <si>
    <t>Average CBs - Small Suppliers</t>
  </si>
  <si>
    <t>Average DBs - Small Suppliers</t>
  </si>
  <si>
    <t>Average Net CBs - Small Suppliers</t>
  </si>
  <si>
    <t>Challenger Customers</t>
  </si>
  <si>
    <t>Small Customers</t>
  </si>
  <si>
    <t>Large Customers</t>
  </si>
  <si>
    <t>Source: Ofgem RFI Data</t>
  </si>
  <si>
    <t>We have used the hedging LRSPs paid by Ofgem between 2016 and 2021 (or estimated to be paid in 2021). This does not include Bulb however, so we base Bulb's analysis on the weight of hedging costs in the 2021 payments, which we then scale by Bulb's loan. In a second step, we calculate the per-customer hedging cost that occur when suppliers have a default rate of 5.5% (historical average 2016-2021). We use this per-customer hedging cost to calculate expected hedging cost in different post-policy scneario with lower default rates (i.e. better credit ratings).</t>
  </si>
  <si>
    <t>Unit</t>
  </si>
  <si>
    <t>Pre-Policy</t>
  </si>
  <si>
    <t>Post Policy [CCC]</t>
  </si>
  <si>
    <t>Post Policy [B]</t>
  </si>
  <si>
    <t>Post Policy [BB]</t>
  </si>
  <si>
    <t>Post Policy [BBB]</t>
  </si>
  <si>
    <t>Per customer</t>
  </si>
  <si>
    <t>£</t>
  </si>
  <si>
    <t>Large suppliers</t>
  </si>
  <si>
    <t>Challenger suppliers</t>
  </si>
  <si>
    <t>Small suppliers</t>
  </si>
  <si>
    <t>Total (small supplier customer groups)</t>
  </si>
  <si>
    <t>Assumption</t>
  </si>
  <si>
    <t>Hedging amount</t>
  </si>
  <si>
    <t>Summary</t>
  </si>
  <si>
    <t>Total (6-2-12)</t>
  </si>
  <si>
    <t>Total (3-1.5-12)</t>
  </si>
  <si>
    <t xml:space="preserve">2016 - 2020 </t>
  </si>
  <si>
    <t xml:space="preserve">Total </t>
  </si>
  <si>
    <t>Average (2016-2021)</t>
  </si>
  <si>
    <t>Per failed customer</t>
  </si>
  <si>
    <t>Bulb</t>
  </si>
  <si>
    <t>Bulb Loan (£)</t>
  </si>
  <si>
    <t xml:space="preserve">Percentage of Hedging </t>
  </si>
  <si>
    <t>Bulb Estimated Wholesale Costs (£)</t>
  </si>
  <si>
    <t>We use data from administrator proposals, progress reports and final reports to calculate a per-customer administrative cost of bankruptcy</t>
  </si>
  <si>
    <t>Data from administrator reports</t>
  </si>
  <si>
    <t>Supplier Name</t>
  </si>
  <si>
    <t>Total Domestic customers (February data)</t>
  </si>
  <si>
    <t>Expected administrator fees</t>
  </si>
  <si>
    <t>Expected administrator 3rd party expenses</t>
  </si>
  <si>
    <t>Expected Administration Costs of Bankruptcy</t>
  </si>
  <si>
    <t>Real Terms (Jan 2022)</t>
  </si>
  <si>
    <t>Admin costs per customer</t>
  </si>
  <si>
    <t>Total (if Fee &gt; 0)</t>
  </si>
  <si>
    <t xml:space="preserve">CPI </t>
  </si>
  <si>
    <t>CPI (%)</t>
  </si>
  <si>
    <t>Source: Ofgem RFI data</t>
  </si>
  <si>
    <t>We analyse total gross CBs for all customers, large customers and small customers separately</t>
  </si>
  <si>
    <t>Analysis</t>
  </si>
  <si>
    <t>Average - 2020</t>
  </si>
  <si>
    <t>Max - 2020</t>
  </si>
  <si>
    <t xml:space="preserve">Avg - (Sep 2020 - Dec 2020) </t>
  </si>
  <si>
    <t>Supplier</t>
  </si>
  <si>
    <t>Customer credit balances at reporting month end</t>
  </si>
  <si>
    <t xml:space="preserve">Sum (if customer numbers exist) </t>
  </si>
  <si>
    <t>Large Supplier Sum (if customer numbers exist)</t>
  </si>
  <si>
    <t>Challenger Supplier Sum (if customer numbers exist)</t>
  </si>
  <si>
    <t xml:space="preserve">DB per Customer </t>
  </si>
  <si>
    <t>Total DBs - Large Suppliers (£m)</t>
  </si>
  <si>
    <t>Average DBs - Large Suppliers</t>
  </si>
  <si>
    <t>Total DBs - Challenger Suppliers (£m)</t>
  </si>
  <si>
    <t>Total DBs - Small Suppliers (£m)</t>
  </si>
  <si>
    <t>Gross Debit Balances</t>
  </si>
  <si>
    <t>Value of customer arrears at reporting month end</t>
  </si>
  <si>
    <t xml:space="preserve">Month </t>
  </si>
  <si>
    <t>January</t>
  </si>
  <si>
    <t>February</t>
  </si>
  <si>
    <t>March</t>
  </si>
  <si>
    <t>April</t>
  </si>
  <si>
    <t>May</t>
  </si>
  <si>
    <t>June</t>
  </si>
  <si>
    <t>July</t>
  </si>
  <si>
    <t>August</t>
  </si>
  <si>
    <t>September</t>
  </si>
  <si>
    <t>October</t>
  </si>
  <si>
    <t>November</t>
  </si>
  <si>
    <t>December</t>
  </si>
  <si>
    <t>Average Net to Gross CBs</t>
  </si>
  <si>
    <t xml:space="preserve">Analysis </t>
  </si>
  <si>
    <t xml:space="preserve">CBs - Gross </t>
  </si>
  <si>
    <t xml:space="preserve">CBs - Net </t>
  </si>
  <si>
    <t>Percent</t>
  </si>
  <si>
    <t>Failure rates based on supplier numbers</t>
  </si>
  <si>
    <t>Continuing Active Suppliers</t>
  </si>
  <si>
    <t xml:space="preserve">Supplier Entries </t>
  </si>
  <si>
    <t xml:space="preserve">Supplier Exits </t>
  </si>
  <si>
    <t>Continuing Active Small Suppliers</t>
  </si>
  <si>
    <t>3-year Failure Rate</t>
  </si>
  <si>
    <t>Annual Failure Rate</t>
  </si>
  <si>
    <t xml:space="preserve">2016 Q1 </t>
  </si>
  <si>
    <t xml:space="preserve">2016 Q2 </t>
  </si>
  <si>
    <t xml:space="preserve">2016 Q3 </t>
  </si>
  <si>
    <t>2016 Q4</t>
  </si>
  <si>
    <t xml:space="preserve">2017 Q1 </t>
  </si>
  <si>
    <t xml:space="preserve">2017 Q2 </t>
  </si>
  <si>
    <t xml:space="preserve">2017 Q3 </t>
  </si>
  <si>
    <t>2017 Q4</t>
  </si>
  <si>
    <t xml:space="preserve">2018 Q1 </t>
  </si>
  <si>
    <t xml:space="preserve">2018 Q2 </t>
  </si>
  <si>
    <t xml:space="preserve">2018 Q3 </t>
  </si>
  <si>
    <t>2018 Q4</t>
  </si>
  <si>
    <t xml:space="preserve">2019 Q1 </t>
  </si>
  <si>
    <t xml:space="preserve">2019 Q2 </t>
  </si>
  <si>
    <t xml:space="preserve">2019 Q3 </t>
  </si>
  <si>
    <t>2019 Q4</t>
  </si>
  <si>
    <t xml:space="preserve">2020 Q1 </t>
  </si>
  <si>
    <t xml:space="preserve">2020 Q2 </t>
  </si>
  <si>
    <t xml:space="preserve">2020 Q3 </t>
  </si>
  <si>
    <t>2020 Q4</t>
  </si>
  <si>
    <t xml:space="preserve">2021 Q1 </t>
  </si>
  <si>
    <t xml:space="preserve">2021 Q2 </t>
  </si>
  <si>
    <t xml:space="preserve">2021 Q3 </t>
  </si>
  <si>
    <t>2021 Q4</t>
  </si>
  <si>
    <t>2022 Q1</t>
  </si>
  <si>
    <t>Failure rates based on affected customers</t>
  </si>
  <si>
    <t>Customers with failed small suppliers</t>
  </si>
  <si>
    <t>Total customers per year</t>
  </si>
  <si>
    <t>Source: S&amp;P rating: European corporates 1981-2020</t>
  </si>
  <si>
    <t xml:space="preserve">Rating </t>
  </si>
  <si>
    <t>Three year Default Rate</t>
  </si>
  <si>
    <t>Annual Default Rate</t>
  </si>
  <si>
    <t>CCC/C</t>
  </si>
  <si>
    <t>Average small suppliers</t>
  </si>
  <si>
    <t xml:space="preserve">Share of B </t>
  </si>
  <si>
    <t>Share of CCC</t>
  </si>
  <si>
    <t>Source: Ofgem: Assessing the distributional impact of economic regulation</t>
  </si>
  <si>
    <t>Ofgem switching data</t>
  </si>
  <si>
    <t>Raw numbers (million)</t>
  </si>
  <si>
    <t>Low Income</t>
  </si>
  <si>
    <t>High Income</t>
  </si>
  <si>
    <t>Engaged</t>
  </si>
  <si>
    <t>Disengaged</t>
  </si>
  <si>
    <t>Percentage across rows</t>
  </si>
  <si>
    <t>Percentage across columns</t>
  </si>
  <si>
    <t>Average distributional weight</t>
  </si>
  <si>
    <t>Raw Wts</t>
  </si>
  <si>
    <t>Levelised Wts</t>
  </si>
  <si>
    <t>Base</t>
  </si>
  <si>
    <t>Average tariff (£/year TDCV)</t>
  </si>
  <si>
    <t>EPG (£/year TDCV)</t>
  </si>
  <si>
    <t>-</t>
  </si>
  <si>
    <t>DTC estimate (£/year TDCV)</t>
  </si>
  <si>
    <t>P9a, P9b</t>
  </si>
  <si>
    <t>P10a, P10b, P11a, P11b</t>
  </si>
  <si>
    <t>Source:</t>
  </si>
  <si>
    <t>Renewables Obligation (RO) Buy-out Price, Mutualisation Threshold and Mutualisation Ceilings for 2021-22 | Ofgem</t>
  </si>
  <si>
    <t xml:space="preserve">The RO closed to all new generating capacity on 31 March 2017. </t>
  </si>
  <si>
    <t>Obligation Period (1 April - 31 March)</t>
  </si>
  <si>
    <t>Buy-out Price</t>
  </si>
  <si>
    <t>Obligation For England &amp; Wales and Scotland (ROCs/MWh)</t>
  </si>
  <si>
    <t>2010-2011</t>
  </si>
  <si>
    <t>2011-2012</t>
  </si>
  <si>
    <t>2012-2013</t>
  </si>
  <si>
    <t>2013-2014</t>
  </si>
  <si>
    <t>2014-2015</t>
  </si>
  <si>
    <t>2015-2016</t>
  </si>
  <si>
    <t>2016-2017</t>
  </si>
  <si>
    <t>2017-2018</t>
  </si>
  <si>
    <t>2018-2019</t>
  </si>
  <si>
    <t>2019-2020</t>
  </si>
  <si>
    <t>2020-2021</t>
  </si>
  <si>
    <t>2021-2022</t>
  </si>
  <si>
    <t>Average 2017/18-21/22</t>
  </si>
  <si>
    <t>Note:</t>
  </si>
  <si>
    <t>Assumes relevant electricity sales volumes are flat</t>
  </si>
  <si>
    <t>Retail market indicators | Ofgem</t>
  </si>
  <si>
    <t>Retail price comparison by company and tariff type: Domestic (GB)</t>
  </si>
  <si>
    <t>Average standard variable tariff (Large legacy suppliers)</t>
  </si>
  <si>
    <t>Average standard variable tariff (Other suppliers)</t>
  </si>
  <si>
    <t>Average fixed tariff</t>
  </si>
  <si>
    <t>Cheapest tariff (Large legacy suppliers)</t>
  </si>
  <si>
    <t>Cheapest tariff (All suppliers)</t>
  </si>
  <si>
    <t>Cheapest tariff (Basket)</t>
  </si>
  <si>
    <t>Default tariff cap level</t>
  </si>
  <si>
    <t>Average Jan-22 to Dec-22</t>
  </si>
  <si>
    <t>Average Jun-20 to Sep-21</t>
  </si>
  <si>
    <t>% of consumers</t>
  </si>
  <si>
    <t>Weighted price</t>
  </si>
  <si>
    <t>Number of accounts by type</t>
  </si>
  <si>
    <t>Aggregate of suppliers from Oct 2020</t>
  </si>
  <si>
    <t>Total large legacy</t>
  </si>
  <si>
    <t>% tariff split</t>
  </si>
  <si>
    <t>Market share (Q3'20-Q3'21)</t>
  </si>
  <si>
    <t>Large legacy</t>
  </si>
  <si>
    <t xml:space="preserve">Price Cap Forecast </t>
  </si>
  <si>
    <t>DisclaImer</t>
  </si>
  <si>
    <t xml:space="preserve"> Other allowances than the wholesale cost allowance are kept constant from Period 9a onwards.</t>
  </si>
  <si>
    <t>The wholesale allowance is based on a 3-1.5-3 hedging strategy from P10a onwards as a simplifying assumption in order to forecast over a longer period even when we are outside the observation window. We acknowledge this does deviate from the price cap methodology. The approximation is not expected to be sensitive to the outputs.</t>
  </si>
  <si>
    <t>From Period 14a onwards, the wholesale allowance is kept constant.</t>
  </si>
  <si>
    <t>The methodology of the shaping, forecast error and imbalance, transaction costs, basis risk, electricity line losses and unidentifed gas uplift allowances do not change over the period.</t>
  </si>
  <si>
    <t>Wholesale allowance estimates based on Index wholesale prices as of Oct '22</t>
  </si>
  <si>
    <t>Source: P9a allowance breakdown</t>
  </si>
  <si>
    <t>https://www.ofgem.gov.uk/sites/default/files/2022-08/Default%20tariff%20cap%20letter.pdf</t>
  </si>
  <si>
    <t>Price cap period:</t>
  </si>
  <si>
    <t>P9a</t>
  </si>
  <si>
    <t>P9b</t>
  </si>
  <si>
    <t>P10a</t>
  </si>
  <si>
    <t>P10b</t>
  </si>
  <si>
    <t>P11a</t>
  </si>
  <si>
    <t>P11b</t>
  </si>
  <si>
    <t>P12a</t>
  </si>
  <si>
    <t>P12b</t>
  </si>
  <si>
    <t>P13a</t>
  </si>
  <si>
    <t>P13b</t>
  </si>
  <si>
    <t>P14a</t>
  </si>
  <si>
    <t>P14b</t>
  </si>
  <si>
    <t>P15a</t>
  </si>
  <si>
    <t>P15b</t>
  </si>
  <si>
    <t>P16a</t>
  </si>
  <si>
    <t>P16b</t>
  </si>
  <si>
    <t>P17a</t>
  </si>
  <si>
    <t>P17b</t>
  </si>
  <si>
    <t>P18a</t>
  </si>
  <si>
    <t>P18b</t>
  </si>
  <si>
    <t>P19a</t>
  </si>
  <si>
    <t>P19b</t>
  </si>
  <si>
    <t>P20a</t>
  </si>
  <si>
    <t>P20b</t>
  </si>
  <si>
    <t>P21a</t>
  </si>
  <si>
    <t>Year:</t>
  </si>
  <si>
    <t>Quarter:</t>
  </si>
  <si>
    <t>Q4-22</t>
  </si>
  <si>
    <t>Q1-23</t>
  </si>
  <si>
    <t>Q2-23</t>
  </si>
  <si>
    <t>Q3-23</t>
  </si>
  <si>
    <t>Q4-23</t>
  </si>
  <si>
    <t>Q1-24</t>
  </si>
  <si>
    <t>Q2-24</t>
  </si>
  <si>
    <t>Q3-24</t>
  </si>
  <si>
    <t>Q4-24</t>
  </si>
  <si>
    <t>Q1-25</t>
  </si>
  <si>
    <t>Q2-25</t>
  </si>
  <si>
    <t>Q3-25</t>
  </si>
  <si>
    <t>Q4-25</t>
  </si>
  <si>
    <t>Q1-26</t>
  </si>
  <si>
    <t>Q2-26</t>
  </si>
  <si>
    <t>Q3-26</t>
  </si>
  <si>
    <t>Q4-26</t>
  </si>
  <si>
    <t>Q1-27</t>
  </si>
  <si>
    <t>Q2-27</t>
  </si>
  <si>
    <t>Q3-27</t>
  </si>
  <si>
    <t>Q4-27</t>
  </si>
  <si>
    <t>Q1-28</t>
  </si>
  <si>
    <t>Q2-28</t>
  </si>
  <si>
    <t>Q3-28</t>
  </si>
  <si>
    <t>Q4-28</t>
  </si>
  <si>
    <t xml:space="preserve">Gas Non PPM (£/cust at TDCV) </t>
  </si>
  <si>
    <t>Electricity Single Rate (£/cust at TDCV)</t>
  </si>
  <si>
    <t>Wholesale allowance</t>
  </si>
  <si>
    <t>CfD</t>
  </si>
  <si>
    <t>Policy</t>
  </si>
  <si>
    <t>Adjustment allowance</t>
  </si>
  <si>
    <t>Network (SoLR)</t>
  </si>
  <si>
    <t>Networks (non-SoLR)</t>
  </si>
  <si>
    <t>Operating costs</t>
  </si>
  <si>
    <t>Payment uplift</t>
  </si>
  <si>
    <t>EBIT</t>
  </si>
  <si>
    <t>Headroom</t>
  </si>
  <si>
    <t>VAT</t>
  </si>
  <si>
    <t>Quarterly weighting - Annex 2</t>
  </si>
  <si>
    <t>Q1</t>
  </si>
  <si>
    <t>Q2</t>
  </si>
  <si>
    <t>Q3</t>
  </si>
  <si>
    <t>Q4</t>
  </si>
  <si>
    <t>Annual</t>
  </si>
  <si>
    <t xml:space="preserve">Gas </t>
  </si>
  <si>
    <t>Electricity</t>
  </si>
  <si>
    <t>Title</t>
  </si>
  <si>
    <t>CPIH ANNUAL RATE 00: ALL ITEMS 2015=100</t>
  </si>
  <si>
    <t>CDID</t>
  </si>
  <si>
    <t>L55O</t>
  </si>
  <si>
    <t>Source dataset ID</t>
  </si>
  <si>
    <t>MM23</t>
  </si>
  <si>
    <t>PreUnit</t>
  </si>
  <si>
    <t/>
  </si>
  <si>
    <t>Release date</t>
  </si>
  <si>
    <t>13-04-2022</t>
  </si>
  <si>
    <t>Next release</t>
  </si>
  <si>
    <t>18 May 2022</t>
  </si>
  <si>
    <t>Important notes</t>
  </si>
  <si>
    <t>Date</t>
  </si>
  <si>
    <t>2016</t>
  </si>
  <si>
    <t>2017</t>
  </si>
  <si>
    <t>2018</t>
  </si>
  <si>
    <t>2019</t>
  </si>
  <si>
    <t>2020</t>
  </si>
  <si>
    <t>2021</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</si>
  <si>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</si>
  <si>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</si>
  <si>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</si>
  <si>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</si>
  <si>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</si>
  <si>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</si>
  <si>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</si>
  <si>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</si>
  <si>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</si>
  <si>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</si>
  <si>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</si>
  <si>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</si>
  <si>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</si>
  <si>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</si>
  <si>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</si>
  <si>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</si>
  <si>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</si>
  <si>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</si>
  <si>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</si>
  <si>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</si>
  <si>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</si>
  <si>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</si>
  <si>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</si>
  <si>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</si>
  <si>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</si>
  <si>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</si>
  <si>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</si>
  <si>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</si>
  <si>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</si>
  <si>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</si>
  <si>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</si>
  <si>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</si>
  <si>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</si>
  <si>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</si>
  <si>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</si>
  <si>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</si>
  <si>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</si>
  <si>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</si>
  <si>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</si>
  <si>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</si>
  <si>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</si>
  <si>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</si>
  <si>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</si>
  <si>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</si>
  <si>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</si>
  <si>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</si>
  <si>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</si>
  <si>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</si>
  <si>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</si>
  <si>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</si>
  <si>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</si>
  <si>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</si>
  <si>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</si>
  <si>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</si>
  <si>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</si>
  <si>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</si>
  <si>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</si>
  <si>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</si>
  <si>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</si>
  <si>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</si>
  <si>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</si>
  <si>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</si>
  <si>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</si>
  <si>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</si>
  <si>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</si>
  <si>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</si>
  <si>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</si>
  <si>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</si>
  <si>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</si>
  <si>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</si>
  <si>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</si>
  <si>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</si>
  <si>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</si>
  <si>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</si>
  <si>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</si>
  <si>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</si>
  <si>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</si>
  <si>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</si>
  <si>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</si>
  <si>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</si>
  <si>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</si>
  <si>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</si>
  <si>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</si>
  <si>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</si>
  <si>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</si>
  <si>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</si>
  <si>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</si>
  <si>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</si>
  <si>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</si>
  <si>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</si>
  <si>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</si>
  <si>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</si>
  <si>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</si>
  <si>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</si>
  <si>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</si>
  <si>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</si>
  <si>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</si>
  <si>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</si>
  <si>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</si>
  <si>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</si>
  <si>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</si>
  <si>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</si>
  <si>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</si>
  <si>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</si>
  <si>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</si>
  <si>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</si>
  <si>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</si>
  <si>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</si>
  <si>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</si>
  <si>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</si>
  <si>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</si>
  <si>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2017 Q1</t>
  </si>
  <si>
    <t>2017 Q2</t>
  </si>
  <si>
    <t>2017 Q3</t>
  </si>
  <si>
    <t>2018 Q1</t>
  </si>
  <si>
    <t>2018 Q2</t>
  </si>
  <si>
    <t>2018 Q3</t>
  </si>
  <si>
    <t>2019 Q1</t>
  </si>
  <si>
    <t>2019 Q2</t>
  </si>
  <si>
    <t>2019 Q3</t>
  </si>
  <si>
    <t>2020 Q1</t>
  </si>
  <si>
    <t>2020 Q2</t>
  </si>
  <si>
    <t>2020 Q3</t>
  </si>
  <si>
    <t>2021 Q1</t>
  </si>
  <si>
    <t>2021 Q2</t>
  </si>
  <si>
    <t>2021 Q3</t>
  </si>
  <si>
    <t>1989 JAN</t>
  </si>
  <si>
    <t>1989 FEB</t>
  </si>
  <si>
    <t>1989 MAR</t>
  </si>
  <si>
    <t>1989 APR</t>
  </si>
  <si>
    <t>1989 MAY</t>
  </si>
  <si>
    <t>1989 JUN</t>
  </si>
  <si>
    <t>1989 JUL</t>
  </si>
  <si>
    <t>1989 AUG</t>
  </si>
  <si>
    <t>1989 SEP</t>
  </si>
  <si>
    <t>1989 OCT</t>
  </si>
  <si>
    <t>1989 NOV</t>
  </si>
  <si>
    <t>1989 DEC</t>
  </si>
  <si>
    <t>1990 JAN</t>
  </si>
  <si>
    <t>1990 FEB</t>
  </si>
  <si>
    <t>1990 MAR</t>
  </si>
  <si>
    <t>1990 APR</t>
  </si>
  <si>
    <t>1990 MAY</t>
  </si>
  <si>
    <t>1990 JUN</t>
  </si>
  <si>
    <t>1990 JUL</t>
  </si>
  <si>
    <t>1990 AUG</t>
  </si>
  <si>
    <t>1990 SEP</t>
  </si>
  <si>
    <t>1990 OCT</t>
  </si>
  <si>
    <t>1990 NOV</t>
  </si>
  <si>
    <t>1990 DEC</t>
  </si>
  <si>
    <t>1991 JAN</t>
  </si>
  <si>
    <t>1991 FEB</t>
  </si>
  <si>
    <t>1991 MAR</t>
  </si>
  <si>
    <t>1991 APR</t>
  </si>
  <si>
    <t>1991 MAY</t>
  </si>
  <si>
    <t>1991 JUN</t>
  </si>
  <si>
    <t>1991 JUL</t>
  </si>
  <si>
    <t>1991 AUG</t>
  </si>
  <si>
    <t>1991 SEP</t>
  </si>
  <si>
    <t>1991 OCT</t>
  </si>
  <si>
    <t>1991 NOV</t>
  </si>
  <si>
    <t>1991 DEC</t>
  </si>
  <si>
    <t>1992 JAN</t>
  </si>
  <si>
    <t>1992 FEB</t>
  </si>
  <si>
    <t>1992 MAR</t>
  </si>
  <si>
    <t>1992 APR</t>
  </si>
  <si>
    <t>1992 MAY</t>
  </si>
  <si>
    <t>1992 JUN</t>
  </si>
  <si>
    <t>1992 JUL</t>
  </si>
  <si>
    <t>1992 AUG</t>
  </si>
  <si>
    <t>1992 SEP</t>
  </si>
  <si>
    <t>1992 OCT</t>
  </si>
  <si>
    <t>1992 NOV</t>
  </si>
  <si>
    <t>1992 DEC</t>
  </si>
  <si>
    <t>1993 JAN</t>
  </si>
  <si>
    <t>1993 FEB</t>
  </si>
  <si>
    <t>1993 MAR</t>
  </si>
  <si>
    <t>1993 APR</t>
  </si>
  <si>
    <t>1993 MAY</t>
  </si>
  <si>
    <t>1993 JUN</t>
  </si>
  <si>
    <t>1993 JUL</t>
  </si>
  <si>
    <t>1993 AUG</t>
  </si>
  <si>
    <t>1993 SEP</t>
  </si>
  <si>
    <t>1993 OCT</t>
  </si>
  <si>
    <t>1993 NOV</t>
  </si>
  <si>
    <t>1993 DEC</t>
  </si>
  <si>
    <t>1994 JAN</t>
  </si>
  <si>
    <t>1994 FEB</t>
  </si>
  <si>
    <t>1994 MAR</t>
  </si>
  <si>
    <t>1994 APR</t>
  </si>
  <si>
    <t>1994 MAY</t>
  </si>
  <si>
    <t>1994 JUN</t>
  </si>
  <si>
    <t>1994 JUL</t>
  </si>
  <si>
    <t>1994 AUG</t>
  </si>
  <si>
    <t>1994 SEP</t>
  </si>
  <si>
    <t>1994 OCT</t>
  </si>
  <si>
    <t>1994 NOV</t>
  </si>
  <si>
    <t>1994 DEC</t>
  </si>
  <si>
    <t>1995 JAN</t>
  </si>
  <si>
    <t>1995 FEB</t>
  </si>
  <si>
    <t>1995 MAR</t>
  </si>
  <si>
    <t>1995 APR</t>
  </si>
  <si>
    <t>1995 MAY</t>
  </si>
  <si>
    <t>1995 JUN</t>
  </si>
  <si>
    <t>1995 JUL</t>
  </si>
  <si>
    <t>1995 AUG</t>
  </si>
  <si>
    <t>1995 SEP</t>
  </si>
  <si>
    <t>1995 OCT</t>
  </si>
  <si>
    <t>1995 NOV</t>
  </si>
  <si>
    <t>1995 DEC</t>
  </si>
  <si>
    <t>1996 JAN</t>
  </si>
  <si>
    <t>1996 FEB</t>
  </si>
  <si>
    <t>1996 MAR</t>
  </si>
  <si>
    <t>1996 APR</t>
  </si>
  <si>
    <t>1996 MAY</t>
  </si>
  <si>
    <t>1996 JUN</t>
  </si>
  <si>
    <t>1996 JUL</t>
  </si>
  <si>
    <t>1996 AUG</t>
  </si>
  <si>
    <t>1996 SEP</t>
  </si>
  <si>
    <t>1996 OCT</t>
  </si>
  <si>
    <t>1996 NOV</t>
  </si>
  <si>
    <t>1996 DEC</t>
  </si>
  <si>
    <t>1997 JAN</t>
  </si>
  <si>
    <t>1997 FEB</t>
  </si>
  <si>
    <t>1997 MAR</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</si>
  <si>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</si>
  <si>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</si>
  <si>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</si>
  <si>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</si>
  <si>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</si>
  <si>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</si>
  <si>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</si>
  <si>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</si>
  <si>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</si>
  <si>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</si>
  <si>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</si>
  <si>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</si>
  <si>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</si>
  <si>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</si>
  <si>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</si>
  <si>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</si>
  <si>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</si>
  <si>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</si>
  <si>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</si>
  <si>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</si>
  <si>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</si>
  <si>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</si>
  <si>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</si>
  <si>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</si>
  <si>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</si>
  <si>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</si>
  <si>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</si>
  <si>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</si>
  <si>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</si>
  <si>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</si>
  <si>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</si>
  <si>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</si>
  <si>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</si>
  <si>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</si>
  <si>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</si>
  <si>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</si>
  <si>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</si>
  <si>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</si>
  <si>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</si>
  <si>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</si>
  <si>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</si>
  <si>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</si>
  <si>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</si>
  <si>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</si>
  <si>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</si>
  <si>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</si>
  <si>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</si>
  <si>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</si>
  <si>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</si>
  <si>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</si>
  <si>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</si>
  <si>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</si>
  <si>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</si>
  <si>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</si>
  <si>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</si>
  <si>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</si>
  <si>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</si>
  <si>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</si>
  <si>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</si>
  <si>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</si>
  <si>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</si>
  <si>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</si>
  <si>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</si>
  <si>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</si>
  <si>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</si>
  <si>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</si>
  <si>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</si>
  <si>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</si>
  <si>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</si>
  <si>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</si>
  <si>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</si>
  <si>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</si>
  <si>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</si>
  <si>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</si>
  <si>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</si>
  <si>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</si>
  <si>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</si>
  <si>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</si>
  <si>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</si>
  <si>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</si>
  <si>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</si>
  <si>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</si>
  <si>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</si>
  <si>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</si>
  <si>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</si>
  <si>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</si>
  <si>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</si>
  <si>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</si>
  <si>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</si>
  <si>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</si>
  <si>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</si>
  <si>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</si>
  <si>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</si>
  <si>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</si>
  <si>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</si>
  <si>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</si>
  <si>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</si>
  <si>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</si>
  <si>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</si>
  <si>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</si>
  <si>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</si>
  <si>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</si>
  <si>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</si>
  <si>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</si>
  <si>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</si>
  <si>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</si>
  <si>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</si>
  <si>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</si>
  <si>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</si>
  <si>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</si>
  <si>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</si>
  <si>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</si>
  <si>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</si>
  <si>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</si>
  <si>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</si>
  <si>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</si>
  <si>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</si>
  <si>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</si>
  <si>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</si>
  <si>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</si>
  <si>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</si>
  <si>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</si>
  <si>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</si>
  <si>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</si>
  <si>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</si>
  <si>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</si>
  <si>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</si>
  <si>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</si>
  <si>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</si>
  <si>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</si>
  <si>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</si>
  <si>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</si>
  <si>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</si>
  <si>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</si>
  <si>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</si>
  <si>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</si>
  <si>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</si>
  <si>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</si>
  <si>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</si>
  <si>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</si>
  <si>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</si>
  <si>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</si>
  <si>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</si>
  <si>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</si>
  <si>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</si>
  <si>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</si>
  <si>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</si>
  <si>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</si>
  <si>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</si>
  <si>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</si>
  <si>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</si>
  <si>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</si>
  <si>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</si>
  <si>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</si>
  <si>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</si>
  <si>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</si>
  <si>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</si>
  <si>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</si>
  <si>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</si>
  <si>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</si>
  <si>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</si>
  <si>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</si>
  <si>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</si>
  <si>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</si>
  <si>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</si>
  <si>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</si>
  <si>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</si>
  <si>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</si>
  <si>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</si>
  <si>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</si>
  <si>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</si>
  <si>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</si>
  <si>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</si>
  <si>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</si>
  <si>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</si>
  <si>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</si>
  <si>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</si>
  <si>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</si>
  <si>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</si>
  <si>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</si>
  <si>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</si>
  <si>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</si>
  <si>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</si>
  <si>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</si>
  <si>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</si>
  <si>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</si>
  <si>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</si>
  <si>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</si>
  <si>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</si>
  <si>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</si>
  <si>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</si>
  <si>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</si>
  <si>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</si>
  <si>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</si>
  <si>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</si>
  <si>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</si>
  <si>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</si>
  <si>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</si>
  <si>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</si>
  <si>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</si>
  <si>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</si>
  <si>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</si>
  <si>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</si>
  <si>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</si>
  <si>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</si>
  <si>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</si>
  <si>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</si>
  <si>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</si>
  <si>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</si>
  <si>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</si>
  <si>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</si>
  <si>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</si>
  <si>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</si>
  <si>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</si>
  <si>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</si>
  <si>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</si>
  <si>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</si>
  <si>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</si>
  <si>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</si>
  <si>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</si>
  <si>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</si>
  <si>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</si>
  <si>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</si>
  <si>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</si>
  <si>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</si>
  <si>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</si>
  <si>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</si>
  <si>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</si>
  <si>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</si>
  <si>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</si>
  <si>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</si>
  <si>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</si>
  <si>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</si>
  <si>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</si>
  <si>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</si>
  <si>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</si>
  <si>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</si>
  <si>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</si>
  <si>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</si>
  <si>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</si>
  <si>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</si>
  <si>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</si>
  <si>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</si>
  <si>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</si>
  <si>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</si>
  <si>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</si>
  <si>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</si>
  <si>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</si>
  <si>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</si>
  <si>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</si>
  <si>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</si>
  <si>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</si>
  <si>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</si>
  <si>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</si>
  <si>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</si>
  <si>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</si>
  <si>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</si>
  <si>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</si>
  <si>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</si>
  <si>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</si>
  <si>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</si>
  <si>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</si>
  <si>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</si>
  <si>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</si>
  <si>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</si>
  <si>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</si>
  <si>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</si>
  <si>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</si>
  <si>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</si>
  <si>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</si>
  <si>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</si>
  <si>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</si>
  <si>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</si>
  <si>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</si>
  <si>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</si>
  <si>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</si>
  <si>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</si>
  <si>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</si>
  <si>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</si>
  <si>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</si>
  <si>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</si>
  <si>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</si>
  <si>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</si>
  <si>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</si>
  <si>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</si>
  <si>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</si>
  <si>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</si>
  <si>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</si>
  <si>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</si>
  <si>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</si>
  <si>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</si>
  <si>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</si>
  <si>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</si>
  <si>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</si>
  <si>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</si>
  <si>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</si>
  <si>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</si>
  <si>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</si>
  <si>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</si>
  <si>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</si>
  <si>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Summary (linked to control)</t>
  </si>
  <si>
    <t>Historical Totals</t>
  </si>
  <si>
    <t>2016-2021</t>
  </si>
  <si>
    <t>Total Customer Number</t>
  </si>
  <si>
    <t>Large Supplier Customer Number</t>
  </si>
  <si>
    <t>'Challenger' Supplier Customer Number</t>
  </si>
  <si>
    <t>'Small' Supplier Customer Number</t>
  </si>
  <si>
    <t>Failed Customer Numbers</t>
  </si>
  <si>
    <t>Small Customer Numbers (exc. Failed)</t>
  </si>
  <si>
    <t>Small Customer Numbers</t>
  </si>
  <si>
    <t>Average Number of Large Suppliers</t>
  </si>
  <si>
    <t>Item</t>
  </si>
  <si>
    <t>Average</t>
  </si>
  <si>
    <t>Customers with Large Suppliers</t>
  </si>
  <si>
    <t>Number of Large Suppliers</t>
  </si>
  <si>
    <t>Customers with 'Challenger' Suppliers</t>
  </si>
  <si>
    <t>Number of 'Challenger' Suppliers</t>
  </si>
  <si>
    <t>Customers with 'Small' Suppliers</t>
  </si>
  <si>
    <t>Number of Other Suppliers</t>
  </si>
  <si>
    <t>Customers with Failed Suppliers</t>
  </si>
  <si>
    <t>Number of Failed Suppliers in Operation</t>
  </si>
  <si>
    <t>Required % of Market for a 'Large' Supplier</t>
  </si>
  <si>
    <t>Legacy SOLR costs mutualised (2018 - June 2021)</t>
  </si>
  <si>
    <t xml:space="preserve">Wholesale </t>
  </si>
  <si>
    <t>Credit Balance</t>
  </si>
  <si>
    <t>Working Capital</t>
  </si>
  <si>
    <t>Onboarding and migration</t>
  </si>
  <si>
    <t>Totals</t>
  </si>
  <si>
    <t>Crisis SOLR costs mutualised (June 2021 - date)</t>
  </si>
  <si>
    <t>Proportions</t>
  </si>
  <si>
    <t>Distributional weights capture the fact that an additional unit of income improves the welfare of a low-income household more than that of a higher-income household. It is based on the economic principle of decreasing marginal utility of income. It is standard practice  and recommended by HM Treasury Green Book to also present policy costs savigs using distributional weights. 
This sheet calculates the distributional weights that we use to convert £ savings into equity weighted savings. We apply these distributional weights in Table 2A of  tabs "Example A" and "Example B".</t>
  </si>
  <si>
    <t>1. Marginal utility of income across the income deciles</t>
  </si>
  <si>
    <t>In line with the Green Book guidance published by HMT and distributional work by DWP, the marginal utility of income is derived from an isoelastic utility function of income and taken to be:</t>
  </si>
  <si>
    <r>
      <rPr>
        <b/>
        <sz val="10"/>
        <color rgb="FF7030A0"/>
        <rFont val="Arial"/>
        <family val="2"/>
      </rPr>
      <t>Table 1</t>
    </r>
    <r>
      <rPr>
        <sz val="10"/>
        <color rgb="FF7030A0"/>
        <rFont val="Arial"/>
        <family val="2"/>
      </rPr>
      <t>: Marginal utility of income</t>
    </r>
  </si>
  <si>
    <r>
      <t>Decile groups of all individuals ranked by equivalised</t>
    </r>
    <r>
      <rPr>
        <vertAlign val="superscript"/>
        <sz val="10"/>
        <color theme="1"/>
        <rFont val="Arial"/>
        <family val="2"/>
      </rPr>
      <t>10</t>
    </r>
    <r>
      <rPr>
        <sz val="10"/>
        <color theme="1"/>
        <rFont val="Arial"/>
        <family val="2"/>
      </rPr>
      <t xml:space="preserve"> household disposable income</t>
    </r>
  </si>
  <si>
    <t>Bottom</t>
  </si>
  <si>
    <t>2nd</t>
  </si>
  <si>
    <t>3rd</t>
  </si>
  <si>
    <t>4th</t>
  </si>
  <si>
    <t>5th</t>
  </si>
  <si>
    <t>6th</t>
  </si>
  <si>
    <t>7th</t>
  </si>
  <si>
    <t>8th</t>
  </si>
  <si>
    <t>9th</t>
  </si>
  <si>
    <t>Top</t>
  </si>
  <si>
    <t>All individuals</t>
  </si>
  <si>
    <t>Pensionable age</t>
  </si>
  <si>
    <t>Disabled</t>
  </si>
  <si>
    <t>Rural areas</t>
  </si>
  <si>
    <t>No internet access</t>
  </si>
  <si>
    <t>na</t>
  </si>
  <si>
    <t>Unemployed</t>
  </si>
  <si>
    <t>Lone parents</t>
  </si>
  <si>
    <t>ALL</t>
  </si>
  <si>
    <t>2. Distributional weights</t>
  </si>
  <si>
    <t xml:space="preserve">In line with the Green book guidance published by HMT, we derive distributional weights as </t>
  </si>
  <si>
    <r>
      <rPr>
        <b/>
        <sz val="10"/>
        <color rgb="FF7030A0"/>
        <rFont val="Arial"/>
        <family val="2"/>
      </rPr>
      <t>Table 2</t>
    </r>
    <r>
      <rPr>
        <sz val="10"/>
        <color rgb="FF7030A0"/>
        <rFont val="Arial"/>
        <family val="2"/>
      </rPr>
      <t>: Distributional weights</t>
    </r>
  </si>
  <si>
    <t>Levelised (NERA)</t>
  </si>
  <si>
    <t>'Strengthening Financial Resilience' impact assessment model - public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</si>
</sst>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_);_(* \(#,##0\);_(* &quot;-&quot;_);_(@_)"/>
    <numFmt numFmtId="165" formatCode="_(&quot;$&quot;* #,##0.00_);_(&quot;$&quot;* \(#,##0.00\);_(&quot;$&quot;* &quot;-&quot;??_);_(@_)"/>
    <numFmt numFmtId="166" formatCode="_(* #,##0.00_);_(* \(#,##0.00\);_(* &quot;-&quot;??_);_(@_)"/>
    <numFmt numFmtId="167" formatCode="&quot;£&quot;#,##0_);[Red]\(&quot;£&quot;#,##0\)"/>
    <numFmt numFmtId="168" formatCode="_(&quot;£&quot;* #,##0.00_);_(&quot;£&quot;* \(#,##0.00\);_(&quot;£&quot;* &quot;-&quot;??_);_(@_)"/>
    <numFmt numFmtId="169" formatCode="#,##0.0"/>
    <numFmt numFmtId="170" formatCode="[$-F800]dddd\,\ mmmm\ dd\,\ yyyy"/>
    <numFmt numFmtId="171" formatCode="0.000000"/>
    <numFmt numFmtId="172" formatCode="[$$]#,##0.0_);\([$$]#,##0.0\);[$$]#,##0.0_);@_)"/>
    <numFmt numFmtId="173" formatCode="#,##0.00_%_);\(#,##0.00\)_%;#,##0.00_%_);@_%_)"/>
    <numFmt numFmtId="174" formatCode="#,##0_);[Red]\(#,##0\);\-_)"/>
    <numFmt numFmtId="175" formatCode="[$$-C09]#,##0.0"/>
    <numFmt numFmtId="176" formatCode="_-[$€-2]* #,##0.00_-;\-[$€-2]* #,##0.00_-;_-[$€-2]* &quot;-&quot;??_-"/>
    <numFmt numFmtId="177" formatCode="&quot; &quot;#,##0.00&quot; &quot;;&quot;-&quot;#,##0.00&quot; &quot;;&quot; -&quot;00&quot; &quot;;&quot; &quot;@&quot; &quot;"/>
    <numFmt numFmtId="178" formatCode="_(* #,##0.00_);_(* \(\ #,##0.00\ \);_(* &quot;-&quot;??_);_(\ @_ \)"/>
    <numFmt numFmtId="179" formatCode="0.0"/>
    <numFmt numFmtId="180" formatCode="0.0%"/>
    <numFmt numFmtId="181" formatCode="dd/mm/yy;@"/>
    <numFmt numFmtId="182" formatCode="_(* #,##0_);_(* \(#,##0\);_(* &quot;-&quot;??_);_(@_)"/>
    <numFmt numFmtId="183" formatCode="0%;\(0\)%;\-"/>
    <numFmt numFmtId="184" formatCode="#,##0;\(#,##0\);\-"/>
    <numFmt numFmtId="185" formatCode="0%;\(0%\);\-"/>
    <numFmt numFmtId="186" formatCode="&quot;£&quot;#,##0.00_);[Red]\(&quot;£&quot;#,##0.00\)"/>
    <numFmt numFmtId="187" formatCode="0.0000"/>
    <numFmt numFmtId="188" formatCode="0%;\(0\)%"/>
    <numFmt numFmtId="189" formatCode="0;\(0\);\-"/>
  </numFmts>
  <fonts count="14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0"/>
      <color theme="10"/>
      <name val="Verdana"/>
      <family val="2"/>
    </font>
    <font>
      <sz val="10"/>
      <color theme="1"/>
      <name val="Verdana"/>
      <family val="2"/>
    </font>
    <font>
      <sz val="10"/>
      <name val="Arial"/>
      <family val="2"/>
    </font>
    <font>
      <u/>
      <sz val="10"/>
      <color theme="10"/>
      <name val="Arial"/>
      <family val="2"/>
    </font>
    <font>
      <sz val="11"/>
      <name val="Calibri"/>
      <family val="2"/>
    </font>
    <font>
      <b/>
      <sz val="11"/>
      <color rgb="FFA32020"/>
      <name val="Arial"/>
      <family val="2"/>
    </font>
    <font>
      <b/>
      <sz val="11"/>
      <color indexed="8"/>
      <name val="Calibri"/>
      <family val="2"/>
    </font>
    <font>
      <b/>
      <sz val="18"/>
      <color theme="3"/>
      <name val="Calibri Light"/>
      <family val="2"/>
      <scheme val="major"/>
    </font>
    <font>
      <sz val="11"/>
      <color rgb="FF9C6500"/>
      <name val="Calibri"/>
      <family val="2"/>
      <scheme val="minor"/>
    </font>
    <font>
      <sz val="11"/>
      <color indexed="8"/>
      <name val="Calibri"/>
      <family val="2"/>
    </font>
    <font>
      <sz val="10"/>
      <color indexed="8"/>
      <name val="MS Sans Serif"/>
      <family val="2"/>
    </font>
    <font>
      <sz val="11"/>
      <color indexed="9"/>
      <name val="Calibri"/>
      <family val="2"/>
    </font>
    <font>
      <sz val="11"/>
      <color indexed="10"/>
      <name val="Calibri"/>
      <family val="2"/>
    </font>
    <font>
      <sz val="11"/>
      <color indexed="17"/>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u/>
      <sz val="11"/>
      <color theme="10"/>
      <name val="Calibri"/>
      <family val="2"/>
    </font>
    <font>
      <u/>
      <sz val="9.35"/>
      <color theme="10"/>
      <name val="Calibri"/>
      <family val="2"/>
    </font>
    <font>
      <sz val="10"/>
      <color indexed="8"/>
      <name val="MS Sans Serif"/>
    </font>
    <font>
      <b/>
      <sz val="10"/>
      <color theme="1"/>
      <name val="Verdana"/>
      <family val="2"/>
    </font>
    <font>
      <sz val="10"/>
      <color indexed="8"/>
      <name val="Verdana"/>
      <family val="2"/>
    </font>
    <font>
      <sz val="10"/>
      <color theme="1"/>
      <name val="Calibri"/>
      <family val="2"/>
    </font>
    <font>
      <sz val="10"/>
      <color theme="1"/>
      <name val="Arial"/>
      <family val="2"/>
      <charset val="128"/>
    </font>
    <font>
      <sz val="11"/>
      <color theme="1"/>
      <name val="Arial"/>
      <family val="2"/>
    </font>
    <font>
      <sz val="10"/>
      <color theme="1"/>
      <name val="Arial"/>
      <family val="2"/>
    </font>
    <font>
      <sz val="11"/>
      <color theme="1"/>
      <name val="Calibri"/>
      <family val="3"/>
      <charset val="128"/>
      <scheme val="minor"/>
    </font>
    <font>
      <sz val="11"/>
      <color rgb="FF000000"/>
      <name val="Calibri"/>
      <family val="2"/>
    </font>
    <font>
      <sz val="11"/>
      <color theme="1"/>
      <name val="Century Gothic"/>
      <family val="2"/>
    </font>
    <font>
      <sz val="11"/>
      <color theme="1"/>
      <name val="Courier New"/>
      <family val="3"/>
    </font>
    <font>
      <sz val="10"/>
      <name val="MS Sans Serif"/>
      <family val="2"/>
    </font>
    <font>
      <sz val="10"/>
      <color theme="1"/>
      <name val="Meiryo UI"/>
      <family val="2"/>
      <charset val="128"/>
    </font>
    <font>
      <sz val="9"/>
      <name val="ＭＳ Ｐゴシック"/>
      <family val="3"/>
      <charset val="128"/>
    </font>
    <font>
      <sz val="11"/>
      <color theme="1"/>
      <name val="Calibri"/>
      <family val="2"/>
      <charset val="128"/>
      <scheme val="minor"/>
    </font>
    <font>
      <sz val="11"/>
      <color theme="1"/>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Tahoma"/>
      <family val="2"/>
    </font>
    <font>
      <sz val="10"/>
      <color theme="1"/>
      <name val="Calibri"/>
      <family val="2"/>
      <scheme val="minor"/>
    </font>
    <font>
      <b/>
      <sz val="10"/>
      <color theme="1"/>
      <name val="Calibri"/>
      <family val="2"/>
      <scheme val="minor"/>
    </font>
    <font>
      <b/>
      <sz val="16"/>
      <color theme="1"/>
      <name val="Calibri"/>
      <family val="2"/>
      <scheme val="minor"/>
    </font>
    <font>
      <sz val="11"/>
      <name val="Calibri"/>
      <family val="2"/>
      <scheme val="minor"/>
    </font>
    <font>
      <b/>
      <sz val="10"/>
      <color theme="1"/>
      <name val="Arial"/>
      <family val="2"/>
    </font>
    <font>
      <b/>
      <sz val="10"/>
      <color theme="0"/>
      <name val="Arial"/>
      <family val="2"/>
    </font>
    <font>
      <sz val="8"/>
      <name val="Calibri"/>
      <family val="2"/>
      <scheme val="minor"/>
    </font>
    <font>
      <sz val="10"/>
      <color rgb="FF000000"/>
      <name val="Arial"/>
      <family val="2"/>
    </font>
    <font>
      <b/>
      <sz val="10"/>
      <color rgb="FF000000"/>
      <name val="Arial"/>
      <family val="2"/>
    </font>
    <font>
      <sz val="10"/>
      <color theme="0"/>
      <name val="Arial"/>
      <family val="2"/>
    </font>
    <font>
      <i/>
      <sz val="10"/>
      <color theme="1"/>
      <name val="Arial"/>
      <family val="2"/>
    </font>
    <font>
      <b/>
      <sz val="10"/>
      <name val="Arial"/>
      <family val="2"/>
    </font>
    <font>
      <b/>
      <i/>
      <sz val="10"/>
      <color theme="1"/>
      <name val="Arial"/>
      <family val="2"/>
    </font>
    <font>
      <sz val="10"/>
      <color theme="1"/>
      <name val="Arial"/>
      <family val="2"/>
    </font>
    <font>
      <b/>
      <sz val="11"/>
      <color theme="0"/>
      <name val="Arial"/>
      <family val="2"/>
    </font>
    <font>
      <b/>
      <sz val="11"/>
      <color theme="1"/>
      <name val="Arial"/>
      <family val="2"/>
    </font>
    <font>
      <b/>
      <sz val="14"/>
      <color theme="3"/>
      <name val="Calibri"/>
      <family val="2"/>
      <scheme val="minor"/>
    </font>
    <font>
      <b/>
      <sz val="14"/>
      <color theme="3"/>
      <name val="Arial"/>
      <family val="2"/>
    </font>
    <font>
      <sz val="10"/>
      <color rgb="FFFF0000"/>
      <name val="Arial"/>
      <family val="2"/>
    </font>
    <font>
      <sz val="11"/>
      <color theme="3"/>
      <name val="Calibri"/>
      <family val="2"/>
      <scheme val="minor"/>
    </font>
    <font>
      <sz val="10"/>
      <color theme="3"/>
      <name val="Arial"/>
      <family val="2"/>
    </font>
    <font>
      <b/>
      <sz val="10"/>
      <color rgb="FFFF0000"/>
      <name val="Arial"/>
      <family val="2"/>
    </font>
    <font>
      <sz val="11"/>
      <color theme="2"/>
      <name val="Calibri"/>
      <family val="2"/>
      <scheme val="minor"/>
    </font>
    <font>
      <sz val="10"/>
      <color rgb="FF00B050"/>
      <name val="Arial"/>
      <family val="2"/>
    </font>
    <font>
      <sz val="10"/>
      <color theme="4"/>
      <name val="Arial"/>
      <family val="2"/>
    </font>
    <font>
      <sz val="10"/>
      <color rgb="FFC00000"/>
      <name val="Arial"/>
      <family val="2"/>
    </font>
    <font>
      <i/>
      <sz val="10"/>
      <color rgb="FF000000"/>
      <name val="Arial"/>
      <family val="2"/>
    </font>
    <font>
      <b/>
      <sz val="10"/>
      <color theme="3"/>
      <name val="Arial"/>
      <family val="2"/>
    </font>
    <font>
      <i/>
      <sz val="10"/>
      <name val="Arial"/>
      <family val="2"/>
    </font>
    <font>
      <sz val="10"/>
      <color theme="3" tint="0.249977111117893"/>
      <name val="Arial"/>
      <family val="2"/>
    </font>
    <font>
      <b/>
      <sz val="10"/>
      <color rgb="FFC00000"/>
      <name val="Arial"/>
      <family val="2"/>
    </font>
    <font>
      <b/>
      <sz val="10"/>
      <color theme="2"/>
      <name val="Arial"/>
      <family val="2"/>
    </font>
    <font>
      <sz val="8"/>
      <color theme="1"/>
      <name val="Arial"/>
      <family val="2"/>
    </font>
    <font>
      <sz val="10"/>
      <color theme="1"/>
      <name val="Arial"/>
      <family val="2"/>
    </font>
    <font>
      <sz val="9"/>
      <color theme="1"/>
      <name val="Calibri"/>
      <family val="2"/>
      <scheme val="minor"/>
    </font>
    <font>
      <i/>
      <sz val="11"/>
      <name val="Calibri"/>
      <family val="2"/>
      <scheme val="minor"/>
    </font>
    <font>
      <b/>
      <sz val="11"/>
      <color theme="1"/>
      <name val="Calibri"/>
      <family val="2"/>
    </font>
    <font>
      <sz val="11"/>
      <color theme="1"/>
      <name val="Calibri"/>
      <family val="2"/>
    </font>
    <font>
      <sz val="11"/>
      <color rgb="FFC00000"/>
      <name val="Calibri"/>
      <family val="2"/>
    </font>
    <font>
      <sz val="11"/>
      <color theme="4"/>
      <name val="Calibri"/>
      <family val="2"/>
    </font>
    <font>
      <i/>
      <sz val="11"/>
      <color theme="1"/>
      <name val="Calibri"/>
      <family val="2"/>
    </font>
    <font>
      <sz val="10"/>
      <color rgb="FF0070C0"/>
      <name val="Calibri"/>
      <family val="2"/>
      <scheme val="minor"/>
    </font>
    <font>
      <i/>
      <sz val="11"/>
      <color theme="1"/>
      <name val="Calibri"/>
      <family val="2"/>
      <scheme val="minor"/>
    </font>
    <font>
      <sz val="10"/>
      <color rgb="FFFF0000"/>
      <name val="Calibri"/>
      <family val="2"/>
      <scheme val="minor"/>
    </font>
    <font>
      <b/>
      <sz val="10"/>
      <color rgb="FFFF0000"/>
      <name val="Calibri"/>
      <family val="2"/>
      <scheme val="minor"/>
    </font>
    <font>
      <sz val="14"/>
      <color rgb="FF1D2B39"/>
      <name val="Arial"/>
      <family val="2"/>
    </font>
    <font>
      <i/>
      <sz val="10"/>
      <color rgb="FFC00000"/>
      <name val="Arial"/>
      <family val="2"/>
    </font>
    <font>
      <sz val="11"/>
      <color theme="3" tint="0.249977111117893"/>
      <name val="Calibri"/>
      <family val="2"/>
      <scheme val="minor"/>
    </font>
    <font>
      <i/>
      <sz val="8"/>
      <color theme="1"/>
      <name val="Calibri"/>
      <family val="2"/>
      <scheme val="minor"/>
    </font>
    <font>
      <b/>
      <sz val="11"/>
      <name val="Calibri"/>
      <family val="2"/>
      <scheme val="minor"/>
    </font>
    <font>
      <b/>
      <sz val="10"/>
      <color theme="0"/>
      <name val="Verdana"/>
      <family val="2"/>
    </font>
    <font>
      <sz val="10"/>
      <color theme="0"/>
      <name val="Verdana"/>
      <family val="2"/>
    </font>
    <font>
      <sz val="8"/>
      <name val="Arial"/>
      <family val="2"/>
    </font>
    <font>
      <b/>
      <i/>
      <sz val="11"/>
      <color theme="0"/>
      <name val="Calibri"/>
      <family val="2"/>
      <scheme val="minor"/>
    </font>
    <font>
      <sz val="10"/>
      <color theme="2"/>
      <name val="Arial"/>
      <family val="2"/>
    </font>
    <font>
      <b/>
      <sz val="11"/>
      <name val="Arial"/>
      <family val="2"/>
    </font>
    <font>
      <b/>
      <sz val="10"/>
      <color theme="0"/>
      <name val="Calibri"/>
      <family val="2"/>
      <scheme val="minor"/>
    </font>
    <font>
      <b/>
      <sz val="10"/>
      <name val="Calibri"/>
      <family val="2"/>
      <scheme val="minor"/>
    </font>
    <font>
      <vertAlign val="superscript"/>
      <sz val="10"/>
      <color theme="1"/>
      <name val="Arial"/>
      <family val="2"/>
    </font>
    <font>
      <sz val="10"/>
      <color rgb="FF7030A0"/>
      <name val="Arial"/>
      <family val="2"/>
    </font>
    <font>
      <b/>
      <sz val="10"/>
      <color rgb="FF7030A0"/>
      <name val="Arial"/>
      <family val="2"/>
    </font>
    <font>
      <b/>
      <sz val="16"/>
      <color theme="3"/>
      <name val="Arial"/>
      <family val="2"/>
    </font>
    <font>
      <sz val="11"/>
      <color rgb="FFC00000"/>
      <name val="Calibri"/>
      <family val="2"/>
      <scheme val="minor"/>
    </font>
    <font>
      <b/>
      <sz val="14"/>
      <color theme="1"/>
      <name val="Verdana"/>
      <family val="2"/>
    </font>
    <font>
      <b/>
      <sz val="11"/>
      <color theme="0"/>
      <name val="Calibri"/>
      <family val="2"/>
    </font>
    <font>
      <b/>
      <sz val="11"/>
      <color theme="2"/>
      <name val="Calibri"/>
      <family val="2"/>
      <scheme val="minor"/>
    </font>
    <font>
      <b/>
      <i/>
      <sz val="11"/>
      <color theme="2"/>
      <name val="Calibri"/>
      <family val="2"/>
      <scheme val="minor"/>
    </font>
    <font>
      <b/>
      <sz val="11"/>
      <color theme="2"/>
      <name val="Calibri"/>
      <family val="2"/>
    </font>
  </fonts>
  <fills count="8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6" tint="0.39997558519241921"/>
        <bgColor indexed="64"/>
      </patternFill>
    </fill>
    <fill>
      <patternFill patternType="solid">
        <fgColor theme="0"/>
        <bgColor indexed="64"/>
      </patternFill>
    </fill>
    <fill>
      <patternFill patternType="solid">
        <fgColor theme="3"/>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rgb="FFFF0000"/>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5" tint="-0.249977111117893"/>
        <bgColor indexed="64"/>
      </patternFill>
    </fill>
    <fill>
      <patternFill patternType="solid">
        <fgColor rgb="FFEFF3F9"/>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4.9989318521683403E-2"/>
        <bgColor indexed="64"/>
      </patternFill>
    </fill>
    <fill>
      <patternFill patternType="solid">
        <fgColor rgb="FF7030A0"/>
        <bgColor indexed="64"/>
      </patternFill>
    </fill>
    <fill>
      <patternFill patternType="solid">
        <fgColor rgb="FFA9D18E"/>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double">
        <color theme="1" tint="0.34998626667073579"/>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dotted">
        <color auto="1"/>
      </top>
      <bottom/>
      <diagonal/>
    </border>
    <border>
      <left/>
      <right/>
      <top style="dotted">
        <color indexed="64"/>
      </top>
      <bottom style="thin">
        <color indexed="64"/>
      </bottom>
      <diagonal/>
    </border>
    <border>
      <left/>
      <right/>
      <top style="thin">
        <color auto="1"/>
      </top>
      <bottom style="thin">
        <color auto="1"/>
      </bottom>
      <diagonal/>
    </border>
    <border>
      <left/>
      <right/>
      <top style="dotted">
        <color auto="1"/>
      </top>
      <bottom style="dotted">
        <color auto="1"/>
      </bottom>
      <diagonal/>
    </border>
    <border>
      <left/>
      <right/>
      <top/>
      <bottom style="dotted">
        <color auto="1"/>
      </bottom>
      <diagonal/>
    </border>
    <border>
      <left style="thin">
        <color indexed="64"/>
      </left>
      <right style="thin">
        <color indexed="64"/>
      </right>
      <top style="thin">
        <color indexed="64"/>
      </top>
      <bottom/>
      <diagonal/>
    </border>
    <border>
      <left/>
      <right/>
      <top style="dashed">
        <color indexed="64"/>
      </top>
      <bottom style="thin">
        <color indexed="64"/>
      </bottom>
      <diagonal/>
    </border>
    <border>
      <left/>
      <right/>
      <top style="dashed">
        <color auto="1"/>
      </top>
      <bottom/>
      <diagonal/>
    </border>
    <border>
      <left/>
      <right/>
      <top/>
      <bottom style="dashed">
        <color auto="1"/>
      </bottom>
      <diagonal/>
    </border>
    <border>
      <left/>
      <right style="medium">
        <color indexed="64"/>
      </right>
      <top/>
      <bottom style="medium">
        <color auto="1"/>
      </bottom>
      <diagonal/>
    </border>
    <border>
      <left/>
      <right/>
      <top/>
      <bottom style="medium">
        <color indexed="64"/>
      </bottom>
      <diagonal/>
    </border>
    <border>
      <left/>
      <right style="medium">
        <color indexed="64"/>
      </right>
      <top style="thin">
        <color indexed="64"/>
      </top>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thin">
        <color indexed="64"/>
      </right>
      <top style="thin">
        <color indexed="64"/>
      </top>
      <bottom/>
      <diagonal/>
    </border>
    <border>
      <left/>
      <right/>
      <top style="thin">
        <color auto="1"/>
      </top>
      <bottom/>
      <diagonal/>
    </border>
  </borders>
  <cellStyleXfs count="2262">
    <xf numFmtId="0" fontId="0" fillId="0" borderId="0"/>
    <xf numFmtId="166"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xf numFmtId="0" fontId="19"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170" fontId="24" fillId="0" borderId="0" applyNumberFormat="0" applyFill="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26" fillId="0" borderId="0" applyNumberFormat="0" applyFill="0" applyBorder="0" applyAlignment="0" applyProtection="0"/>
    <xf numFmtId="0" fontId="27"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4" fillId="51" borderId="16" applyNumberFormat="0" applyAlignment="0" applyProtection="0"/>
    <xf numFmtId="0" fontId="34" fillId="51" borderId="16" applyNumberFormat="0" applyAlignment="0" applyProtection="0"/>
    <xf numFmtId="0" fontId="35" fillId="52" borderId="17" applyNumberFormat="0" applyAlignment="0" applyProtection="0"/>
    <xf numFmtId="0" fontId="35" fillId="52" borderId="17" applyNumberFormat="0" applyAlignment="0" applyProtection="0"/>
    <xf numFmtId="166" fontId="28" fillId="0" borderId="0" applyFont="0" applyFill="0" applyBorder="0" applyAlignment="0" applyProtection="0"/>
    <xf numFmtId="166" fontId="2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8"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7" fillId="0" borderId="18" applyNumberFormat="0" applyFill="0" applyAlignment="0" applyProtection="0"/>
    <xf numFmtId="0" fontId="37" fillId="0" borderId="18"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20" applyNumberFormat="0" applyFill="0" applyAlignment="0" applyProtection="0"/>
    <xf numFmtId="0" fontId="39" fillId="0" borderId="20"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0" borderId="0" applyNumberFormat="0" applyFill="0" applyBorder="0" applyAlignment="0" applyProtection="0"/>
    <xf numFmtId="0" fontId="22"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0" fillId="38" borderId="16" applyNumberFormat="0" applyAlignment="0" applyProtection="0"/>
    <xf numFmtId="0" fontId="40" fillId="38" borderId="16" applyNumberFormat="0" applyAlignment="0" applyProtection="0"/>
    <xf numFmtId="0" fontId="41" fillId="0" borderId="21" applyNumberFormat="0" applyFill="0" applyAlignment="0" applyProtection="0"/>
    <xf numFmtId="0" fontId="41" fillId="0" borderId="21" applyNumberFormat="0" applyFill="0" applyAlignment="0" applyProtection="0"/>
    <xf numFmtId="0" fontId="42" fillId="53" borderId="0" applyNumberFormat="0" applyBorder="0" applyAlignment="0" applyProtection="0"/>
    <xf numFmtId="0" fontId="42" fillId="53" borderId="0" applyNumberFormat="0" applyBorder="0" applyAlignment="0" applyProtection="0"/>
    <xf numFmtId="0" fontId="21" fillId="0" borderId="0"/>
    <xf numFmtId="0" fontId="1" fillId="0" borderId="0"/>
    <xf numFmtId="0" fontId="28" fillId="0" borderId="0"/>
    <xf numFmtId="0" fontId="28"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1" fillId="0" borderId="0"/>
    <xf numFmtId="0" fontId="1" fillId="0" borderId="0"/>
    <xf numFmtId="0" fontId="21" fillId="0" borderId="0"/>
    <xf numFmtId="0" fontId="21" fillId="0" borderId="0"/>
    <xf numFmtId="0" fontId="29" fillId="0" borderId="0"/>
    <xf numFmtId="0" fontId="2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1" fillId="0" borderId="0"/>
    <xf numFmtId="0" fontId="29" fillId="0" borderId="0"/>
    <xf numFmtId="0" fontId="29" fillId="0" borderId="0"/>
    <xf numFmtId="0" fontId="29" fillId="0" borderId="0"/>
    <xf numFmtId="0" fontId="29" fillId="0" borderId="0"/>
    <xf numFmtId="0" fontId="21" fillId="0" borderId="0"/>
    <xf numFmtId="0" fontId="21" fillId="0" borderId="0"/>
    <xf numFmtId="0" fontId="21" fillId="0" borderId="0"/>
    <xf numFmtId="0" fontId="2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1" fillId="0" borderId="0"/>
    <xf numFmtId="0" fontId="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54" borderId="22"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1" fillId="54" borderId="22"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43" fillId="51" borderId="23" applyNumberFormat="0" applyAlignment="0" applyProtection="0"/>
    <xf numFmtId="0" fontId="43" fillId="51" borderId="23" applyNumberFormat="0" applyAlignment="0" applyProtection="0"/>
    <xf numFmtId="9" fontId="2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4" fillId="0" borderId="0" applyNumberFormat="0" applyFill="0" applyBorder="0" applyAlignment="0" applyProtection="0"/>
    <xf numFmtId="0" fontId="44" fillId="0" borderId="0" applyNumberFormat="0" applyFill="0" applyBorder="0" applyAlignment="0" applyProtection="0"/>
    <xf numFmtId="0" fontId="25" fillId="0" borderId="24" applyNumberFormat="0" applyFill="0" applyAlignment="0" applyProtection="0"/>
    <xf numFmtId="0" fontId="25" fillId="0" borderId="2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47" fillId="0" borderId="0"/>
    <xf numFmtId="0" fontId="2" fillId="0" borderId="0" applyNumberFormat="0" applyFill="0" applyBorder="0" applyAlignment="0" applyProtection="0"/>
    <xf numFmtId="0" fontId="8"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4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0"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8" fillId="0" borderId="0" applyFont="0" applyFill="0" applyBorder="0" applyAlignment="0" applyProtection="0"/>
    <xf numFmtId="166" fontId="2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20" fillId="0" borderId="0"/>
    <xf numFmtId="166" fontId="20"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8" fillId="0" borderId="0" applyFont="0" applyFill="0" applyBorder="0" applyAlignment="0" applyProtection="0"/>
    <xf numFmtId="166" fontId="2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3" fillId="0" borderId="0" applyFont="0" applyFill="0" applyBorder="0" applyAlignment="0" applyProtection="0"/>
    <xf numFmtId="166" fontId="28" fillId="0" borderId="0" applyFont="0" applyFill="0" applyBorder="0" applyAlignment="0" applyProtection="0"/>
    <xf numFmtId="166" fontId="2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8"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49" fillId="0" borderId="0" applyNumberFormat="0" applyFill="0" applyBorder="0" applyProtection="0"/>
    <xf numFmtId="168"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166"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6" fontId="20" fillId="0" borderId="0" applyFont="0" applyFill="0" applyBorder="0" applyAlignment="0" applyProtection="0"/>
    <xf numFmtId="0" fontId="1" fillId="0" borderId="0"/>
    <xf numFmtId="0" fontId="1" fillId="0" borderId="0"/>
    <xf numFmtId="0" fontId="1" fillId="0" borderId="0"/>
    <xf numFmtId="166" fontId="20" fillId="0" borderId="0" applyFont="0" applyFill="0" applyBorder="0" applyAlignment="0" applyProtection="0"/>
    <xf numFmtId="0" fontId="1" fillId="0" borderId="0"/>
    <xf numFmtId="0" fontId="1" fillId="0" borderId="0"/>
    <xf numFmtId="0" fontId="1" fillId="0" borderId="0"/>
    <xf numFmtId="166" fontId="20" fillId="0" borderId="0" applyFont="0" applyFill="0" applyBorder="0" applyAlignment="0" applyProtection="0"/>
    <xf numFmtId="0" fontId="1" fillId="0" borderId="0"/>
    <xf numFmtId="0" fontId="1" fillId="0" borderId="0"/>
    <xf numFmtId="166" fontId="20" fillId="0" borderId="0" applyFont="0" applyFill="0" applyBorder="0" applyAlignment="0" applyProtection="0"/>
    <xf numFmtId="0" fontId="1" fillId="0" borderId="0"/>
    <xf numFmtId="166" fontId="20" fillId="0" borderId="0" applyFont="0" applyFill="0" applyBorder="0" applyAlignment="0" applyProtection="0"/>
    <xf numFmtId="0" fontId="1" fillId="0" borderId="0"/>
    <xf numFmtId="164" fontId="1" fillId="0" borderId="0" applyFont="0" applyFill="0" applyBorder="0" applyAlignment="0" applyProtection="0"/>
    <xf numFmtId="9" fontId="51" fillId="0" borderId="0" applyFont="0" applyFill="0" applyBorder="0" applyAlignment="0" applyProtection="0">
      <alignment vertical="center"/>
    </xf>
    <xf numFmtId="172" fontId="21" fillId="0" borderId="0"/>
    <xf numFmtId="166" fontId="1" fillId="0" borderId="0" applyFont="0" applyFill="0" applyBorder="0" applyAlignment="0" applyProtection="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3" fontId="54" fillId="0" borderId="0" applyFont="0" applyFill="0" applyBorder="0" applyAlignment="0" applyProtection="0">
      <alignment horizontal="right"/>
    </xf>
    <xf numFmtId="172" fontId="21" fillId="0" borderId="0"/>
    <xf numFmtId="172" fontId="54"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53" fillId="0" borderId="0" applyFont="0" applyFill="0" applyBorder="0" applyAlignment="0" applyProtection="0"/>
    <xf numFmtId="174" fontId="1" fillId="0" borderId="0" applyFill="0" applyBorder="0" applyProtection="0"/>
    <xf numFmtId="166" fontId="1" fillId="0" borderId="0" applyFont="0" applyFill="0" applyBorder="0" applyAlignment="0" applyProtection="0"/>
    <xf numFmtId="166" fontId="56" fillId="0" borderId="0" applyFont="0" applyFill="0" applyBorder="0" applyAlignment="0" applyProtection="0"/>
    <xf numFmtId="0" fontId="57" fillId="0" borderId="0"/>
    <xf numFmtId="166" fontId="1" fillId="0" borderId="0" applyFont="0" applyFill="0" applyBorder="0" applyAlignment="0" applyProtection="0"/>
    <xf numFmtId="0" fontId="1" fillId="0" borderId="0"/>
    <xf numFmtId="9" fontId="51" fillId="0" borderId="0" applyFont="0" applyFill="0" applyBorder="0" applyAlignment="0" applyProtection="0">
      <alignment vertical="center"/>
    </xf>
    <xf numFmtId="0" fontId="50" fillId="0" borderId="0"/>
    <xf numFmtId="166" fontId="1" fillId="0" borderId="0" applyFont="0" applyFill="0" applyBorder="0" applyAlignment="0" applyProtection="0"/>
    <xf numFmtId="0" fontId="58" fillId="0" borderId="0"/>
    <xf numFmtId="166" fontId="56"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21" fillId="0" borderId="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0" fontId="21" fillId="0" borderId="0" applyFill="0" applyBorder="0">
      <alignment vertical="center"/>
    </xf>
    <xf numFmtId="0" fontId="21" fillId="0" borderId="0" applyFill="0" applyBorder="0">
      <alignment vertical="center"/>
    </xf>
    <xf numFmtId="0" fontId="59" fillId="0" borderId="0">
      <alignment vertical="center"/>
    </xf>
    <xf numFmtId="0" fontId="60" fillId="0" borderId="0"/>
    <xf numFmtId="0" fontId="61" fillId="0" borderId="0">
      <alignment vertical="center"/>
    </xf>
    <xf numFmtId="166" fontId="61" fillId="0" borderId="0" applyFont="0" applyFill="0" applyBorder="0" applyAlignment="0" applyProtection="0"/>
    <xf numFmtId="9" fontId="61" fillId="0" borderId="0" applyFont="0" applyFill="0" applyBorder="0" applyAlignment="0" applyProtection="0"/>
    <xf numFmtId="0" fontId="1" fillId="8" borderId="8" applyNumberFormat="0" applyFont="0" applyAlignment="0" applyProtection="0"/>
    <xf numFmtId="166" fontId="1" fillId="0" borderId="0" applyFont="0" applyFill="0" applyBorder="0" applyAlignment="0" applyProtection="0"/>
    <xf numFmtId="0" fontId="53" fillId="0" borderId="0"/>
    <xf numFmtId="0" fontId="1" fillId="0" borderId="0"/>
    <xf numFmtId="166" fontId="56" fillId="0" borderId="0" applyFont="0" applyFill="0" applyBorder="0" applyAlignment="0" applyProtection="0"/>
    <xf numFmtId="166" fontId="53" fillId="0" borderId="0" applyFont="0" applyFill="0" applyBorder="0" applyAlignment="0" applyProtection="0"/>
    <xf numFmtId="0" fontId="52" fillId="0" borderId="0"/>
    <xf numFmtId="0" fontId="1" fillId="0" borderId="0"/>
    <xf numFmtId="0" fontId="1" fillId="0" borderId="0"/>
    <xf numFmtId="0" fontId="1" fillId="0" borderId="0"/>
    <xf numFmtId="9" fontId="53" fillId="0" borderId="0" applyFont="0" applyFill="0" applyBorder="0" applyAlignment="0" applyProtection="0"/>
    <xf numFmtId="166" fontId="53" fillId="0" borderId="0" applyFont="0" applyFill="0" applyBorder="0" applyAlignment="0" applyProtection="0"/>
    <xf numFmtId="0" fontId="51" fillId="0" borderId="0">
      <alignment vertical="center"/>
    </xf>
    <xf numFmtId="166" fontId="53" fillId="0" borderId="0" applyFont="0" applyFill="0" applyBorder="0" applyAlignment="0" applyProtection="0"/>
    <xf numFmtId="166" fontId="1" fillId="0" borderId="0" applyFont="0" applyFill="0" applyBorder="0" applyAlignment="0" applyProtection="0"/>
    <xf numFmtId="175" fontId="1" fillId="0" borderId="0"/>
    <xf numFmtId="175" fontId="1" fillId="0" borderId="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1" fillId="0" borderId="0">
      <alignment vertical="center"/>
    </xf>
    <xf numFmtId="0" fontId="61" fillId="0" borderId="0">
      <alignment vertical="center"/>
    </xf>
    <xf numFmtId="0" fontId="1" fillId="0" borderId="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0" borderId="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9" fontId="21" fillId="0" borderId="0" applyFont="0" applyFill="0" applyBorder="0" applyAlignment="0" applyProtection="0"/>
    <xf numFmtId="0" fontId="1" fillId="0" borderId="0"/>
    <xf numFmtId="0" fontId="21" fillId="0" borderId="0"/>
    <xf numFmtId="166" fontId="53"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0" fontId="70" fillId="5" borderId="4" applyNumberFormat="0" applyAlignment="0" applyProtection="0"/>
    <xf numFmtId="0" fontId="73" fillId="0" borderId="6" applyNumberFormat="0" applyFill="0" applyAlignment="0" applyProtection="0"/>
    <xf numFmtId="0" fontId="68" fillId="3" borderId="0" applyNumberFormat="0" applyBorder="0" applyAlignment="0" applyProtection="0"/>
    <xf numFmtId="0" fontId="76" fillId="0" borderId="0" applyNumberFormat="0" applyFill="0" applyBorder="0" applyAlignment="0" applyProtection="0"/>
    <xf numFmtId="0" fontId="65" fillId="0" borderId="2" applyNumberFormat="0" applyFill="0" applyAlignment="0" applyProtection="0"/>
    <xf numFmtId="0" fontId="69" fillId="4" borderId="0" applyNumberFormat="0" applyBorder="0" applyAlignment="0" applyProtection="0"/>
    <xf numFmtId="0" fontId="62" fillId="8" borderId="8" applyNumberFormat="0" applyFont="0" applyAlignment="0" applyProtection="0"/>
    <xf numFmtId="0" fontId="63" fillId="0" borderId="0" applyNumberFormat="0" applyFill="0" applyBorder="0" applyAlignment="0" applyProtection="0"/>
    <xf numFmtId="0" fontId="74" fillId="7" borderId="7" applyNumberFormat="0" applyAlignment="0" applyProtection="0"/>
    <xf numFmtId="0" fontId="67" fillId="2" borderId="0" applyNumberFormat="0" applyBorder="0" applyAlignment="0" applyProtection="0"/>
    <xf numFmtId="0" fontId="72" fillId="6" borderId="4" applyNumberFormat="0" applyAlignment="0" applyProtection="0"/>
    <xf numFmtId="0" fontId="75" fillId="0" borderId="0" applyNumberFormat="0" applyFill="0" applyBorder="0" applyAlignment="0" applyProtection="0"/>
    <xf numFmtId="0" fontId="77" fillId="0" borderId="9" applyNumberFormat="0" applyFill="0" applyAlignment="0" applyProtection="0"/>
    <xf numFmtId="0" fontId="66" fillId="0" borderId="3" applyNumberFormat="0" applyFill="0" applyAlignment="0" applyProtection="0"/>
    <xf numFmtId="0" fontId="66" fillId="0" borderId="0" applyNumberFormat="0" applyFill="0" applyBorder="0" applyAlignment="0" applyProtection="0"/>
    <xf numFmtId="0" fontId="71" fillId="6" borderId="5" applyNumberFormat="0" applyAlignment="0" applyProtection="0"/>
    <xf numFmtId="0" fontId="62" fillId="0" borderId="0"/>
    <xf numFmtId="0" fontId="64" fillId="0" borderId="1" applyNumberFormat="0" applyFill="0" applyAlignment="0" applyProtection="0"/>
    <xf numFmtId="0" fontId="62" fillId="31" borderId="0" applyNumberFormat="0" applyBorder="0" applyAlignment="0" applyProtection="0"/>
    <xf numFmtId="0" fontId="62" fillId="15" borderId="0" applyNumberFormat="0" applyBorder="0" applyAlignment="0" applyProtection="0"/>
    <xf numFmtId="0" fontId="78" fillId="28" borderId="0" applyNumberFormat="0" applyBorder="0" applyAlignment="0" applyProtection="0"/>
    <xf numFmtId="0" fontId="62" fillId="18" borderId="0" applyNumberFormat="0" applyBorder="0" applyAlignment="0" applyProtection="0"/>
    <xf numFmtId="0" fontId="78" fillId="13" borderId="0" applyNumberFormat="0" applyBorder="0" applyAlignment="0" applyProtection="0"/>
    <xf numFmtId="0" fontId="78" fillId="21" borderId="0" applyNumberFormat="0" applyBorder="0" applyAlignment="0" applyProtection="0"/>
    <xf numFmtId="0" fontId="62" fillId="10" borderId="0" applyNumberFormat="0" applyBorder="0" applyAlignment="0" applyProtection="0"/>
    <xf numFmtId="0" fontId="78" fillId="24" borderId="0" applyNumberFormat="0" applyBorder="0" applyAlignment="0" applyProtection="0"/>
    <xf numFmtId="0" fontId="78" fillId="20" borderId="0" applyNumberFormat="0" applyBorder="0" applyAlignment="0" applyProtection="0"/>
    <xf numFmtId="0" fontId="62" fillId="27" borderId="0" applyNumberFormat="0" applyBorder="0" applyAlignment="0" applyProtection="0"/>
    <xf numFmtId="0" fontId="78" fillId="17" borderId="0" applyNumberFormat="0" applyBorder="0" applyAlignment="0" applyProtection="0"/>
    <xf numFmtId="0" fontId="62" fillId="30" borderId="0" applyNumberFormat="0" applyBorder="0" applyAlignment="0" applyProtection="0"/>
    <xf numFmtId="0" fontId="62" fillId="26" borderId="0" applyNumberFormat="0" applyBorder="0" applyAlignment="0" applyProtection="0"/>
    <xf numFmtId="0" fontId="78" fillId="9" borderId="0" applyNumberFormat="0" applyBorder="0" applyAlignment="0" applyProtection="0"/>
    <xf numFmtId="0" fontId="62" fillId="23" borderId="0" applyNumberFormat="0" applyBorder="0" applyAlignment="0" applyProtection="0"/>
    <xf numFmtId="0" fontId="78" fillId="12" borderId="0" applyNumberFormat="0" applyBorder="0" applyAlignment="0" applyProtection="0"/>
    <xf numFmtId="0" fontId="78" fillId="32" borderId="0" applyNumberFormat="0" applyBorder="0" applyAlignment="0" applyProtection="0"/>
    <xf numFmtId="0" fontId="78" fillId="16" borderId="0" applyNumberFormat="0" applyBorder="0" applyAlignment="0" applyProtection="0"/>
    <xf numFmtId="0" fontId="78" fillId="29" borderId="0" applyNumberFormat="0" applyBorder="0" applyAlignment="0" applyProtection="0"/>
    <xf numFmtId="0" fontId="62" fillId="19" borderId="0" applyNumberFormat="0" applyBorder="0" applyAlignment="0" applyProtection="0"/>
    <xf numFmtId="0" fontId="62" fillId="14" borderId="0" applyNumberFormat="0" applyBorder="0" applyAlignment="0" applyProtection="0"/>
    <xf numFmtId="0" fontId="62" fillId="22" borderId="0" applyNumberFormat="0" applyBorder="0" applyAlignment="0" applyProtection="0"/>
    <xf numFmtId="0" fontId="62" fillId="11" borderId="0" applyNumberFormat="0" applyBorder="0" applyAlignment="0" applyProtection="0"/>
    <xf numFmtId="0" fontId="78"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5" fillId="0" borderId="0"/>
    <xf numFmtId="0" fontId="1" fillId="0" borderId="0"/>
    <xf numFmtId="0" fontId="55" fillId="0" borderId="0"/>
    <xf numFmtId="164"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6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0" borderId="0" applyFill="0" applyBorder="0">
      <alignment vertical="center"/>
    </xf>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77" fontId="55" fillId="0" borderId="0" applyFont="0" applyFill="0" applyBorder="0" applyAlignment="0" applyProtection="0"/>
    <xf numFmtId="0" fontId="1" fillId="0" borderId="0"/>
    <xf numFmtId="9" fontId="1" fillId="0" borderId="0" applyFont="0" applyFill="0" applyBorder="0" applyAlignment="0" applyProtection="0"/>
    <xf numFmtId="0" fontId="18" fillId="0" borderId="0" applyNumberFormat="0" applyFill="0" applyBorder="0" applyAlignment="0" applyProtection="0"/>
    <xf numFmtId="0" fontId="1" fillId="0" borderId="0"/>
    <xf numFmtId="0" fontId="21" fillId="0" borderId="0" applyFill="0" applyBorder="0">
      <alignment vertical="center"/>
    </xf>
    <xf numFmtId="9" fontId="55" fillId="0" borderId="0" applyFont="0" applyFill="0" applyBorder="0" applyAlignment="0" applyProtection="0"/>
    <xf numFmtId="166" fontId="20" fillId="0" borderId="0" applyFont="0" applyFill="0" applyBorder="0" applyAlignment="0" applyProtection="0"/>
    <xf numFmtId="0" fontId="1" fillId="0" borderId="0"/>
    <xf numFmtId="0" fontId="1" fillId="0" borderId="0"/>
    <xf numFmtId="166" fontId="20" fillId="0" borderId="0" applyFont="0" applyFill="0" applyBorder="0" applyAlignment="0" applyProtection="0"/>
    <xf numFmtId="166" fontId="20" fillId="0" borderId="0" applyFont="0" applyFill="0" applyBorder="0" applyAlignment="0" applyProtection="0"/>
    <xf numFmtId="0" fontId="1" fillId="0" borderId="0"/>
    <xf numFmtId="166" fontId="20" fillId="0" borderId="0" applyFont="0" applyFill="0" applyBorder="0" applyAlignment="0" applyProtection="0"/>
    <xf numFmtId="166" fontId="20" fillId="0" borderId="0" applyFont="0" applyFill="0" applyBorder="0" applyAlignment="0" applyProtection="0"/>
    <xf numFmtId="0" fontId="1" fillId="0" borderId="0"/>
    <xf numFmtId="0" fontId="1"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1" fillId="0" borderId="0"/>
    <xf numFmtId="166" fontId="20" fillId="0" borderId="0" applyFont="0" applyFill="0" applyBorder="0" applyAlignment="0" applyProtection="0"/>
    <xf numFmtId="0" fontId="79" fillId="0" borderId="0"/>
    <xf numFmtId="178" fontId="79" fillId="0" borderId="0" applyFont="0" applyFill="0" applyBorder="0" applyAlignment="0" applyProtection="0"/>
    <xf numFmtId="0" fontId="1" fillId="0" borderId="0"/>
    <xf numFmtId="9" fontId="79" fillId="0" borderId="0" applyFont="0" applyFill="0" applyBorder="0" applyAlignment="0" applyProtection="0"/>
    <xf numFmtId="0" fontId="79" fillId="0" borderId="0"/>
    <xf numFmtId="166" fontId="1" fillId="0" borderId="0" applyFont="0" applyFill="0" applyBorder="0" applyAlignment="0" applyProtection="0"/>
    <xf numFmtId="0" fontId="1"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1" fillId="0" borderId="0"/>
    <xf numFmtId="166" fontId="2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53" fillId="0" borderId="0" applyFont="0" applyFill="0" applyBorder="0" applyAlignment="0" applyProtection="0"/>
    <xf numFmtId="174" fontId="1" fillId="0" borderId="0" applyFill="0" applyBorder="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61" fillId="0" borderId="0" applyFont="0" applyFill="0" applyBorder="0" applyAlignment="0" applyProtection="0"/>
    <xf numFmtId="0" fontId="1" fillId="8" borderId="8" applyNumberFormat="0" applyFont="0" applyAlignment="0" applyProtection="0"/>
    <xf numFmtId="166" fontId="1" fillId="0" borderId="0" applyFont="0" applyFill="0" applyBorder="0" applyAlignment="0" applyProtection="0"/>
    <xf numFmtId="0" fontId="1" fillId="0" borderId="0"/>
    <xf numFmtId="166" fontId="56" fillId="0" borderId="0" applyFont="0" applyFill="0" applyBorder="0" applyAlignment="0" applyProtection="0"/>
    <xf numFmtId="166" fontId="53" fillId="0" borderId="0" applyFont="0" applyFill="0" applyBorder="0" applyAlignment="0" applyProtection="0"/>
    <xf numFmtId="166" fontId="20" fillId="0" borderId="0" applyFont="0" applyFill="0" applyBorder="0" applyAlignment="0" applyProtection="0"/>
    <xf numFmtId="0" fontId="1" fillId="0" borderId="0"/>
    <xf numFmtId="0" fontId="1" fillId="0" borderId="0"/>
    <xf numFmtId="0" fontId="1" fillId="0" borderId="0"/>
    <xf numFmtId="166" fontId="53"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75" fontId="1" fillId="0" borderId="0"/>
    <xf numFmtId="175" fontId="1" fillId="0" borderId="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0" fontId="1" fillId="0" borderId="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6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3" fillId="0" borderId="0" applyFont="0" applyFill="0" applyBorder="0" applyAlignment="0" applyProtection="0"/>
    <xf numFmtId="164" fontId="1" fillId="0" borderId="0" applyFont="0" applyFill="0" applyBorder="0" applyAlignment="0" applyProtection="0"/>
    <xf numFmtId="166" fontId="5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6" fontId="20" fillId="0" borderId="0" applyFont="0" applyFill="0" applyBorder="0" applyAlignment="0" applyProtection="0"/>
    <xf numFmtId="0" fontId="1" fillId="0" borderId="0"/>
    <xf numFmtId="9" fontId="1" fillId="0" borderId="0" applyFont="0" applyFill="0" applyBorder="0" applyAlignment="0" applyProtection="0"/>
    <xf numFmtId="0" fontId="18" fillId="0" borderId="0" applyNumberFormat="0" applyFill="0" applyBorder="0" applyAlignment="0" applyProtection="0"/>
    <xf numFmtId="166" fontId="20" fillId="0" borderId="0" applyFont="0" applyFill="0" applyBorder="0" applyAlignment="0" applyProtection="0"/>
    <xf numFmtId="0" fontId="20" fillId="0" borderId="0"/>
  </cellStyleXfs>
  <cellXfs count="923">
    <xf numFmtId="0" fontId="0" fillId="0" borderId="0" xfId="0"/>
    <xf numFmtId="4" fontId="0" fillId="0" borderId="0" xfId="0" applyNumberFormat="1"/>
    <xf numFmtId="0" fontId="16" fillId="0" borderId="0" xfId="0" applyFont="1"/>
    <xf numFmtId="168" fontId="16" fillId="0" borderId="0" xfId="0" applyNumberFormat="1" applyFont="1" applyAlignment="1">
      <alignment horizontal="center" wrapText="1"/>
    </xf>
    <xf numFmtId="168" fontId="0" fillId="0" borderId="0" xfId="0" applyNumberFormat="1" applyAlignment="1">
      <alignment wrapText="1"/>
    </xf>
    <xf numFmtId="168" fontId="16" fillId="0" borderId="36" xfId="0" applyNumberFormat="1" applyFont="1" applyBorder="1" applyAlignment="1">
      <alignment wrapText="1"/>
    </xf>
    <xf numFmtId="180" fontId="0" fillId="0" borderId="0" xfId="2258" applyNumberFormat="1" applyFont="1" applyAlignment="1">
      <alignment wrapText="1"/>
    </xf>
    <xf numFmtId="0" fontId="0" fillId="59" borderId="0" xfId="0" applyFill="1"/>
    <xf numFmtId="10" fontId="0" fillId="0" borderId="0" xfId="0" applyNumberFormat="1"/>
    <xf numFmtId="2" fontId="0" fillId="0" borderId="0" xfId="0" applyNumberFormat="1"/>
    <xf numFmtId="0" fontId="53" fillId="0" borderId="0" xfId="0" applyFont="1"/>
    <xf numFmtId="179" fontId="0" fillId="0" borderId="0" xfId="0" applyNumberFormat="1"/>
    <xf numFmtId="0" fontId="13" fillId="59" borderId="0" xfId="0" applyFont="1" applyFill="1"/>
    <xf numFmtId="0" fontId="53" fillId="0" borderId="0" xfId="0" applyFont="1" applyAlignment="1">
      <alignment horizontal="right"/>
    </xf>
    <xf numFmtId="0" fontId="92" fillId="66" borderId="0" xfId="0" applyFont="1" applyFill="1"/>
    <xf numFmtId="0" fontId="53" fillId="66" borderId="0" xfId="0" applyFont="1" applyFill="1"/>
    <xf numFmtId="0" fontId="53" fillId="66" borderId="0" xfId="0" applyFont="1" applyFill="1" applyAlignment="1">
      <alignment horizontal="center"/>
    </xf>
    <xf numFmtId="0" fontId="90" fillId="66" borderId="0" xfId="0" applyFont="1" applyFill="1"/>
    <xf numFmtId="0" fontId="53" fillId="59" borderId="0" xfId="0" applyFont="1" applyFill="1"/>
    <xf numFmtId="0" fontId="53" fillId="59" borderId="0" xfId="0" applyFont="1" applyFill="1" applyAlignment="1">
      <alignment horizontal="center"/>
    </xf>
    <xf numFmtId="3" fontId="21" fillId="0" borderId="0" xfId="0" applyNumberFormat="1" applyFont="1" applyAlignment="1">
      <alignment horizontal="right"/>
    </xf>
    <xf numFmtId="0" fontId="21" fillId="0" borderId="0" xfId="0" applyFont="1"/>
    <xf numFmtId="3" fontId="21" fillId="0" borderId="0" xfId="0" applyNumberFormat="1" applyFont="1"/>
    <xf numFmtId="2" fontId="21" fillId="0" borderId="0" xfId="0" applyNumberFormat="1" applyFont="1"/>
    <xf numFmtId="0" fontId="89" fillId="60" borderId="0" xfId="0" applyFont="1" applyFill="1"/>
    <xf numFmtId="0" fontId="53" fillId="60" borderId="0" xfId="0" applyFont="1" applyFill="1"/>
    <xf numFmtId="1" fontId="53" fillId="0" borderId="0" xfId="0" applyNumberFormat="1" applyFont="1" applyAlignment="1">
      <alignment horizontal="center"/>
    </xf>
    <xf numFmtId="0" fontId="84" fillId="0" borderId="0" xfId="0" applyFont="1"/>
    <xf numFmtId="0" fontId="85" fillId="60" borderId="0" xfId="0" applyFont="1" applyFill="1"/>
    <xf numFmtId="0" fontId="53" fillId="0" borderId="0" xfId="0" applyFont="1" applyAlignment="1">
      <alignment horizontal="center"/>
    </xf>
    <xf numFmtId="10" fontId="53" fillId="0" borderId="0" xfId="0" applyNumberFormat="1" applyFont="1" applyAlignment="1">
      <alignment horizontal="center"/>
    </xf>
    <xf numFmtId="0" fontId="90" fillId="0" borderId="0" xfId="0" applyFont="1" applyAlignment="1">
      <alignment horizontal="center"/>
    </xf>
    <xf numFmtId="0" fontId="93" fillId="0" borderId="0" xfId="0" applyFont="1"/>
    <xf numFmtId="0" fontId="0" fillId="67" borderId="37" xfId="0" applyFill="1" applyBorder="1"/>
    <xf numFmtId="0" fontId="84" fillId="67" borderId="37" xfId="0" applyFont="1" applyFill="1" applyBorder="1" applyAlignment="1">
      <alignment horizontal="center"/>
    </xf>
    <xf numFmtId="0" fontId="84" fillId="67" borderId="37" xfId="0" applyFont="1" applyFill="1" applyBorder="1"/>
    <xf numFmtId="0" fontId="52" fillId="0" borderId="0" xfId="0" applyFont="1"/>
    <xf numFmtId="0" fontId="94" fillId="60" borderId="0" xfId="0" applyFont="1" applyFill="1"/>
    <xf numFmtId="0" fontId="52" fillId="60" borderId="0" xfId="0" applyFont="1" applyFill="1"/>
    <xf numFmtId="0" fontId="52" fillId="59" borderId="0" xfId="0" applyFont="1" applyFill="1"/>
    <xf numFmtId="3" fontId="52" fillId="0" borderId="0" xfId="0" applyNumberFormat="1" applyFont="1"/>
    <xf numFmtId="3" fontId="52" fillId="0" borderId="0" xfId="0" applyNumberFormat="1" applyFont="1" applyAlignment="1">
      <alignment horizontal="center"/>
    </xf>
    <xf numFmtId="0" fontId="94" fillId="60" borderId="0" xfId="0" applyFont="1" applyFill="1" applyAlignment="1">
      <alignment horizontal="left"/>
    </xf>
    <xf numFmtId="0" fontId="97" fillId="0" borderId="0" xfId="0" applyFont="1"/>
    <xf numFmtId="0" fontId="52" fillId="0" borderId="0" xfId="0" applyFont="1" applyAlignment="1">
      <alignment vertical="center"/>
    </xf>
    <xf numFmtId="3" fontId="52" fillId="59" borderId="0" xfId="0" applyNumberFormat="1" applyFont="1" applyFill="1" applyAlignment="1">
      <alignment horizontal="center"/>
    </xf>
    <xf numFmtId="0" fontId="85" fillId="60" borderId="0" xfId="0" applyFont="1" applyFill="1" applyAlignment="1">
      <alignment horizontal="left"/>
    </xf>
    <xf numFmtId="37" fontId="53" fillId="0" borderId="0" xfId="0" applyNumberFormat="1" applyFont="1" applyAlignment="1">
      <alignment horizontal="center"/>
    </xf>
    <xf numFmtId="17" fontId="84" fillId="67" borderId="37" xfId="0" applyNumberFormat="1" applyFont="1" applyFill="1" applyBorder="1" applyAlignment="1">
      <alignment horizontal="center"/>
    </xf>
    <xf numFmtId="17" fontId="53" fillId="0" borderId="0" xfId="0" applyNumberFormat="1" applyFont="1"/>
    <xf numFmtId="0" fontId="84" fillId="0" borderId="29" xfId="0" applyFont="1" applyBorder="1"/>
    <xf numFmtId="3" fontId="53" fillId="0" borderId="0" xfId="0" applyNumberFormat="1" applyFont="1"/>
    <xf numFmtId="3" fontId="53" fillId="0" borderId="0" xfId="0" applyNumberFormat="1" applyFont="1" applyAlignment="1">
      <alignment horizontal="center"/>
    </xf>
    <xf numFmtId="0" fontId="84" fillId="0" borderId="0" xfId="0" applyFont="1" applyAlignment="1">
      <alignment horizontal="left"/>
    </xf>
    <xf numFmtId="3" fontId="89" fillId="60" borderId="0" xfId="0" applyNumberFormat="1" applyFont="1" applyFill="1" applyAlignment="1">
      <alignment horizontal="center"/>
    </xf>
    <xf numFmtId="3" fontId="85" fillId="60" borderId="0" xfId="0" applyNumberFormat="1" applyFont="1" applyFill="1" applyAlignment="1">
      <alignment horizontal="center"/>
    </xf>
    <xf numFmtId="0" fontId="84" fillId="67" borderId="37" xfId="0" applyFont="1" applyFill="1" applyBorder="1" applyAlignment="1">
      <alignment horizontal="left"/>
    </xf>
    <xf numFmtId="0" fontId="53" fillId="0" borderId="0" xfId="0" applyFont="1" applyAlignment="1">
      <alignment horizontal="left"/>
    </xf>
    <xf numFmtId="0" fontId="93" fillId="0" borderId="0" xfId="0" applyFont="1" applyAlignment="1">
      <alignment horizontal="center"/>
    </xf>
    <xf numFmtId="0" fontId="96" fillId="59" borderId="0" xfId="0" applyFont="1" applyFill="1"/>
    <xf numFmtId="0" fontId="97" fillId="59" borderId="0" xfId="0" applyFont="1" applyFill="1"/>
    <xf numFmtId="0" fontId="85" fillId="59" borderId="0" xfId="0" applyFont="1" applyFill="1"/>
    <xf numFmtId="0" fontId="53" fillId="0" borderId="14" xfId="0" applyFont="1" applyBorder="1"/>
    <xf numFmtId="10" fontId="84" fillId="0" borderId="0" xfId="0" applyNumberFormat="1" applyFont="1" applyAlignment="1">
      <alignment horizontal="center"/>
    </xf>
    <xf numFmtId="0" fontId="21" fillId="59" borderId="0" xfId="0" applyFont="1" applyFill="1"/>
    <xf numFmtId="0" fontId="99" fillId="59" borderId="0" xfId="0" applyFont="1" applyFill="1"/>
    <xf numFmtId="0" fontId="100" fillId="0" borderId="0" xfId="0" applyFont="1"/>
    <xf numFmtId="38" fontId="53" fillId="0" borderId="0" xfId="0" applyNumberFormat="1" applyFont="1" applyAlignment="1">
      <alignment horizontal="center"/>
    </xf>
    <xf numFmtId="1" fontId="84" fillId="0" borderId="0" xfId="0" applyNumberFormat="1" applyFont="1" applyAlignment="1">
      <alignment horizontal="center"/>
    </xf>
    <xf numFmtId="0" fontId="53" fillId="64" borderId="0" xfId="0" applyFont="1" applyFill="1"/>
    <xf numFmtId="0" fontId="89" fillId="59" borderId="0" xfId="0" applyFont="1" applyFill="1"/>
    <xf numFmtId="0" fontId="84" fillId="58" borderId="25" xfId="0" applyFont="1" applyFill="1" applyBorder="1" applyAlignment="1">
      <alignment horizontal="center"/>
    </xf>
    <xf numFmtId="17" fontId="84" fillId="58" borderId="10" xfId="0" applyNumberFormat="1" applyFont="1" applyFill="1" applyBorder="1" applyAlignment="1">
      <alignment horizontal="center"/>
    </xf>
    <xf numFmtId="17" fontId="84" fillId="58" borderId="26" xfId="0" applyNumberFormat="1" applyFont="1" applyFill="1" applyBorder="1" applyAlignment="1">
      <alignment horizontal="center"/>
    </xf>
    <xf numFmtId="179" fontId="53" fillId="0" borderId="0" xfId="0" applyNumberFormat="1" applyFont="1" applyAlignment="1">
      <alignment horizontal="center"/>
    </xf>
    <xf numFmtId="0" fontId="53" fillId="0" borderId="27" xfId="0" applyFont="1" applyBorder="1"/>
    <xf numFmtId="179" fontId="53" fillId="0" borderId="11" xfId="0" applyNumberFormat="1" applyFont="1" applyBorder="1" applyAlignment="1">
      <alignment horizontal="center"/>
    </xf>
    <xf numFmtId="0" fontId="53" fillId="0" borderId="28" xfId="0" applyFont="1" applyBorder="1"/>
    <xf numFmtId="0" fontId="53" fillId="0" borderId="11" xfId="0" applyFont="1" applyBorder="1"/>
    <xf numFmtId="0" fontId="53" fillId="0" borderId="29" xfId="0" applyFont="1" applyBorder="1"/>
    <xf numFmtId="37" fontId="53" fillId="0" borderId="30" xfId="0" applyNumberFormat="1" applyFont="1" applyBorder="1" applyAlignment="1">
      <alignment horizontal="center"/>
    </xf>
    <xf numFmtId="37" fontId="53" fillId="0" borderId="31" xfId="0" applyNumberFormat="1" applyFont="1" applyBorder="1" applyAlignment="1">
      <alignment horizontal="center"/>
    </xf>
    <xf numFmtId="179" fontId="53" fillId="0" borderId="26" xfId="0" applyNumberFormat="1" applyFont="1" applyBorder="1" applyAlignment="1">
      <alignment horizontal="center"/>
    </xf>
    <xf numFmtId="9" fontId="53" fillId="0" borderId="0" xfId="0" applyNumberFormat="1" applyFont="1" applyAlignment="1">
      <alignment horizontal="center"/>
    </xf>
    <xf numFmtId="1" fontId="53" fillId="0" borderId="0" xfId="0" applyNumberFormat="1" applyFont="1"/>
    <xf numFmtId="0" fontId="53" fillId="56" borderId="0" xfId="0" applyFont="1" applyFill="1"/>
    <xf numFmtId="37" fontId="53" fillId="0" borderId="0" xfId="0" applyNumberFormat="1" applyFont="1"/>
    <xf numFmtId="10" fontId="53" fillId="0" borderId="0" xfId="2258" applyNumberFormat="1" applyFont="1"/>
    <xf numFmtId="10" fontId="53" fillId="0" borderId="0" xfId="0" applyNumberFormat="1" applyFont="1"/>
    <xf numFmtId="0" fontId="102" fillId="0" borderId="0" xfId="0" applyFont="1"/>
    <xf numFmtId="0" fontId="53" fillId="0" borderId="0" xfId="0" quotePrefix="1" applyFont="1"/>
    <xf numFmtId="9" fontId="53" fillId="0" borderId="0" xfId="2258" applyFont="1"/>
    <xf numFmtId="9" fontId="53" fillId="0" borderId="0" xfId="0" applyNumberFormat="1" applyFont="1"/>
    <xf numFmtId="0" fontId="85" fillId="63" borderId="0" xfId="0" applyFont="1" applyFill="1"/>
    <xf numFmtId="14" fontId="53" fillId="0" borderId="0" xfId="0" applyNumberFormat="1" applyFont="1" applyAlignment="1">
      <alignment horizontal="center"/>
    </xf>
    <xf numFmtId="0" fontId="84" fillId="0" borderId="14" xfId="0" applyFont="1" applyBorder="1"/>
    <xf numFmtId="2" fontId="53" fillId="0" borderId="0" xfId="0" applyNumberFormat="1" applyFont="1" applyAlignment="1">
      <alignment horizontal="center"/>
    </xf>
    <xf numFmtId="2" fontId="53" fillId="0" borderId="14" xfId="0" applyNumberFormat="1" applyFont="1" applyBorder="1" applyAlignment="1">
      <alignment horizontal="center"/>
    </xf>
    <xf numFmtId="0" fontId="13" fillId="0" borderId="0" xfId="0" applyFont="1"/>
    <xf numFmtId="10" fontId="85" fillId="60" borderId="0" xfId="0" applyNumberFormat="1" applyFont="1" applyFill="1" applyAlignment="1">
      <alignment horizontal="center"/>
    </xf>
    <xf numFmtId="0" fontId="85" fillId="60" borderId="0" xfId="0" applyFont="1" applyFill="1" applyAlignment="1">
      <alignment horizontal="center"/>
    </xf>
    <xf numFmtId="10" fontId="0" fillId="0" borderId="0" xfId="2258" applyNumberFormat="1" applyFont="1"/>
    <xf numFmtId="2" fontId="53" fillId="0" borderId="0" xfId="0" applyNumberFormat="1" applyFont="1"/>
    <xf numFmtId="0" fontId="90" fillId="0" borderId="0" xfId="0" applyFont="1"/>
    <xf numFmtId="38" fontId="53" fillId="0" borderId="0" xfId="0" applyNumberFormat="1" applyFont="1"/>
    <xf numFmtId="0" fontId="105" fillId="0" borderId="0" xfId="0" applyFont="1"/>
    <xf numFmtId="180" fontId="53" fillId="0" borderId="0" xfId="0" applyNumberFormat="1" applyFont="1" applyAlignment="1">
      <alignment horizontal="center"/>
    </xf>
    <xf numFmtId="0" fontId="85" fillId="0" borderId="0" xfId="0" applyFont="1"/>
    <xf numFmtId="0" fontId="53" fillId="0" borderId="0" xfId="0" applyFont="1" applyAlignment="1">
      <alignment wrapText="1"/>
    </xf>
    <xf numFmtId="0" fontId="87" fillId="0" borderId="0" xfId="0" applyFont="1" applyAlignment="1">
      <alignment vertical="center" wrapText="1"/>
    </xf>
    <xf numFmtId="1" fontId="87" fillId="0" borderId="0" xfId="0" applyNumberFormat="1" applyFont="1" applyAlignment="1">
      <alignment horizontal="right" vertical="center"/>
    </xf>
    <xf numFmtId="1" fontId="87" fillId="70" borderId="0" xfId="0" applyNumberFormat="1" applyFont="1" applyFill="1" applyAlignment="1">
      <alignment horizontal="right" vertical="center"/>
    </xf>
    <xf numFmtId="0" fontId="87" fillId="71" borderId="0" xfId="0" applyFont="1" applyFill="1" applyAlignment="1">
      <alignment vertical="center"/>
    </xf>
    <xf numFmtId="1" fontId="87" fillId="71" borderId="0" xfId="0" applyNumberFormat="1" applyFont="1" applyFill="1" applyAlignment="1">
      <alignment horizontal="right" vertical="center"/>
    </xf>
    <xf numFmtId="0" fontId="87" fillId="62" borderId="30" xfId="0" applyFont="1" applyFill="1" applyBorder="1" applyAlignment="1">
      <alignment vertical="center"/>
    </xf>
    <xf numFmtId="0" fontId="53" fillId="62" borderId="0" xfId="0" applyFont="1" applyFill="1"/>
    <xf numFmtId="0" fontId="107" fillId="0" borderId="0" xfId="0" applyFont="1"/>
    <xf numFmtId="1" fontId="53" fillId="0" borderId="0" xfId="0" applyNumberFormat="1" applyFont="1" applyAlignment="1">
      <alignment horizontal="right"/>
    </xf>
    <xf numFmtId="0" fontId="84" fillId="59" borderId="0" xfId="0" applyFont="1" applyFill="1" applyAlignment="1">
      <alignment horizontal="left" vertical="center"/>
    </xf>
    <xf numFmtId="39" fontId="53" fillId="0" borderId="0" xfId="0" applyNumberFormat="1" applyFont="1" applyAlignment="1">
      <alignment horizontal="center"/>
    </xf>
    <xf numFmtId="37" fontId="84" fillId="0" borderId="0" xfId="0" applyNumberFormat="1" applyFont="1" applyAlignment="1">
      <alignment horizontal="center"/>
    </xf>
    <xf numFmtId="0" fontId="84" fillId="0" borderId="30" xfId="0" applyFont="1" applyBorder="1" applyAlignment="1">
      <alignment horizontal="left"/>
    </xf>
    <xf numFmtId="2" fontId="91" fillId="0" borderId="30" xfId="0" applyNumberFormat="1" applyFont="1" applyBorder="1"/>
    <xf numFmtId="37" fontId="84" fillId="0" borderId="30" xfId="0" applyNumberFormat="1" applyFont="1" applyBorder="1" applyAlignment="1">
      <alignment horizontal="center"/>
    </xf>
    <xf numFmtId="4" fontId="84" fillId="0" borderId="30" xfId="0" applyNumberFormat="1" applyFont="1" applyBorder="1" applyAlignment="1">
      <alignment horizontal="center"/>
    </xf>
    <xf numFmtId="0" fontId="53" fillId="67" borderId="37" xfId="0" applyFont="1" applyFill="1" applyBorder="1"/>
    <xf numFmtId="10" fontId="53" fillId="0" borderId="0" xfId="2258" applyNumberFormat="1" applyFont="1" applyAlignment="1">
      <alignment horizontal="center" vertical="center"/>
    </xf>
    <xf numFmtId="0" fontId="108" fillId="0" borderId="0" xfId="0" applyFont="1"/>
    <xf numFmtId="3" fontId="53" fillId="0" borderId="0" xfId="0" applyNumberFormat="1" applyFont="1" applyAlignment="1">
      <alignment horizontal="right"/>
    </xf>
    <xf numFmtId="1" fontId="53" fillId="0" borderId="0" xfId="0" applyNumberFormat="1" applyFont="1" applyAlignment="1">
      <alignment horizontal="center" vertical="center"/>
    </xf>
    <xf numFmtId="0" fontId="84" fillId="0" borderId="0" xfId="0" applyFont="1" applyAlignment="1">
      <alignment horizontal="center"/>
    </xf>
    <xf numFmtId="10" fontId="53" fillId="0" borderId="0" xfId="0" applyNumberFormat="1" applyFont="1" applyAlignment="1">
      <alignment horizontal="right"/>
    </xf>
    <xf numFmtId="38" fontId="53" fillId="0" borderId="0" xfId="0" applyNumberFormat="1" applyFont="1" applyAlignment="1">
      <alignment horizontal="right"/>
    </xf>
    <xf numFmtId="3" fontId="103" fillId="0" borderId="0" xfId="0" applyNumberFormat="1" applyFont="1" applyAlignment="1">
      <alignment horizontal="right"/>
    </xf>
    <xf numFmtId="0" fontId="84" fillId="62" borderId="25" xfId="0" applyFont="1" applyFill="1" applyBorder="1"/>
    <xf numFmtId="0" fontId="53" fillId="0" borderId="41" xfId="0" applyFont="1" applyBorder="1"/>
    <xf numFmtId="0" fontId="53" fillId="0" borderId="33" xfId="0" applyFont="1" applyBorder="1"/>
    <xf numFmtId="0" fontId="53" fillId="0" borderId="43" xfId="0" applyFont="1" applyBorder="1"/>
    <xf numFmtId="0" fontId="91" fillId="0" borderId="47" xfId="0" applyFont="1" applyBorder="1"/>
    <xf numFmtId="0" fontId="91" fillId="0" borderId="46" xfId="0" applyFont="1" applyBorder="1"/>
    <xf numFmtId="0" fontId="84" fillId="62" borderId="38" xfId="0" applyFont="1" applyFill="1" applyBorder="1"/>
    <xf numFmtId="0" fontId="53" fillId="0" borderId="48" xfId="0" applyFont="1" applyBorder="1"/>
    <xf numFmtId="0" fontId="53" fillId="0" borderId="42" xfId="0" applyFont="1" applyBorder="1"/>
    <xf numFmtId="0" fontId="53" fillId="0" borderId="47" xfId="0" applyFont="1" applyBorder="1"/>
    <xf numFmtId="9" fontId="53" fillId="0" borderId="44" xfId="2258" applyFont="1" applyBorder="1"/>
    <xf numFmtId="0" fontId="53" fillId="0" borderId="46" xfId="0" applyFont="1" applyBorder="1"/>
    <xf numFmtId="0" fontId="91" fillId="0" borderId="0" xfId="0" applyFont="1"/>
    <xf numFmtId="0" fontId="84" fillId="62" borderId="38" xfId="0" applyFont="1" applyFill="1" applyBorder="1" applyAlignment="1">
      <alignment wrapText="1"/>
    </xf>
    <xf numFmtId="0" fontId="84" fillId="62" borderId="39" xfId="0" applyFont="1" applyFill="1" applyBorder="1" applyAlignment="1">
      <alignment wrapText="1"/>
    </xf>
    <xf numFmtId="0" fontId="84" fillId="62" borderId="40" xfId="0" applyFont="1" applyFill="1" applyBorder="1" applyAlignment="1">
      <alignment wrapText="1"/>
    </xf>
    <xf numFmtId="0" fontId="53" fillId="0" borderId="11" xfId="0" applyFont="1" applyBorder="1" applyAlignment="1">
      <alignment wrapText="1"/>
    </xf>
    <xf numFmtId="0" fontId="53" fillId="0" borderId="50" xfId="0" applyFont="1" applyBorder="1"/>
    <xf numFmtId="9" fontId="53" fillId="0" borderId="11" xfId="0" applyNumberFormat="1" applyFont="1" applyBorder="1" applyAlignment="1">
      <alignment wrapText="1"/>
    </xf>
    <xf numFmtId="9" fontId="109" fillId="0" borderId="11" xfId="0" applyNumberFormat="1" applyFont="1" applyBorder="1"/>
    <xf numFmtId="0" fontId="53" fillId="0" borderId="48" xfId="0" applyFont="1" applyBorder="1" applyAlignment="1">
      <alignment wrapText="1"/>
    </xf>
    <xf numFmtId="0" fontId="53" fillId="0" borderId="15" xfId="0" applyFont="1" applyBorder="1"/>
    <xf numFmtId="0" fontId="53" fillId="0" borderId="49" xfId="0" applyFont="1" applyBorder="1"/>
    <xf numFmtId="0" fontId="53" fillId="0" borderId="47" xfId="0" applyFont="1" applyBorder="1" applyAlignment="1">
      <alignment horizontal="center"/>
    </xf>
    <xf numFmtId="0" fontId="53" fillId="0" borderId="11" xfId="0" applyFont="1" applyBorder="1" applyAlignment="1">
      <alignment horizontal="right"/>
    </xf>
    <xf numFmtId="0" fontId="53" fillId="0" borderId="46" xfId="0" applyFont="1" applyBorder="1" applyAlignment="1">
      <alignment horizontal="center"/>
    </xf>
    <xf numFmtId="0" fontId="84" fillId="62" borderId="37" xfId="0" applyFont="1" applyFill="1" applyBorder="1"/>
    <xf numFmtId="0" fontId="53" fillId="0" borderId="27" xfId="0" applyFont="1" applyBorder="1" applyAlignment="1">
      <alignment wrapText="1"/>
    </xf>
    <xf numFmtId="0" fontId="84" fillId="0" borderId="27" xfId="0" applyFont="1" applyBorder="1"/>
    <xf numFmtId="0" fontId="84" fillId="0" borderId="0" xfId="0" applyFont="1" applyAlignment="1">
      <alignment horizontal="right"/>
    </xf>
    <xf numFmtId="9" fontId="53" fillId="0" borderId="0" xfId="2258" applyFont="1" applyBorder="1" applyAlignment="1">
      <alignment horizontal="right"/>
    </xf>
    <xf numFmtId="9" fontId="53" fillId="0" borderId="11" xfId="2258" applyFont="1" applyBorder="1" applyAlignment="1">
      <alignment horizontal="right"/>
    </xf>
    <xf numFmtId="1" fontId="53" fillId="0" borderId="11" xfId="0" applyNumberFormat="1" applyFont="1" applyBorder="1" applyAlignment="1">
      <alignment horizontal="right"/>
    </xf>
    <xf numFmtId="2" fontId="53" fillId="0" borderId="0" xfId="0" applyNumberFormat="1" applyFont="1" applyAlignment="1">
      <alignment horizontal="right"/>
    </xf>
    <xf numFmtId="2" fontId="53" fillId="0" borderId="11" xfId="0" applyNumberFormat="1" applyFont="1" applyBorder="1" applyAlignment="1">
      <alignment horizontal="right"/>
    </xf>
    <xf numFmtId="38" fontId="84" fillId="0" borderId="0" xfId="0" applyNumberFormat="1" applyFont="1" applyAlignment="1">
      <alignment horizontal="center"/>
    </xf>
    <xf numFmtId="0" fontId="90" fillId="0" borderId="0" xfId="0" applyFont="1" applyAlignment="1">
      <alignment horizontal="left"/>
    </xf>
    <xf numFmtId="37" fontId="53" fillId="0" borderId="0" xfId="0" applyNumberFormat="1" applyFont="1" applyAlignment="1">
      <alignment horizontal="right"/>
    </xf>
    <xf numFmtId="37" fontId="53" fillId="0" borderId="14" xfId="0" applyNumberFormat="1" applyFont="1" applyBorder="1" applyAlignment="1">
      <alignment horizontal="right"/>
    </xf>
    <xf numFmtId="181" fontId="53" fillId="0" borderId="0" xfId="0" applyNumberFormat="1" applyFont="1" applyAlignment="1">
      <alignment horizontal="right" vertical="center"/>
    </xf>
    <xf numFmtId="1" fontId="53" fillId="0" borderId="0" xfId="0" applyNumberFormat="1" applyFont="1" applyAlignment="1">
      <alignment horizontal="right" vertical="center"/>
    </xf>
    <xf numFmtId="10" fontId="84" fillId="0" borderId="0" xfId="0" applyNumberFormat="1" applyFont="1" applyAlignment="1">
      <alignment horizontal="right"/>
    </xf>
    <xf numFmtId="3" fontId="84" fillId="0" borderId="0" xfId="0" applyNumberFormat="1" applyFont="1" applyAlignment="1">
      <alignment horizontal="right"/>
    </xf>
    <xf numFmtId="3" fontId="53" fillId="0" borderId="14" xfId="0" applyNumberFormat="1" applyFont="1" applyBorder="1" applyAlignment="1">
      <alignment horizontal="right"/>
    </xf>
    <xf numFmtId="3" fontId="84" fillId="0" borderId="14" xfId="0" applyNumberFormat="1" applyFont="1" applyBorder="1" applyAlignment="1">
      <alignment horizontal="right"/>
    </xf>
    <xf numFmtId="9" fontId="53" fillId="0" borderId="31" xfId="0" applyNumberFormat="1" applyFont="1" applyBorder="1" applyAlignment="1">
      <alignment horizontal="right"/>
    </xf>
    <xf numFmtId="0" fontId="91" fillId="67" borderId="0" xfId="0" applyFont="1" applyFill="1" applyAlignment="1">
      <alignment horizontal="center"/>
    </xf>
    <xf numFmtId="1" fontId="84" fillId="0" borderId="14" xfId="0" applyNumberFormat="1" applyFont="1" applyBorder="1" applyAlignment="1">
      <alignment horizontal="center"/>
    </xf>
    <xf numFmtId="1" fontId="104" fillId="0" borderId="0" xfId="0" applyNumberFormat="1" applyFont="1"/>
    <xf numFmtId="3" fontId="53" fillId="0" borderId="14" xfId="0" applyNumberFormat="1" applyFont="1" applyBorder="1"/>
    <xf numFmtId="0" fontId="84" fillId="62" borderId="33" xfId="0" applyFont="1" applyFill="1" applyBorder="1"/>
    <xf numFmtId="9" fontId="104" fillId="0" borderId="0" xfId="2258" applyFont="1" applyBorder="1"/>
    <xf numFmtId="9" fontId="104" fillId="0" borderId="14" xfId="2258" applyFont="1" applyBorder="1"/>
    <xf numFmtId="0" fontId="84" fillId="67" borderId="37" xfId="0" applyFont="1" applyFill="1" applyBorder="1" applyAlignment="1">
      <alignment horizontal="right"/>
    </xf>
    <xf numFmtId="40" fontId="53" fillId="0" borderId="0" xfId="0" applyNumberFormat="1" applyFont="1" applyAlignment="1">
      <alignment horizontal="right"/>
    </xf>
    <xf numFmtId="0" fontId="53" fillId="60" borderId="0" xfId="0" applyFont="1" applyFill="1" applyAlignment="1">
      <alignment horizontal="right"/>
    </xf>
    <xf numFmtId="17" fontId="88" fillId="68" borderId="37" xfId="0" applyNumberFormat="1" applyFont="1" applyFill="1" applyBorder="1" applyAlignment="1">
      <alignment horizontal="right" vertical="center" wrapText="1"/>
    </xf>
    <xf numFmtId="17" fontId="53" fillId="0" borderId="0" xfId="0" applyNumberFormat="1" applyFont="1" applyAlignment="1">
      <alignment horizontal="right"/>
    </xf>
    <xf numFmtId="9" fontId="53" fillId="0" borderId="0" xfId="2258" applyFont="1" applyAlignment="1">
      <alignment horizontal="right"/>
    </xf>
    <xf numFmtId="167" fontId="53" fillId="0" borderId="0" xfId="0" applyNumberFormat="1" applyFont="1" applyAlignment="1">
      <alignment horizontal="right"/>
    </xf>
    <xf numFmtId="0" fontId="84" fillId="0" borderId="14" xfId="0" applyFont="1" applyBorder="1" applyAlignment="1">
      <alignment horizontal="left"/>
    </xf>
    <xf numFmtId="38" fontId="84" fillId="0" borderId="14" xfId="0" applyNumberFormat="1" applyFont="1" applyBorder="1" applyAlignment="1">
      <alignment horizontal="center"/>
    </xf>
    <xf numFmtId="3" fontId="53" fillId="0" borderId="14" xfId="0" applyNumberFormat="1" applyFont="1" applyBorder="1" applyAlignment="1">
      <alignment horizontal="center"/>
    </xf>
    <xf numFmtId="0" fontId="53" fillId="0" borderId="14" xfId="0" applyFont="1" applyBorder="1" applyAlignment="1">
      <alignment horizontal="left"/>
    </xf>
    <xf numFmtId="37" fontId="53" fillId="0" borderId="14" xfId="0" applyNumberFormat="1" applyFont="1" applyBorder="1" applyAlignment="1">
      <alignment horizontal="center"/>
    </xf>
    <xf numFmtId="38" fontId="53" fillId="0" borderId="14" xfId="0" applyNumberFormat="1" applyFont="1" applyBorder="1" applyAlignment="1">
      <alignment horizontal="right"/>
    </xf>
    <xf numFmtId="1" fontId="53" fillId="0" borderId="14" xfId="0" applyNumberFormat="1" applyFont="1" applyBorder="1" applyAlignment="1">
      <alignment horizontal="center"/>
    </xf>
    <xf numFmtId="3" fontId="84" fillId="0" borderId="0" xfId="0" applyNumberFormat="1" applyFont="1"/>
    <xf numFmtId="3" fontId="84" fillId="0" borderId="14" xfId="0" applyNumberFormat="1" applyFont="1" applyBorder="1"/>
    <xf numFmtId="3" fontId="104" fillId="0" borderId="0" xfId="0" applyNumberFormat="1" applyFont="1" applyAlignment="1">
      <alignment horizontal="right"/>
    </xf>
    <xf numFmtId="0" fontId="89" fillId="0" borderId="0" xfId="0" applyFont="1"/>
    <xf numFmtId="0" fontId="89" fillId="63" borderId="0" xfId="0" applyFont="1" applyFill="1"/>
    <xf numFmtId="3" fontId="104" fillId="0" borderId="14" xfId="0" applyNumberFormat="1" applyFont="1" applyBorder="1" applyAlignment="1">
      <alignment horizontal="right"/>
    </xf>
    <xf numFmtId="3" fontId="98" fillId="0" borderId="0" xfId="0" applyNumberFormat="1" applyFont="1"/>
    <xf numFmtId="0" fontId="88" fillId="62" borderId="30" xfId="0" applyFont="1" applyFill="1" applyBorder="1" applyAlignment="1">
      <alignment vertical="center"/>
    </xf>
    <xf numFmtId="1" fontId="53" fillId="59" borderId="0" xfId="0" applyNumberFormat="1" applyFont="1" applyFill="1"/>
    <xf numFmtId="0" fontId="85" fillId="60" borderId="0" xfId="0" applyFont="1" applyFill="1" applyAlignment="1">
      <alignment horizontal="right"/>
    </xf>
    <xf numFmtId="0" fontId="85" fillId="63" borderId="0" xfId="0" applyFont="1" applyFill="1" applyAlignment="1">
      <alignment horizontal="right"/>
    </xf>
    <xf numFmtId="0" fontId="53" fillId="0" borderId="14" xfId="0" applyFont="1" applyBorder="1" applyAlignment="1">
      <alignment horizontal="right"/>
    </xf>
    <xf numFmtId="0" fontId="84" fillId="0" borderId="14" xfId="0" applyFont="1" applyBorder="1" applyAlignment="1">
      <alignment horizontal="right"/>
    </xf>
    <xf numFmtId="9" fontId="104" fillId="0" borderId="0" xfId="2258" applyFont="1" applyBorder="1" applyAlignment="1">
      <alignment horizontal="right"/>
    </xf>
    <xf numFmtId="0" fontId="104" fillId="0" borderId="0" xfId="0" applyFont="1" applyAlignment="1">
      <alignment horizontal="right"/>
    </xf>
    <xf numFmtId="0" fontId="89" fillId="63" borderId="0" xfId="0" applyFont="1" applyFill="1" applyAlignment="1">
      <alignment horizontal="right"/>
    </xf>
    <xf numFmtId="9" fontId="104" fillId="0" borderId="14" xfId="2258" applyFont="1" applyBorder="1" applyAlignment="1">
      <alignment horizontal="right"/>
    </xf>
    <xf numFmtId="0" fontId="53" fillId="66" borderId="0" xfId="0" applyFont="1" applyFill="1" applyAlignment="1">
      <alignment horizontal="right"/>
    </xf>
    <xf numFmtId="0" fontId="111" fillId="60" borderId="0" xfId="0" applyFont="1" applyFill="1"/>
    <xf numFmtId="0" fontId="111" fillId="0" borderId="0" xfId="0" applyFont="1"/>
    <xf numFmtId="9" fontId="109" fillId="0" borderId="0" xfId="0" applyNumberFormat="1" applyFont="1"/>
    <xf numFmtId="9" fontId="21" fillId="0" borderId="0" xfId="0" applyNumberFormat="1" applyFont="1"/>
    <xf numFmtId="4" fontId="21" fillId="0" borderId="0" xfId="0" applyNumberFormat="1" applyFont="1"/>
    <xf numFmtId="0" fontId="91" fillId="0" borderId="0" xfId="0" applyFont="1" applyAlignment="1">
      <alignment horizontal="left" wrapText="1"/>
    </xf>
    <xf numFmtId="0" fontId="53" fillId="62" borderId="0" xfId="0" applyFont="1" applyFill="1" applyAlignment="1">
      <alignment horizontal="left"/>
    </xf>
    <xf numFmtId="0" fontId="92" fillId="66" borderId="0" xfId="0" applyFont="1" applyFill="1" applyAlignment="1">
      <alignment horizontal="left"/>
    </xf>
    <xf numFmtId="1" fontId="85" fillId="63" borderId="0" xfId="0" applyNumberFormat="1" applyFont="1" applyFill="1" applyAlignment="1">
      <alignment horizontal="left"/>
    </xf>
    <xf numFmtId="0" fontId="84" fillId="62" borderId="0" xfId="0" applyFont="1" applyFill="1"/>
    <xf numFmtId="0" fontId="110" fillId="0" borderId="0" xfId="0" applyFont="1"/>
    <xf numFmtId="0" fontId="98" fillId="0" borderId="0" xfId="0" applyFont="1"/>
    <xf numFmtId="0" fontId="91" fillId="73" borderId="0" xfId="0" applyFont="1" applyFill="1"/>
    <xf numFmtId="183" fontId="109" fillId="0" borderId="0" xfId="0" applyNumberFormat="1" applyFont="1"/>
    <xf numFmtId="183" fontId="21" fillId="0" borderId="0" xfId="0" applyNumberFormat="1" applyFont="1"/>
    <xf numFmtId="184" fontId="53" fillId="0" borderId="0" xfId="0" applyNumberFormat="1" applyFont="1"/>
    <xf numFmtId="0" fontId="84" fillId="62" borderId="0" xfId="0" applyFont="1" applyFill="1" applyAlignment="1">
      <alignment horizontal="left"/>
    </xf>
    <xf numFmtId="180" fontId="21" fillId="0" borderId="0" xfId="0" applyNumberFormat="1" applyFont="1"/>
    <xf numFmtId="1" fontId="84" fillId="61" borderId="35" xfId="0" applyNumberFormat="1" applyFont="1" applyFill="1" applyBorder="1"/>
    <xf numFmtId="0" fontId="91" fillId="74" borderId="0" xfId="0" applyFont="1" applyFill="1"/>
    <xf numFmtId="185" fontId="53" fillId="0" borderId="12" xfId="0" applyNumberFormat="1" applyFont="1" applyBorder="1"/>
    <xf numFmtId="185" fontId="53" fillId="0" borderId="0" xfId="0" applyNumberFormat="1" applyFont="1"/>
    <xf numFmtId="185" fontId="53" fillId="0" borderId="11" xfId="0" applyNumberFormat="1" applyFont="1" applyBorder="1"/>
    <xf numFmtId="185" fontId="84" fillId="0" borderId="0" xfId="0" applyNumberFormat="1" applyFont="1"/>
    <xf numFmtId="185" fontId="84" fillId="0" borderId="11" xfId="0" applyNumberFormat="1" applyFont="1" applyBorder="1"/>
    <xf numFmtId="0" fontId="84" fillId="0" borderId="33" xfId="0" applyFont="1" applyBorder="1"/>
    <xf numFmtId="0" fontId="84" fillId="0" borderId="43" xfId="0" applyFont="1" applyBorder="1"/>
    <xf numFmtId="0" fontId="91" fillId="73" borderId="0" xfId="0" applyFont="1" applyFill="1" applyAlignment="1">
      <alignment wrapText="1"/>
    </xf>
    <xf numFmtId="0" fontId="87" fillId="59" borderId="0" xfId="0" applyFont="1" applyFill="1" applyAlignment="1">
      <alignment vertical="center"/>
    </xf>
    <xf numFmtId="0" fontId="113" fillId="0" borderId="0" xfId="0" applyFont="1"/>
    <xf numFmtId="0" fontId="53" fillId="75" borderId="35" xfId="0" applyFont="1" applyFill="1" applyBorder="1"/>
    <xf numFmtId="0" fontId="88" fillId="61" borderId="30" xfId="0" applyFont="1" applyFill="1" applyBorder="1" applyAlignment="1">
      <alignment vertical="center"/>
    </xf>
    <xf numFmtId="0" fontId="87" fillId="61" borderId="30" xfId="0" applyFont="1" applyFill="1" applyBorder="1" applyAlignment="1">
      <alignment vertical="center"/>
    </xf>
    <xf numFmtId="2" fontId="87" fillId="62" borderId="30" xfId="0" applyNumberFormat="1" applyFont="1" applyFill="1" applyBorder="1" applyAlignment="1">
      <alignment horizontal="right" vertical="center"/>
    </xf>
    <xf numFmtId="2" fontId="106" fillId="62" borderId="30" xfId="0" applyNumberFormat="1" applyFont="1" applyFill="1" applyBorder="1" applyAlignment="1">
      <alignment horizontal="right" vertical="center"/>
    </xf>
    <xf numFmtId="2" fontId="87" fillId="61" borderId="30" xfId="0" applyNumberFormat="1" applyFont="1" applyFill="1" applyBorder="1" applyAlignment="1">
      <alignment horizontal="right" vertical="center"/>
    </xf>
    <xf numFmtId="2" fontId="106" fillId="61" borderId="30" xfId="0" applyNumberFormat="1" applyFont="1" applyFill="1" applyBorder="1" applyAlignment="1">
      <alignment horizontal="right" vertical="center"/>
    </xf>
    <xf numFmtId="0" fontId="104" fillId="0" borderId="0" xfId="0" applyFont="1"/>
    <xf numFmtId="179" fontId="53" fillId="0" borderId="0" xfId="0" applyNumberFormat="1" applyFont="1" applyAlignment="1">
      <alignment horizontal="right"/>
    </xf>
    <xf numFmtId="9" fontId="0" fillId="0" borderId="0" xfId="0" applyNumberFormat="1"/>
    <xf numFmtId="0" fontId="105" fillId="59" borderId="0" xfId="0" applyFont="1" applyFill="1"/>
    <xf numFmtId="2" fontId="53" fillId="76" borderId="0" xfId="0" applyNumberFormat="1" applyFont="1" applyFill="1" applyAlignment="1">
      <alignment horizontal="right"/>
    </xf>
    <xf numFmtId="2" fontId="53" fillId="76" borderId="11" xfId="0" applyNumberFormat="1" applyFont="1" applyFill="1" applyBorder="1" applyAlignment="1">
      <alignment horizontal="right"/>
    </xf>
    <xf numFmtId="0" fontId="84" fillId="62" borderId="25" xfId="0" applyFont="1" applyFill="1" applyBorder="1" applyAlignment="1">
      <alignment horizontal="left"/>
    </xf>
    <xf numFmtId="0" fontId="84" fillId="62" borderId="10" xfId="0" applyFont="1" applyFill="1" applyBorder="1" applyAlignment="1">
      <alignment horizontal="left"/>
    </xf>
    <xf numFmtId="0" fontId="84" fillId="62" borderId="10" xfId="0" applyFont="1" applyFill="1" applyBorder="1"/>
    <xf numFmtId="0" fontId="84" fillId="62" borderId="26" xfId="0" applyFont="1" applyFill="1" applyBorder="1"/>
    <xf numFmtId="183" fontId="21" fillId="0" borderId="11" xfId="0" applyNumberFormat="1" applyFont="1" applyBorder="1"/>
    <xf numFmtId="1" fontId="104" fillId="55" borderId="0" xfId="0" applyNumberFormat="1" applyFont="1" applyFill="1" applyAlignment="1">
      <alignment horizontal="right"/>
    </xf>
    <xf numFmtId="0" fontId="53" fillId="0" borderId="51" xfId="0" applyFont="1" applyBorder="1"/>
    <xf numFmtId="0" fontId="53" fillId="0" borderId="51" xfId="0" applyFont="1" applyBorder="1" applyAlignment="1">
      <alignment horizontal="right"/>
    </xf>
    <xf numFmtId="0" fontId="84" fillId="0" borderId="51" xfId="0" applyFont="1" applyBorder="1"/>
    <xf numFmtId="0" fontId="84" fillId="0" borderId="51" xfId="0" applyFont="1" applyBorder="1" applyAlignment="1">
      <alignment horizontal="right"/>
    </xf>
    <xf numFmtId="3" fontId="53" fillId="0" borderId="51" xfId="0" applyNumberFormat="1" applyFont="1" applyBorder="1"/>
    <xf numFmtId="0" fontId="84" fillId="0" borderId="52" xfId="0" applyFont="1" applyBorder="1"/>
    <xf numFmtId="0" fontId="53" fillId="0" borderId="52" xfId="0" applyFont="1" applyBorder="1"/>
    <xf numFmtId="0" fontId="84" fillId="0" borderId="52" xfId="0" applyFont="1" applyBorder="1" applyAlignment="1">
      <alignment horizontal="right"/>
    </xf>
    <xf numFmtId="3" fontId="84" fillId="0" borderId="52" xfId="0" applyNumberFormat="1" applyFont="1" applyBorder="1"/>
    <xf numFmtId="3" fontId="104" fillId="55" borderId="0" xfId="0" applyNumberFormat="1" applyFont="1" applyFill="1" applyAlignment="1">
      <alignment horizontal="right"/>
    </xf>
    <xf numFmtId="3" fontId="84" fillId="0" borderId="52" xfId="0" applyNumberFormat="1" applyFont="1" applyBorder="1" applyAlignment="1">
      <alignment horizontal="right"/>
    </xf>
    <xf numFmtId="0" fontId="112" fillId="0" borderId="0" xfId="0" applyFont="1" applyAlignment="1">
      <alignment horizontal="left"/>
    </xf>
    <xf numFmtId="3" fontId="53" fillId="77" borderId="0" xfId="0" applyNumberFormat="1" applyFont="1" applyFill="1" applyAlignment="1">
      <alignment horizontal="right"/>
    </xf>
    <xf numFmtId="3" fontId="53" fillId="77" borderId="14" xfId="0" applyNumberFormat="1" applyFont="1" applyFill="1" applyBorder="1" applyAlignment="1">
      <alignment horizontal="right"/>
    </xf>
    <xf numFmtId="9" fontId="104" fillId="77" borderId="0" xfId="2258" applyFont="1" applyFill="1" applyBorder="1" applyAlignment="1">
      <alignment horizontal="right"/>
    </xf>
    <xf numFmtId="3" fontId="104" fillId="77" borderId="0" xfId="0" applyNumberFormat="1" applyFont="1" applyFill="1" applyAlignment="1">
      <alignment horizontal="right"/>
    </xf>
    <xf numFmtId="1" fontId="104" fillId="77" borderId="0" xfId="0" applyNumberFormat="1" applyFont="1" applyFill="1" applyAlignment="1">
      <alignment horizontal="right"/>
    </xf>
    <xf numFmtId="0" fontId="53" fillId="0" borderId="55" xfId="0" applyFont="1" applyBorder="1"/>
    <xf numFmtId="0" fontId="53" fillId="0" borderId="55" xfId="0" applyFont="1" applyBorder="1" applyAlignment="1">
      <alignment horizontal="right"/>
    </xf>
    <xf numFmtId="3" fontId="53" fillId="0" borderId="51" xfId="0" applyNumberFormat="1" applyFont="1" applyBorder="1" applyAlignment="1">
      <alignment horizontal="right"/>
    </xf>
    <xf numFmtId="0" fontId="53" fillId="0" borderId="54" xfId="0" applyFont="1" applyBorder="1"/>
    <xf numFmtId="0" fontId="53" fillId="0" borderId="54" xfId="0" applyFont="1" applyBorder="1" applyAlignment="1">
      <alignment horizontal="right"/>
    </xf>
    <xf numFmtId="9" fontId="104" fillId="77" borderId="0" xfId="0" applyNumberFormat="1" applyFont="1" applyFill="1"/>
    <xf numFmtId="9" fontId="104" fillId="77" borderId="55" xfId="0" applyNumberFormat="1" applyFont="1" applyFill="1" applyBorder="1"/>
    <xf numFmtId="38" fontId="53" fillId="0" borderId="51" xfId="0" applyNumberFormat="1" applyFont="1" applyBorder="1" applyAlignment="1">
      <alignment horizontal="right"/>
    </xf>
    <xf numFmtId="0" fontId="101" fillId="0" borderId="0" xfId="0" applyFont="1"/>
    <xf numFmtId="1" fontId="112" fillId="0" borderId="0" xfId="0" applyNumberFormat="1" applyFont="1" applyAlignment="1">
      <alignment horizontal="right"/>
    </xf>
    <xf numFmtId="0" fontId="112" fillId="0" borderId="0" xfId="0" applyFont="1"/>
    <xf numFmtId="2" fontId="21" fillId="0" borderId="14" xfId="0" applyNumberFormat="1" applyFont="1" applyBorder="1"/>
    <xf numFmtId="2" fontId="53" fillId="0" borderId="14" xfId="0" applyNumberFormat="1" applyFont="1" applyBorder="1"/>
    <xf numFmtId="3" fontId="21" fillId="55" borderId="0" xfId="0" applyNumberFormat="1" applyFont="1" applyFill="1" applyAlignment="1">
      <alignment horizontal="right"/>
    </xf>
    <xf numFmtId="3" fontId="21" fillId="55" borderId="14" xfId="0" applyNumberFormat="1" applyFont="1" applyFill="1" applyBorder="1" applyAlignment="1">
      <alignment horizontal="right"/>
    </xf>
    <xf numFmtId="38" fontId="90" fillId="0" borderId="0" xfId="0" applyNumberFormat="1" applyFont="1" applyAlignment="1">
      <alignment horizontal="center"/>
    </xf>
    <xf numFmtId="3" fontId="83" fillId="0" borderId="0" xfId="0" applyNumberFormat="1" applyFont="1" applyAlignment="1">
      <alignment horizontal="right"/>
    </xf>
    <xf numFmtId="0" fontId="117" fillId="0" borderId="0" xfId="0" applyFont="1" applyAlignment="1">
      <alignment vertical="center" wrapText="1"/>
    </xf>
    <xf numFmtId="0" fontId="116" fillId="0" borderId="0" xfId="0" applyFont="1" applyAlignment="1">
      <alignment horizontal="center" vertical="center" wrapText="1"/>
    </xf>
    <xf numFmtId="0" fontId="120" fillId="0" borderId="0" xfId="0" applyFont="1" applyAlignment="1">
      <alignment vertical="center"/>
    </xf>
    <xf numFmtId="0" fontId="121" fillId="0" borderId="0" xfId="0" applyFont="1" applyAlignment="1">
      <alignment wrapText="1"/>
    </xf>
    <xf numFmtId="0" fontId="81" fillId="0" borderId="0" xfId="0" applyFont="1" applyAlignment="1">
      <alignment horizontal="center" vertical="center" wrapText="1"/>
    </xf>
    <xf numFmtId="10" fontId="83" fillId="0" borderId="0" xfId="0" applyNumberFormat="1" applyFont="1"/>
    <xf numFmtId="0" fontId="122" fillId="0" borderId="0" xfId="0" applyFont="1"/>
    <xf numFmtId="17" fontId="16" fillId="0" borderId="0" xfId="0" applyNumberFormat="1" applyFont="1"/>
    <xf numFmtId="0" fontId="0" fillId="0" borderId="0" xfId="0" applyAlignment="1">
      <alignment horizontal="right"/>
    </xf>
    <xf numFmtId="17" fontId="81" fillId="0" borderId="0" xfId="0" applyNumberFormat="1" applyFont="1" applyAlignment="1">
      <alignment horizontal="left" vertical="center" wrapText="1"/>
    </xf>
    <xf numFmtId="0" fontId="123" fillId="0" borderId="0" xfId="0" applyFont="1" applyAlignment="1">
      <alignment wrapText="1"/>
    </xf>
    <xf numFmtId="17" fontId="124" fillId="0" borderId="0" xfId="0" applyNumberFormat="1" applyFont="1" applyAlignment="1">
      <alignment horizontal="left" vertical="center" wrapText="1"/>
    </xf>
    <xf numFmtId="0" fontId="18" fillId="0" borderId="0" xfId="2259"/>
    <xf numFmtId="0" fontId="53" fillId="0" borderId="0" xfId="0" applyFont="1" applyAlignment="1">
      <alignment horizontal="left" indent="1"/>
    </xf>
    <xf numFmtId="1" fontId="87" fillId="59" borderId="0" xfId="0" applyNumberFormat="1" applyFont="1" applyFill="1" applyAlignment="1">
      <alignment horizontal="right" vertical="center"/>
    </xf>
    <xf numFmtId="0" fontId="84" fillId="0" borderId="53" xfId="0" applyFont="1" applyBorder="1"/>
    <xf numFmtId="0" fontId="53" fillId="0" borderId="53" xfId="0" applyFont="1" applyBorder="1"/>
    <xf numFmtId="0" fontId="53" fillId="0" borderId="53" xfId="0" applyFont="1" applyBorder="1" applyAlignment="1">
      <alignment horizontal="right"/>
    </xf>
    <xf numFmtId="4" fontId="103" fillId="0" borderId="53" xfId="0" applyNumberFormat="1" applyFont="1" applyBorder="1"/>
    <xf numFmtId="0" fontId="84" fillId="62" borderId="53" xfId="0" applyFont="1" applyFill="1" applyBorder="1"/>
    <xf numFmtId="0" fontId="53" fillId="62" borderId="53" xfId="0" applyFont="1" applyFill="1" applyBorder="1"/>
    <xf numFmtId="0" fontId="53" fillId="62" borderId="53" xfId="0" applyFont="1" applyFill="1" applyBorder="1" applyAlignment="1">
      <alignment horizontal="right"/>
    </xf>
    <xf numFmtId="1" fontId="53" fillId="62" borderId="53" xfId="0" applyNumberFormat="1" applyFont="1" applyFill="1" applyBorder="1"/>
    <xf numFmtId="0" fontId="84" fillId="0" borderId="53" xfId="0" applyFont="1" applyBorder="1" applyAlignment="1">
      <alignment horizontal="right"/>
    </xf>
    <xf numFmtId="2" fontId="84" fillId="0" borderId="53" xfId="0" applyNumberFormat="1" applyFont="1" applyBorder="1"/>
    <xf numFmtId="3" fontId="104" fillId="0" borderId="53" xfId="0" applyNumberFormat="1" applyFont="1" applyBorder="1" applyAlignment="1">
      <alignment horizontal="right"/>
    </xf>
    <xf numFmtId="0" fontId="84" fillId="67" borderId="53" xfId="0" applyFont="1" applyFill="1" applyBorder="1" applyAlignment="1">
      <alignment horizontal="left"/>
    </xf>
    <xf numFmtId="0" fontId="53" fillId="0" borderId="53" xfId="0" applyFont="1" applyBorder="1" applyAlignment="1">
      <alignment wrapText="1"/>
    </xf>
    <xf numFmtId="10" fontId="84" fillId="0" borderId="53" xfId="0" applyNumberFormat="1" applyFont="1" applyBorder="1" applyAlignment="1">
      <alignment horizontal="center"/>
    </xf>
    <xf numFmtId="0" fontId="89" fillId="60" borderId="53" xfId="0" applyFont="1" applyFill="1" applyBorder="1"/>
    <xf numFmtId="0" fontId="53" fillId="0" borderId="53" xfId="0" applyFont="1" applyBorder="1" applyAlignment="1">
      <alignment horizontal="left"/>
    </xf>
    <xf numFmtId="0" fontId="53" fillId="60" borderId="53" xfId="0" applyFont="1" applyFill="1" applyBorder="1"/>
    <xf numFmtId="3" fontId="53" fillId="0" borderId="53" xfId="0" applyNumberFormat="1" applyFont="1" applyBorder="1" applyAlignment="1">
      <alignment horizontal="right"/>
    </xf>
    <xf numFmtId="10" fontId="84" fillId="0" borderId="53" xfId="0" applyNumberFormat="1" applyFont="1" applyBorder="1" applyAlignment="1">
      <alignment horizontal="right"/>
    </xf>
    <xf numFmtId="0" fontId="53" fillId="0" borderId="52" xfId="0" applyFont="1" applyBorder="1" applyAlignment="1">
      <alignment horizontal="right"/>
    </xf>
    <xf numFmtId="0" fontId="84" fillId="0" borderId="57" xfId="0" applyFont="1" applyBorder="1"/>
    <xf numFmtId="0" fontId="53" fillId="0" borderId="57" xfId="0" applyFont="1" applyBorder="1"/>
    <xf numFmtId="0" fontId="53" fillId="0" borderId="57" xfId="0" applyFont="1" applyBorder="1" applyAlignment="1">
      <alignment horizontal="right"/>
    </xf>
    <xf numFmtId="0" fontId="21" fillId="56" borderId="0" xfId="0" applyFont="1" applyFill="1"/>
    <xf numFmtId="0" fontId="128" fillId="0" borderId="0" xfId="0" applyFont="1"/>
    <xf numFmtId="2" fontId="87" fillId="59" borderId="0" xfId="0" applyNumberFormat="1" applyFont="1" applyFill="1" applyAlignment="1">
      <alignment horizontal="right" vertical="center"/>
    </xf>
    <xf numFmtId="0" fontId="88" fillId="59" borderId="0" xfId="0" applyFont="1" applyFill="1" applyAlignment="1">
      <alignment vertical="center"/>
    </xf>
    <xf numFmtId="0" fontId="88" fillId="59" borderId="0" xfId="0" applyFont="1" applyFill="1" applyAlignment="1">
      <alignment horizontal="center" vertical="center" wrapText="1"/>
    </xf>
    <xf numFmtId="188" fontId="21" fillId="0" borderId="0" xfId="0" applyNumberFormat="1" applyFont="1"/>
    <xf numFmtId="1" fontId="53" fillId="76" borderId="0" xfId="0" applyNumberFormat="1" applyFont="1" applyFill="1"/>
    <xf numFmtId="0" fontId="87" fillId="0" borderId="0" xfId="0" applyFont="1" applyAlignment="1">
      <alignment vertical="center"/>
    </xf>
    <xf numFmtId="1" fontId="87" fillId="74" borderId="0" xfId="0" applyNumberFormat="1" applyFont="1" applyFill="1" applyAlignment="1">
      <alignment horizontal="right" vertical="center"/>
    </xf>
    <xf numFmtId="0" fontId="88" fillId="0" borderId="0" xfId="0" applyFont="1" applyAlignment="1">
      <alignment vertical="center"/>
    </xf>
    <xf numFmtId="0" fontId="88" fillId="0" borderId="0" xfId="0" applyFont="1" applyAlignment="1">
      <alignment horizontal="center" vertical="center" wrapText="1"/>
    </xf>
    <xf numFmtId="0" fontId="88" fillId="70" borderId="0" xfId="0" applyFont="1" applyFill="1" applyAlignment="1">
      <alignment horizontal="center" vertical="center" wrapText="1"/>
    </xf>
    <xf numFmtId="0" fontId="87" fillId="0" borderId="53" xfId="0" applyFont="1" applyBorder="1" applyAlignment="1">
      <alignment vertical="center"/>
    </xf>
    <xf numFmtId="1" fontId="87" fillId="0" borderId="53" xfId="0" applyNumberFormat="1" applyFont="1" applyBorder="1" applyAlignment="1">
      <alignment horizontal="right" vertical="center"/>
    </xf>
    <xf numFmtId="1" fontId="87" fillId="74" borderId="53" xfId="0" applyNumberFormat="1" applyFont="1" applyFill="1" applyBorder="1" applyAlignment="1">
      <alignment horizontal="right" vertical="center"/>
    </xf>
    <xf numFmtId="1" fontId="87" fillId="70" borderId="53" xfId="0" applyNumberFormat="1" applyFont="1" applyFill="1" applyBorder="1" applyAlignment="1">
      <alignment horizontal="right" vertical="center"/>
    </xf>
    <xf numFmtId="1" fontId="87" fillId="67" borderId="0" xfId="0" applyNumberFormat="1" applyFont="1" applyFill="1" applyAlignment="1">
      <alignment horizontal="right" vertical="center"/>
    </xf>
    <xf numFmtId="0" fontId="88" fillId="67" borderId="0" xfId="0" applyFont="1" applyFill="1" applyAlignment="1">
      <alignment horizontal="center" vertical="center" wrapText="1"/>
    </xf>
    <xf numFmtId="1" fontId="87" fillId="67" borderId="53" xfId="0" applyNumberFormat="1" applyFont="1" applyFill="1" applyBorder="1" applyAlignment="1">
      <alignment horizontal="right" vertical="center"/>
    </xf>
    <xf numFmtId="0" fontId="53" fillId="0" borderId="58" xfId="0" applyFont="1" applyBorder="1"/>
    <xf numFmtId="0" fontId="53" fillId="0" borderId="59" xfId="0" applyFont="1" applyBorder="1"/>
    <xf numFmtId="10" fontId="21" fillId="0" borderId="14" xfId="2258" applyNumberFormat="1" applyFont="1" applyFill="1" applyBorder="1"/>
    <xf numFmtId="0" fontId="126" fillId="0" borderId="0" xfId="0" applyFont="1"/>
    <xf numFmtId="9" fontId="21" fillId="0" borderId="14" xfId="2258" applyFont="1" applyFill="1" applyBorder="1"/>
    <xf numFmtId="0" fontId="84" fillId="66" borderId="0" xfId="0" applyFont="1" applyFill="1"/>
    <xf numFmtId="2" fontId="53" fillId="76" borderId="0" xfId="0" applyNumberFormat="1" applyFont="1" applyFill="1"/>
    <xf numFmtId="9" fontId="53" fillId="76" borderId="44" xfId="2258" applyFont="1" applyFill="1" applyBorder="1"/>
    <xf numFmtId="9" fontId="53" fillId="76" borderId="45" xfId="2258" applyFont="1" applyFill="1" applyBorder="1"/>
    <xf numFmtId="179" fontId="53" fillId="0" borderId="11" xfId="0" applyNumberFormat="1" applyFont="1" applyBorder="1" applyAlignment="1">
      <alignment horizontal="right"/>
    </xf>
    <xf numFmtId="0" fontId="53" fillId="0" borderId="60" xfId="0" applyFont="1" applyBorder="1" applyAlignment="1">
      <alignment horizontal="right"/>
    </xf>
    <xf numFmtId="0" fontId="53" fillId="0" borderId="32" xfId="0" applyFont="1" applyBorder="1"/>
    <xf numFmtId="0" fontId="20" fillId="59" borderId="0" xfId="133" applyFont="1" applyFill="1"/>
    <xf numFmtId="0" fontId="20" fillId="0" borderId="0" xfId="133" applyFont="1"/>
    <xf numFmtId="0" fontId="130" fillId="60" borderId="0" xfId="133" applyFont="1" applyFill="1"/>
    <xf numFmtId="0" fontId="0" fillId="59" borderId="0" xfId="133" applyFont="1" applyFill="1"/>
    <xf numFmtId="0" fontId="20" fillId="59" borderId="0" xfId="133" applyFont="1" applyFill="1" applyAlignment="1">
      <alignment wrapText="1"/>
    </xf>
    <xf numFmtId="1" fontId="21" fillId="0" borderId="0" xfId="0" applyNumberFormat="1" applyFont="1" applyAlignment="1">
      <alignment horizontal="right"/>
    </xf>
    <xf numFmtId="1" fontId="21" fillId="0" borderId="14" xfId="0" applyNumberFormat="1" applyFont="1" applyBorder="1" applyAlignment="1">
      <alignment horizontal="right"/>
    </xf>
    <xf numFmtId="38" fontId="21" fillId="0" borderId="0" xfId="0" applyNumberFormat="1" applyFont="1" applyAlignment="1">
      <alignment horizontal="center"/>
    </xf>
    <xf numFmtId="0" fontId="91" fillId="67" borderId="53" xfId="0" applyFont="1" applyFill="1" applyBorder="1" applyAlignment="1">
      <alignment horizontal="left"/>
    </xf>
    <xf numFmtId="9" fontId="21" fillId="0" borderId="0" xfId="2258" applyFont="1" applyFill="1" applyBorder="1" applyAlignment="1">
      <alignment horizontal="right"/>
    </xf>
    <xf numFmtId="9" fontId="21" fillId="0" borderId="14" xfId="2258" applyFont="1" applyFill="1" applyBorder="1" applyAlignment="1">
      <alignment horizontal="right"/>
    </xf>
    <xf numFmtId="3" fontId="21" fillId="0" borderId="14" xfId="0" applyNumberFormat="1" applyFont="1" applyBorder="1" applyAlignment="1">
      <alignment horizontal="right"/>
    </xf>
    <xf numFmtId="9" fontId="21" fillId="0" borderId="0" xfId="2258" applyFont="1"/>
    <xf numFmtId="9" fontId="21" fillId="0" borderId="14" xfId="2258" applyFont="1" applyBorder="1"/>
    <xf numFmtId="9" fontId="21" fillId="0" borderId="0" xfId="2258" applyFont="1" applyFill="1" applyBorder="1"/>
    <xf numFmtId="169" fontId="21" fillId="0" borderId="0" xfId="2258" applyNumberFormat="1" applyFont="1" applyFill="1" applyBorder="1" applyAlignment="1">
      <alignment horizontal="right"/>
    </xf>
    <xf numFmtId="10" fontId="21" fillId="0" borderId="0" xfId="2258" applyNumberFormat="1" applyFont="1"/>
    <xf numFmtId="0" fontId="21" fillId="0" borderId="54" xfId="0" applyFont="1" applyBorder="1"/>
    <xf numFmtId="10" fontId="21" fillId="0" borderId="0" xfId="2258" applyNumberFormat="1" applyFont="1" applyBorder="1"/>
    <xf numFmtId="10" fontId="21" fillId="0" borderId="0" xfId="2258" applyNumberFormat="1" applyFont="1" applyFill="1" applyBorder="1"/>
    <xf numFmtId="180" fontId="21" fillId="0" borderId="55" xfId="0" applyNumberFormat="1" applyFont="1" applyBorder="1"/>
    <xf numFmtId="188" fontId="21" fillId="0" borderId="61" xfId="0" applyNumberFormat="1" applyFont="1" applyBorder="1"/>
    <xf numFmtId="183" fontId="21" fillId="0" borderId="61" xfId="0" applyNumberFormat="1" applyFont="1" applyBorder="1"/>
    <xf numFmtId="10" fontId="21" fillId="0" borderId="0" xfId="2258" applyNumberFormat="1" applyFont="1" applyFill="1" applyBorder="1" applyAlignment="1">
      <alignment horizontal="right"/>
    </xf>
    <xf numFmtId="0" fontId="53" fillId="0" borderId="61" xfId="0" applyFont="1" applyBorder="1" applyAlignment="1">
      <alignment horizontal="left"/>
    </xf>
    <xf numFmtId="0" fontId="111" fillId="0" borderId="0" xfId="0" applyFont="1" applyAlignment="1">
      <alignment horizontal="left"/>
    </xf>
    <xf numFmtId="0" fontId="91" fillId="0" borderId="35" xfId="0" applyFont="1" applyBorder="1" applyAlignment="1">
      <alignment horizontal="left" wrapText="1"/>
    </xf>
    <xf numFmtId="4" fontId="21" fillId="0" borderId="53" xfId="0" applyNumberFormat="1" applyFont="1" applyBorder="1"/>
    <xf numFmtId="180" fontId="21" fillId="0" borderId="0" xfId="2258" applyNumberFormat="1" applyFont="1" applyBorder="1"/>
    <xf numFmtId="180" fontId="21" fillId="0" borderId="14" xfId="2258" applyNumberFormat="1" applyFont="1" applyBorder="1"/>
    <xf numFmtId="180" fontId="21" fillId="0" borderId="14" xfId="2258" applyNumberFormat="1" applyFont="1" applyFill="1" applyBorder="1"/>
    <xf numFmtId="4" fontId="21" fillId="0" borderId="51" xfId="0" applyNumberFormat="1" applyFont="1" applyBorder="1"/>
    <xf numFmtId="4" fontId="21" fillId="0" borderId="14" xfId="0" applyNumberFormat="1" applyFont="1" applyBorder="1"/>
    <xf numFmtId="4" fontId="91" fillId="0" borderId="53" xfId="0" applyNumberFormat="1" applyFont="1" applyBorder="1"/>
    <xf numFmtId="2" fontId="91" fillId="0" borderId="53" xfId="0" applyNumberFormat="1" applyFont="1" applyBorder="1"/>
    <xf numFmtId="1" fontId="132" fillId="0" borderId="0" xfId="0" applyNumberFormat="1" applyFont="1" applyAlignment="1">
      <alignment horizontal="right"/>
    </xf>
    <xf numFmtId="179" fontId="21" fillId="0" borderId="0" xfId="0" applyNumberFormat="1" applyFont="1"/>
    <xf numFmtId="1" fontId="21" fillId="0" borderId="14" xfId="0" applyNumberFormat="1" applyFont="1" applyBorder="1"/>
    <xf numFmtId="1" fontId="91" fillId="0" borderId="53" xfId="0" applyNumberFormat="1" applyFont="1" applyBorder="1"/>
    <xf numFmtId="1" fontId="21" fillId="0" borderId="0" xfId="0" applyNumberFormat="1" applyFont="1"/>
    <xf numFmtId="1" fontId="21" fillId="62" borderId="53" xfId="0" applyNumberFormat="1" applyFont="1" applyFill="1" applyBorder="1"/>
    <xf numFmtId="3" fontId="21" fillId="0" borderId="0" xfId="2258" applyNumberFormat="1" applyFont="1" applyBorder="1"/>
    <xf numFmtId="10" fontId="21" fillId="0" borderId="14" xfId="2258" applyNumberFormat="1" applyFont="1" applyBorder="1"/>
    <xf numFmtId="0" fontId="91" fillId="63" borderId="0" xfId="0" applyFont="1" applyFill="1"/>
    <xf numFmtId="9" fontId="21" fillId="0" borderId="14" xfId="0" applyNumberFormat="1" applyFont="1" applyBorder="1"/>
    <xf numFmtId="180" fontId="21" fillId="0" borderId="0" xfId="2258" applyNumberFormat="1" applyFont="1" applyFill="1" applyBorder="1"/>
    <xf numFmtId="180" fontId="108" fillId="0" borderId="0" xfId="0" applyNumberFormat="1" applyFont="1"/>
    <xf numFmtId="184" fontId="21" fillId="0" borderId="0" xfId="0" applyNumberFormat="1" applyFont="1"/>
    <xf numFmtId="184" fontId="21" fillId="0" borderId="51" xfId="0" applyNumberFormat="1" applyFont="1" applyBorder="1"/>
    <xf numFmtId="184" fontId="91" fillId="0" borderId="51" xfId="0" applyNumberFormat="1" applyFont="1" applyBorder="1"/>
    <xf numFmtId="184" fontId="91" fillId="0" borderId="0" xfId="0" applyNumberFormat="1" applyFont="1"/>
    <xf numFmtId="184" fontId="91" fillId="0" borderId="14" xfId="0" applyNumberFormat="1" applyFont="1" applyBorder="1"/>
    <xf numFmtId="184" fontId="21" fillId="0" borderId="14" xfId="0" applyNumberFormat="1" applyFont="1" applyBorder="1"/>
    <xf numFmtId="3" fontId="21" fillId="0" borderId="51" xfId="0" applyNumberFormat="1" applyFont="1" applyBorder="1"/>
    <xf numFmtId="3" fontId="91" fillId="0" borderId="51" xfId="0" applyNumberFormat="1" applyFont="1" applyBorder="1"/>
    <xf numFmtId="3" fontId="91" fillId="0" borderId="0" xfId="0" applyNumberFormat="1" applyFont="1"/>
    <xf numFmtId="3" fontId="91" fillId="0" borderId="52" xfId="0" applyNumberFormat="1" applyFont="1" applyBorder="1"/>
    <xf numFmtId="3" fontId="21" fillId="0" borderId="14" xfId="0" applyNumberFormat="1" applyFont="1" applyBorder="1"/>
    <xf numFmtId="3" fontId="132" fillId="0" borderId="0" xfId="0" applyNumberFormat="1" applyFont="1" applyAlignment="1">
      <alignment horizontal="right"/>
    </xf>
    <xf numFmtId="184" fontId="21" fillId="0" borderId="14" xfId="2258" applyNumberFormat="1" applyFont="1" applyFill="1" applyBorder="1"/>
    <xf numFmtId="184" fontId="91" fillId="0" borderId="52" xfId="0" applyNumberFormat="1" applyFont="1" applyBorder="1"/>
    <xf numFmtId="182" fontId="108" fillId="0" borderId="0" xfId="1" applyNumberFormat="1" applyFont="1" applyFill="1"/>
    <xf numFmtId="184" fontId="21" fillId="0" borderId="53" xfId="0" applyNumberFormat="1" applyFont="1" applyBorder="1"/>
    <xf numFmtId="184" fontId="91" fillId="0" borderId="53" xfId="0" applyNumberFormat="1" applyFont="1" applyBorder="1"/>
    <xf numFmtId="3" fontId="21" fillId="0" borderId="53" xfId="0" applyNumberFormat="1" applyFont="1" applyBorder="1"/>
    <xf numFmtId="3" fontId="91" fillId="0" borderId="14" xfId="0" applyNumberFormat="1" applyFont="1" applyBorder="1"/>
    <xf numFmtId="0" fontId="21" fillId="63" borderId="0" xfId="0" applyFont="1" applyFill="1"/>
    <xf numFmtId="180" fontId="21" fillId="0" borderId="0" xfId="2258" applyNumberFormat="1" applyFont="1"/>
    <xf numFmtId="184" fontId="21" fillId="0" borderId="55" xfId="0" applyNumberFormat="1" applyFont="1" applyBorder="1"/>
    <xf numFmtId="3" fontId="21" fillId="59" borderId="0" xfId="0" applyNumberFormat="1" applyFont="1" applyFill="1"/>
    <xf numFmtId="184" fontId="21" fillId="0" borderId="54" xfId="0" applyNumberFormat="1" applyFont="1" applyBorder="1"/>
    <xf numFmtId="184" fontId="91" fillId="0" borderId="57" xfId="0" applyNumberFormat="1" applyFont="1" applyBorder="1"/>
    <xf numFmtId="9" fontId="21" fillId="0" borderId="54" xfId="0" applyNumberFormat="1" applyFont="1" applyBorder="1"/>
    <xf numFmtId="9" fontId="108" fillId="0" borderId="0" xfId="0" applyNumberFormat="1" applyFont="1"/>
    <xf numFmtId="4" fontId="132" fillId="0" borderId="0" xfId="0" applyNumberFormat="1" applyFont="1" applyAlignment="1">
      <alignment horizontal="right"/>
    </xf>
    <xf numFmtId="184" fontId="21" fillId="0" borderId="33" xfId="0" applyNumberFormat="1" applyFont="1" applyBorder="1"/>
    <xf numFmtId="184" fontId="21" fillId="0" borderId="34" xfId="0" applyNumberFormat="1" applyFont="1" applyBorder="1"/>
    <xf numFmtId="3" fontId="21" fillId="0" borderId="53" xfId="0" applyNumberFormat="1" applyFont="1" applyBorder="1" applyAlignment="1">
      <alignment horizontal="right"/>
    </xf>
    <xf numFmtId="184" fontId="21" fillId="0" borderId="0" xfId="0" applyNumberFormat="1" applyFont="1" applyAlignment="1">
      <alignment horizontal="right"/>
    </xf>
    <xf numFmtId="184" fontId="21" fillId="0" borderId="14" xfId="0" applyNumberFormat="1" applyFont="1" applyBorder="1" applyAlignment="1">
      <alignment horizontal="right"/>
    </xf>
    <xf numFmtId="3" fontId="21" fillId="59" borderId="14" xfId="0" applyNumberFormat="1" applyFont="1" applyFill="1" applyBorder="1"/>
    <xf numFmtId="10" fontId="21" fillId="0" borderId="0" xfId="2258" quotePrefix="1" applyNumberFormat="1" applyFont="1"/>
    <xf numFmtId="0" fontId="13" fillId="63" borderId="0" xfId="19" applyFont="1" applyFill="1"/>
    <xf numFmtId="0" fontId="16" fillId="63" borderId="0" xfId="19" applyFont="1" applyFill="1"/>
    <xf numFmtId="0" fontId="0" fillId="63" borderId="0" xfId="0" applyFill="1"/>
    <xf numFmtId="0" fontId="13" fillId="63" borderId="0" xfId="0" applyFont="1" applyFill="1"/>
    <xf numFmtId="0" fontId="17" fillId="63" borderId="0" xfId="0" applyFont="1" applyFill="1"/>
    <xf numFmtId="9" fontId="53" fillId="0" borderId="0" xfId="2258" applyFont="1" applyFill="1" applyBorder="1"/>
    <xf numFmtId="9" fontId="87" fillId="0" borderId="0" xfId="0" applyNumberFormat="1" applyFont="1" applyAlignment="1">
      <alignment horizontal="right" vertical="center"/>
    </xf>
    <xf numFmtId="0" fontId="129" fillId="0" borderId="0" xfId="0" applyFont="1"/>
    <xf numFmtId="0" fontId="53" fillId="0" borderId="13" xfId="0" applyFont="1" applyBorder="1" applyAlignment="1">
      <alignment wrapText="1"/>
    </xf>
    <xf numFmtId="2" fontId="53" fillId="76" borderId="62" xfId="0" applyNumberFormat="1" applyFont="1" applyFill="1" applyBorder="1" applyAlignment="1">
      <alignment horizontal="right"/>
    </xf>
    <xf numFmtId="0" fontId="133" fillId="60" borderId="0" xfId="0" applyFont="1" applyFill="1"/>
    <xf numFmtId="10" fontId="127" fillId="0" borderId="0" xfId="0" applyNumberFormat="1" applyFont="1"/>
    <xf numFmtId="9" fontId="127" fillId="0" borderId="0" xfId="0" applyNumberFormat="1" applyFont="1"/>
    <xf numFmtId="10" fontId="0" fillId="0" borderId="10" xfId="0" applyNumberFormat="1" applyBorder="1"/>
    <xf numFmtId="10" fontId="127" fillId="0" borderId="10" xfId="0" applyNumberFormat="1" applyFont="1" applyBorder="1"/>
    <xf numFmtId="9" fontId="127" fillId="0" borderId="10" xfId="0" applyNumberFormat="1" applyFont="1" applyBorder="1"/>
    <xf numFmtId="0" fontId="0" fillId="0" borderId="10" xfId="0" applyBorder="1"/>
    <xf numFmtId="10" fontId="0" fillId="0" borderId="61" xfId="0" applyNumberFormat="1" applyBorder="1"/>
    <xf numFmtId="10" fontId="127" fillId="0" borderId="61" xfId="0" applyNumberFormat="1" applyFont="1" applyBorder="1"/>
    <xf numFmtId="9" fontId="127" fillId="0" borderId="61" xfId="0" applyNumberFormat="1" applyFont="1" applyBorder="1"/>
    <xf numFmtId="0" fontId="0" fillId="0" borderId="61" xfId="0" applyBorder="1"/>
    <xf numFmtId="0" fontId="127" fillId="0" borderId="0" xfId="0" applyFont="1"/>
    <xf numFmtId="0" fontId="127" fillId="0" borderId="10" xfId="0" applyFont="1" applyBorder="1"/>
    <xf numFmtId="0" fontId="127" fillId="0" borderId="61" xfId="0" applyFont="1" applyBorder="1"/>
    <xf numFmtId="0" fontId="17" fillId="0" borderId="0" xfId="0" applyFont="1"/>
    <xf numFmtId="0" fontId="53" fillId="0" borderId="10" xfId="0" applyFont="1" applyBorder="1" applyAlignment="1">
      <alignment horizontal="left"/>
    </xf>
    <xf numFmtId="14" fontId="53" fillId="0" borderId="10" xfId="0" applyNumberFormat="1" applyFont="1" applyBorder="1" applyAlignment="1">
      <alignment horizontal="right"/>
    </xf>
    <xf numFmtId="14" fontId="53" fillId="0" borderId="61" xfId="0" applyNumberFormat="1" applyFont="1" applyBorder="1" applyAlignment="1">
      <alignment horizontal="right"/>
    </xf>
    <xf numFmtId="0" fontId="53" fillId="0" borderId="10" xfId="0" applyFont="1" applyBorder="1"/>
    <xf numFmtId="0" fontId="53" fillId="0" borderId="61" xfId="0" applyFont="1" applyBorder="1"/>
    <xf numFmtId="10" fontId="21" fillId="0" borderId="10" xfId="2258" applyNumberFormat="1" applyFont="1" applyBorder="1" applyAlignment="1"/>
    <xf numFmtId="10" fontId="21" fillId="0" borderId="0" xfId="2258" applyNumberFormat="1" applyFont="1" applyAlignment="1"/>
    <xf numFmtId="10" fontId="21" fillId="0" borderId="61" xfId="0" applyNumberFormat="1" applyFont="1" applyBorder="1"/>
    <xf numFmtId="10" fontId="21" fillId="0" borderId="10" xfId="2258" applyNumberFormat="1" applyFont="1" applyBorder="1" applyAlignment="1">
      <alignment horizontal="right"/>
    </xf>
    <xf numFmtId="10" fontId="21" fillId="0" borderId="61" xfId="2258" applyNumberFormat="1" applyFont="1" applyBorder="1" applyAlignment="1">
      <alignment horizontal="right"/>
    </xf>
    <xf numFmtId="0" fontId="21" fillId="62" borderId="0" xfId="2258" applyNumberFormat="1" applyFont="1" applyFill="1" applyAlignment="1">
      <alignment horizontal="right"/>
    </xf>
    <xf numFmtId="0" fontId="21" fillId="62" borderId="0" xfId="0" applyFont="1" applyFill="1" applyAlignment="1">
      <alignment horizontal="right"/>
    </xf>
    <xf numFmtId="0" fontId="134" fillId="63" borderId="0" xfId="0" applyFont="1" applyFill="1"/>
    <xf numFmtId="0" fontId="134" fillId="63" borderId="0" xfId="0" applyFont="1" applyFill="1" applyAlignment="1">
      <alignment horizontal="center"/>
    </xf>
    <xf numFmtId="0" fontId="134" fillId="0" borderId="0" xfId="0" applyFont="1"/>
    <xf numFmtId="10" fontId="21" fillId="0" borderId="0" xfId="0" applyNumberFormat="1" applyFont="1" applyAlignment="1">
      <alignment horizontal="center"/>
    </xf>
    <xf numFmtId="0" fontId="21" fillId="0" borderId="0" xfId="0" applyFont="1" applyAlignment="1">
      <alignment horizontal="center"/>
    </xf>
    <xf numFmtId="2" fontId="21" fillId="0" borderId="61" xfId="0" applyNumberFormat="1" applyFont="1" applyBorder="1" applyAlignment="1">
      <alignment horizontal="center"/>
    </xf>
    <xf numFmtId="0" fontId="53" fillId="0" borderId="61" xfId="0" applyFont="1" applyBorder="1" applyAlignment="1">
      <alignment horizontal="center"/>
    </xf>
    <xf numFmtId="0" fontId="84" fillId="62" borderId="14" xfId="0" applyFont="1" applyFill="1" applyBorder="1" applyAlignment="1">
      <alignment horizontal="center"/>
    </xf>
    <xf numFmtId="0" fontId="84" fillId="62" borderId="14" xfId="0" applyFont="1" applyFill="1" applyBorder="1"/>
    <xf numFmtId="0" fontId="91" fillId="62" borderId="14" xfId="0" applyFont="1" applyFill="1" applyBorder="1" applyAlignment="1">
      <alignment horizontal="center"/>
    </xf>
    <xf numFmtId="0" fontId="91" fillId="62" borderId="14" xfId="0" applyFont="1" applyFill="1" applyBorder="1"/>
    <xf numFmtId="0" fontId="89" fillId="63" borderId="0" xfId="0" applyFont="1" applyFill="1" applyAlignment="1">
      <alignment horizontal="center"/>
    </xf>
    <xf numFmtId="0" fontId="85" fillId="62" borderId="14" xfId="0" applyFont="1" applyFill="1" applyBorder="1" applyAlignment="1">
      <alignment horizontal="center"/>
    </xf>
    <xf numFmtId="0" fontId="85" fillId="62" borderId="14" xfId="0" applyFont="1" applyFill="1" applyBorder="1"/>
    <xf numFmtId="14" fontId="84" fillId="62" borderId="37" xfId="0" applyNumberFormat="1" applyFont="1" applyFill="1" applyBorder="1" applyAlignment="1">
      <alignment horizontal="right"/>
    </xf>
    <xf numFmtId="2" fontId="91" fillId="0" borderId="0" xfId="0" applyNumberFormat="1" applyFont="1"/>
    <xf numFmtId="2" fontId="21" fillId="0" borderId="0" xfId="0" applyNumberFormat="1" applyFont="1" applyAlignment="1">
      <alignment horizontal="center"/>
    </xf>
    <xf numFmtId="3" fontId="21" fillId="0" borderId="0" xfId="0" applyNumberFormat="1" applyFont="1" applyAlignment="1">
      <alignment horizontal="center"/>
    </xf>
    <xf numFmtId="4" fontId="21" fillId="0" borderId="0" xfId="0" applyNumberFormat="1" applyFont="1" applyAlignment="1">
      <alignment horizontal="center"/>
    </xf>
    <xf numFmtId="3" fontId="53" fillId="0" borderId="53" xfId="0" applyNumberFormat="1" applyFont="1" applyBorder="1" applyAlignment="1">
      <alignment horizontal="left"/>
    </xf>
    <xf numFmtId="3" fontId="53" fillId="0" borderId="53" xfId="0" applyNumberFormat="1" applyFont="1" applyBorder="1" applyAlignment="1">
      <alignment horizontal="center"/>
    </xf>
    <xf numFmtId="0" fontId="95" fillId="0" borderId="0" xfId="0" applyFont="1" applyAlignment="1">
      <alignment horizontal="center"/>
    </xf>
    <xf numFmtId="10" fontId="52" fillId="0" borderId="0" xfId="0" applyNumberFormat="1" applyFont="1" applyAlignment="1">
      <alignment horizontal="center"/>
    </xf>
    <xf numFmtId="0" fontId="95" fillId="0" borderId="61" xfId="0" applyFont="1" applyBorder="1" applyAlignment="1">
      <alignment horizontal="center"/>
    </xf>
    <xf numFmtId="10" fontId="52" fillId="0" borderId="61" xfId="0" applyNumberFormat="1" applyFont="1" applyBorder="1" applyAlignment="1">
      <alignment horizontal="center"/>
    </xf>
    <xf numFmtId="0" fontId="95" fillId="62" borderId="30" xfId="0" applyFont="1" applyFill="1" applyBorder="1" applyAlignment="1">
      <alignment horizontal="center"/>
    </xf>
    <xf numFmtId="4" fontId="52" fillId="59" borderId="0" xfId="0" applyNumberFormat="1" applyFont="1" applyFill="1" applyAlignment="1">
      <alignment horizontal="center"/>
    </xf>
    <xf numFmtId="0" fontId="135" fillId="62" borderId="30" xfId="0" applyFont="1" applyFill="1" applyBorder="1" applyAlignment="1">
      <alignment horizontal="left" wrapText="1"/>
    </xf>
    <xf numFmtId="0" fontId="135" fillId="62" borderId="30" xfId="0" applyFont="1" applyFill="1" applyBorder="1" applyAlignment="1">
      <alignment horizontal="center" wrapText="1"/>
    </xf>
    <xf numFmtId="0" fontId="52" fillId="0" borderId="10" xfId="0" applyFont="1" applyBorder="1"/>
    <xf numFmtId="0" fontId="53" fillId="0" borderId="30" xfId="0" applyFont="1" applyBorder="1"/>
    <xf numFmtId="0" fontId="97" fillId="57" borderId="0" xfId="0" applyFont="1" applyFill="1"/>
    <xf numFmtId="0" fontId="111" fillId="63" borderId="37" xfId="0" applyFont="1" applyFill="1" applyBorder="1" applyAlignment="1">
      <alignment horizontal="left"/>
    </xf>
    <xf numFmtId="0" fontId="111" fillId="63" borderId="0" xfId="0" applyFont="1" applyFill="1"/>
    <xf numFmtId="0" fontId="85" fillId="60" borderId="33" xfId="0" applyFont="1" applyFill="1" applyBorder="1" applyAlignment="1">
      <alignment horizontal="left"/>
    </xf>
    <xf numFmtId="0" fontId="85" fillId="60" borderId="53" xfId="0" applyFont="1" applyFill="1" applyBorder="1"/>
    <xf numFmtId="0" fontId="85" fillId="60" borderId="34" xfId="0" applyFont="1" applyFill="1" applyBorder="1"/>
    <xf numFmtId="0" fontId="21" fillId="0" borderId="25" xfId="0" applyFont="1" applyBorder="1"/>
    <xf numFmtId="2" fontId="53" fillId="0" borderId="10" xfId="0" applyNumberFormat="1" applyFont="1" applyBorder="1"/>
    <xf numFmtId="2" fontId="53" fillId="0" borderId="26" xfId="0" applyNumberFormat="1" applyFont="1" applyBorder="1"/>
    <xf numFmtId="0" fontId="91" fillId="0" borderId="28" xfId="0" applyFont="1" applyBorder="1"/>
    <xf numFmtId="0" fontId="84" fillId="0" borderId="61" xfId="0" applyFont="1" applyBorder="1" applyAlignment="1">
      <alignment horizontal="right"/>
    </xf>
    <xf numFmtId="0" fontId="84" fillId="0" borderId="60" xfId="0" applyFont="1" applyBorder="1" applyAlignment="1">
      <alignment horizontal="right"/>
    </xf>
    <xf numFmtId="0" fontId="84" fillId="62" borderId="37" xfId="0" applyFont="1" applyFill="1" applyBorder="1" applyAlignment="1">
      <alignment horizontal="center"/>
    </xf>
    <xf numFmtId="17" fontId="84" fillId="62" borderId="37" xfId="0" applyNumberFormat="1" applyFont="1" applyFill="1" applyBorder="1" applyAlignment="1">
      <alignment horizontal="center"/>
    </xf>
    <xf numFmtId="0" fontId="84" fillId="62" borderId="25" xfId="0" applyFont="1" applyFill="1" applyBorder="1" applyAlignment="1">
      <alignment horizontal="center"/>
    </xf>
    <xf numFmtId="17" fontId="84" fillId="62" borderId="10" xfId="0" applyNumberFormat="1" applyFont="1" applyFill="1" applyBorder="1" applyAlignment="1">
      <alignment horizontal="center"/>
    </xf>
    <xf numFmtId="17" fontId="84" fillId="62" borderId="26" xfId="0" applyNumberFormat="1" applyFont="1" applyFill="1" applyBorder="1" applyAlignment="1">
      <alignment horizontal="center"/>
    </xf>
    <xf numFmtId="2" fontId="0" fillId="0" borderId="61" xfId="0" applyNumberFormat="1" applyBorder="1"/>
    <xf numFmtId="2" fontId="0" fillId="0" borderId="10" xfId="0" applyNumberFormat="1" applyBorder="1"/>
    <xf numFmtId="0" fontId="0" fillId="0" borderId="30" xfId="0" applyBorder="1"/>
    <xf numFmtId="0" fontId="0" fillId="67" borderId="30" xfId="0" applyFill="1" applyBorder="1"/>
    <xf numFmtId="10" fontId="0" fillId="67" borderId="30" xfId="0" applyNumberFormat="1" applyFill="1" applyBorder="1"/>
    <xf numFmtId="0" fontId="53" fillId="0" borderId="10" xfId="0" applyFont="1" applyBorder="1" applyAlignment="1">
      <alignment horizontal="right"/>
    </xf>
    <xf numFmtId="0" fontId="53" fillId="0" borderId="61" xfId="0" applyFont="1" applyBorder="1" applyAlignment="1">
      <alignment horizontal="right"/>
    </xf>
    <xf numFmtId="9" fontId="53" fillId="0" borderId="0" xfId="2258" applyFont="1" applyBorder="1"/>
    <xf numFmtId="2" fontId="84" fillId="0" borderId="0" xfId="0" applyNumberFormat="1" applyFont="1" applyAlignment="1">
      <alignment horizontal="right"/>
    </xf>
    <xf numFmtId="9" fontId="53" fillId="0" borderId="10" xfId="2258" applyFont="1" applyBorder="1"/>
    <xf numFmtId="9" fontId="53" fillId="0" borderId="10" xfId="2258" applyFont="1" applyBorder="1" applyAlignment="1">
      <alignment horizontal="right"/>
    </xf>
    <xf numFmtId="9" fontId="53" fillId="0" borderId="61" xfId="2258" applyFont="1" applyBorder="1"/>
    <xf numFmtId="9" fontId="53" fillId="0" borderId="61" xfId="2258" applyFont="1" applyBorder="1" applyAlignment="1">
      <alignment horizontal="right"/>
    </xf>
    <xf numFmtId="2" fontId="53" fillId="0" borderId="61" xfId="0" applyNumberFormat="1" applyFont="1" applyBorder="1" applyAlignment="1">
      <alignment horizontal="right"/>
    </xf>
    <xf numFmtId="2" fontId="53" fillId="0" borderId="10" xfId="0" applyNumberFormat="1" applyFont="1" applyBorder="1" applyAlignment="1">
      <alignment horizontal="right"/>
    </xf>
    <xf numFmtId="2" fontId="84" fillId="0" borderId="61" xfId="0" applyNumberFormat="1" applyFont="1" applyBorder="1" applyAlignment="1">
      <alignment horizontal="right"/>
    </xf>
    <xf numFmtId="2" fontId="84" fillId="0" borderId="10" xfId="0" applyNumberFormat="1" applyFont="1" applyBorder="1" applyAlignment="1">
      <alignment horizontal="right"/>
    </xf>
    <xf numFmtId="0" fontId="53" fillId="62" borderId="0" xfId="0" applyFont="1" applyFill="1" applyAlignment="1">
      <alignment horizontal="right"/>
    </xf>
    <xf numFmtId="9" fontId="53" fillId="62" borderId="0" xfId="2258" applyFont="1" applyFill="1" applyBorder="1"/>
    <xf numFmtId="9" fontId="53" fillId="62" borderId="0" xfId="2258" applyFont="1" applyFill="1" applyBorder="1" applyAlignment="1">
      <alignment horizontal="right"/>
    </xf>
    <xf numFmtId="0" fontId="83" fillId="0" borderId="0" xfId="0" applyFont="1"/>
    <xf numFmtId="0" fontId="125" fillId="0" borderId="0" xfId="0" applyFont="1" applyAlignment="1">
      <alignment vertical="center" wrapText="1"/>
    </xf>
    <xf numFmtId="0" fontId="95" fillId="0" borderId="0" xfId="0" applyFont="1" applyAlignment="1">
      <alignment horizontal="center" vertical="center" wrapText="1"/>
    </xf>
    <xf numFmtId="0" fontId="52" fillId="0" borderId="0" xfId="0" applyFont="1" applyAlignment="1">
      <alignment vertical="center" wrapText="1"/>
    </xf>
    <xf numFmtId="186" fontId="52" fillId="0" borderId="0" xfId="0" applyNumberFormat="1" applyFont="1" applyAlignment="1">
      <alignment vertical="center" wrapText="1"/>
    </xf>
    <xf numFmtId="0" fontId="95" fillId="62" borderId="0" xfId="0" applyFont="1" applyFill="1" applyAlignment="1">
      <alignment horizontal="center" vertical="center"/>
    </xf>
    <xf numFmtId="0" fontId="52" fillId="0" borderId="10" xfId="0" applyFont="1" applyBorder="1" applyAlignment="1">
      <alignment vertical="center" wrapText="1"/>
    </xf>
    <xf numFmtId="186" fontId="52" fillId="0" borderId="10" xfId="0" applyNumberFormat="1" applyFont="1" applyBorder="1" applyAlignment="1">
      <alignment vertical="center" wrapText="1"/>
    </xf>
    <xf numFmtId="0" fontId="52" fillId="0" borderId="61" xfId="0" applyFont="1" applyBorder="1" applyAlignment="1">
      <alignment vertical="center" wrapText="1"/>
    </xf>
    <xf numFmtId="186" fontId="52" fillId="0" borderId="61" xfId="0" applyNumberFormat="1" applyFont="1" applyBorder="1" applyAlignment="1">
      <alignment vertical="center" wrapText="1"/>
    </xf>
    <xf numFmtId="0" fontId="95" fillId="0" borderId="30" xfId="0" applyFont="1" applyBorder="1" applyAlignment="1">
      <alignment vertical="center" wrapText="1"/>
    </xf>
    <xf numFmtId="0" fontId="95" fillId="0" borderId="30" xfId="0" applyFont="1" applyBorder="1"/>
    <xf numFmtId="0" fontId="21" fillId="0" borderId="30" xfId="0" applyFont="1" applyBorder="1"/>
    <xf numFmtId="4" fontId="21" fillId="0" borderId="30" xfId="0" applyNumberFormat="1" applyFont="1" applyBorder="1"/>
    <xf numFmtId="3" fontId="21" fillId="0" borderId="10" xfId="0" applyNumberFormat="1" applyFont="1" applyBorder="1"/>
    <xf numFmtId="3" fontId="83" fillId="0" borderId="10" xfId="0" applyNumberFormat="1" applyFont="1" applyBorder="1"/>
    <xf numFmtId="0" fontId="53" fillId="0" borderId="10" xfId="0" applyFont="1" applyBorder="1" applyAlignment="1">
      <alignment horizontal="left" indent="1"/>
    </xf>
    <xf numFmtId="0" fontId="83" fillId="0" borderId="10" xfId="0" applyFont="1" applyBorder="1"/>
    <xf numFmtId="0" fontId="83" fillId="0" borderId="61" xfId="0" applyFont="1" applyBorder="1"/>
    <xf numFmtId="0" fontId="53" fillId="0" borderId="61" xfId="0" applyFont="1" applyBorder="1" applyAlignment="1">
      <alignment horizontal="left" indent="1"/>
    </xf>
    <xf numFmtId="3" fontId="21" fillId="0" borderId="61" xfId="0" applyNumberFormat="1" applyFont="1" applyBorder="1"/>
    <xf numFmtId="0" fontId="136" fillId="0" borderId="0" xfId="0" applyFont="1" applyAlignment="1">
      <alignment horizontal="left"/>
    </xf>
    <xf numFmtId="0" fontId="13" fillId="0" borderId="0" xfId="0" applyFont="1" applyAlignment="1">
      <alignment horizontal="left"/>
    </xf>
    <xf numFmtId="0" fontId="81" fillId="62" borderId="0" xfId="0" applyFont="1" applyFill="1" applyAlignment="1">
      <alignment horizontal="center" vertical="center" wrapText="1"/>
    </xf>
    <xf numFmtId="17" fontId="81" fillId="0" borderId="10" xfId="0" applyNumberFormat="1" applyFont="1" applyBorder="1" applyAlignment="1">
      <alignment horizontal="left" vertical="center" wrapText="1"/>
    </xf>
    <xf numFmtId="0" fontId="121" fillId="0" borderId="10" xfId="0" applyFont="1" applyBorder="1" applyAlignment="1">
      <alignment wrapText="1"/>
    </xf>
    <xf numFmtId="17" fontId="124" fillId="0" borderId="61" xfId="0" applyNumberFormat="1" applyFont="1" applyBorder="1" applyAlignment="1">
      <alignment horizontal="left" vertical="center" wrapText="1"/>
    </xf>
    <xf numFmtId="0" fontId="121" fillId="0" borderId="61" xfId="0" applyFont="1" applyBorder="1" applyAlignment="1">
      <alignment wrapText="1"/>
    </xf>
    <xf numFmtId="0" fontId="123" fillId="0" borderId="61" xfId="0" applyFont="1" applyBorder="1" applyAlignment="1">
      <alignment wrapText="1"/>
    </xf>
    <xf numFmtId="0" fontId="81" fillId="0" borderId="10" xfId="0" applyFont="1" applyBorder="1"/>
    <xf numFmtId="4" fontId="80" fillId="0" borderId="10" xfId="0" applyNumberFormat="1" applyFont="1" applyBorder="1" applyAlignment="1">
      <alignment wrapText="1"/>
    </xf>
    <xf numFmtId="0" fontId="16" fillId="0" borderId="61" xfId="0" applyFont="1" applyBorder="1"/>
    <xf numFmtId="9" fontId="0" fillId="0" borderId="61" xfId="0" applyNumberFormat="1" applyBorder="1"/>
    <xf numFmtId="180" fontId="0" fillId="0" borderId="61" xfId="0" applyNumberFormat="1" applyBorder="1"/>
    <xf numFmtId="0" fontId="16" fillId="62" borderId="0" xfId="0" applyFont="1" applyFill="1" applyAlignment="1">
      <alignment horizontal="right"/>
    </xf>
    <xf numFmtId="0" fontId="122" fillId="0" borderId="61" xfId="0" applyFont="1" applyBorder="1"/>
    <xf numFmtId="0" fontId="17" fillId="63" borderId="0" xfId="0" applyFont="1" applyFill="1" applyAlignment="1">
      <alignment horizontal="right"/>
    </xf>
    <xf numFmtId="10" fontId="83" fillId="0" borderId="61" xfId="0" applyNumberFormat="1" applyFont="1" applyBorder="1"/>
    <xf numFmtId="0" fontId="0" fillId="0" borderId="30" xfId="0" applyBorder="1" applyAlignment="1">
      <alignment horizontal="right"/>
    </xf>
    <xf numFmtId="4" fontId="137" fillId="0" borderId="30" xfId="0" applyNumberFormat="1" applyFont="1" applyBorder="1" applyAlignment="1">
      <alignment wrapText="1"/>
    </xf>
    <xf numFmtId="0" fontId="13" fillId="60" borderId="0" xfId="0" applyFont="1" applyFill="1"/>
    <xf numFmtId="180" fontId="21" fillId="0" borderId="58" xfId="0" applyNumberFormat="1" applyFont="1" applyBorder="1"/>
    <xf numFmtId="3" fontId="53" fillId="0" borderId="61" xfId="0" applyNumberFormat="1" applyFont="1" applyBorder="1" applyAlignment="1">
      <alignment horizontal="right"/>
    </xf>
    <xf numFmtId="10" fontId="84" fillId="59" borderId="0" xfId="0" applyNumberFormat="1" applyFont="1" applyFill="1" applyAlignment="1">
      <alignment horizontal="left" vertical="center"/>
    </xf>
    <xf numFmtId="168" fontId="16" fillId="0" borderId="63" xfId="0" applyNumberFormat="1" applyFont="1" applyBorder="1" applyAlignment="1">
      <alignment wrapText="1"/>
    </xf>
    <xf numFmtId="168" fontId="13" fillId="0" borderId="0" xfId="0" applyNumberFormat="1" applyFont="1" applyAlignment="1">
      <alignment horizontal="center" wrapText="1"/>
    </xf>
    <xf numFmtId="168" fontId="17" fillId="0" borderId="0" xfId="0" applyNumberFormat="1" applyFont="1" applyAlignment="1">
      <alignment wrapText="1"/>
    </xf>
    <xf numFmtId="168" fontId="13" fillId="63" borderId="0" xfId="0" applyNumberFormat="1" applyFont="1" applyFill="1" applyAlignment="1">
      <alignment wrapText="1"/>
    </xf>
    <xf numFmtId="168" fontId="16" fillId="62" borderId="0" xfId="0" applyNumberFormat="1" applyFont="1" applyFill="1" applyAlignment="1">
      <alignment horizontal="center" wrapText="1"/>
    </xf>
    <xf numFmtId="0" fontId="82" fillId="0" borderId="0" xfId="0" applyFont="1"/>
    <xf numFmtId="0" fontId="53" fillId="59" borderId="53" xfId="0" applyFont="1" applyFill="1" applyBorder="1" applyAlignment="1">
      <alignment horizontal="center" vertical="center"/>
    </xf>
    <xf numFmtId="0" fontId="84" fillId="59" borderId="53" xfId="0" applyFont="1" applyFill="1" applyBorder="1" applyAlignment="1">
      <alignment horizontal="center" vertical="center"/>
    </xf>
    <xf numFmtId="0" fontId="53" fillId="0" borderId="0" xfId="0" applyFont="1" applyAlignment="1">
      <alignment horizontal="left" wrapText="1"/>
    </xf>
    <xf numFmtId="0" fontId="91" fillId="0" borderId="0" xfId="0" applyFont="1" applyAlignment="1">
      <alignment horizontal="left"/>
    </xf>
    <xf numFmtId="0" fontId="139" fillId="0" borderId="0" xfId="0" applyFont="1"/>
    <xf numFmtId="0" fontId="84" fillId="59" borderId="53" xfId="0" applyFont="1" applyFill="1" applyBorder="1"/>
    <xf numFmtId="179" fontId="53" fillId="0" borderId="10" xfId="0" applyNumberFormat="1" applyFont="1" applyBorder="1" applyAlignment="1">
      <alignment horizontal="center"/>
    </xf>
    <xf numFmtId="0" fontId="115" fillId="59" borderId="0" xfId="0" applyFont="1" applyFill="1"/>
    <xf numFmtId="0" fontId="108" fillId="59" borderId="0" xfId="0" applyFont="1" applyFill="1"/>
    <xf numFmtId="0" fontId="0" fillId="62" borderId="61" xfId="0" applyFill="1" applyBorder="1"/>
    <xf numFmtId="0" fontId="141" fillId="0" borderId="0" xfId="0" applyFont="1"/>
    <xf numFmtId="0" fontId="20" fillId="0" borderId="35" xfId="133" applyFont="1" applyBorder="1" applyAlignment="1">
      <alignment horizontal="left" vertical="top" wrapText="1"/>
    </xf>
    <xf numFmtId="10" fontId="83" fillId="0" borderId="10" xfId="0" applyNumberFormat="1" applyFont="1" applyBorder="1"/>
    <xf numFmtId="0" fontId="53" fillId="0" borderId="64" xfId="0" applyFont="1" applyBorder="1" applyAlignment="1">
      <alignment horizontal="center"/>
    </xf>
    <xf numFmtId="38" fontId="21" fillId="0" borderId="0" xfId="0" applyNumberFormat="1" applyFont="1" applyAlignment="1">
      <alignment horizontal="right"/>
    </xf>
    <xf numFmtId="0" fontId="88" fillId="0" borderId="61" xfId="0" applyFont="1" applyBorder="1" applyAlignment="1">
      <alignment vertical="center"/>
    </xf>
    <xf numFmtId="0" fontId="88" fillId="0" borderId="61" xfId="0" applyFont="1" applyBorder="1" applyAlignment="1">
      <alignment horizontal="center" vertical="center" wrapText="1"/>
    </xf>
    <xf numFmtId="0" fontId="88" fillId="70" borderId="61" xfId="0" applyFont="1" applyFill="1" applyBorder="1" applyAlignment="1">
      <alignment horizontal="center" vertical="center" wrapText="1"/>
    </xf>
    <xf numFmtId="0" fontId="87" fillId="71" borderId="61" xfId="0" applyFont="1" applyFill="1" applyBorder="1" applyAlignment="1">
      <alignment vertical="center"/>
    </xf>
    <xf numFmtId="1" fontId="87" fillId="71" borderId="61" xfId="0" applyNumberFormat="1" applyFont="1" applyFill="1" applyBorder="1" applyAlignment="1">
      <alignment horizontal="right" vertical="center"/>
    </xf>
    <xf numFmtId="1" fontId="87" fillId="70" borderId="61" xfId="0" applyNumberFormat="1" applyFont="1" applyFill="1" applyBorder="1" applyAlignment="1">
      <alignment horizontal="right" vertical="center"/>
    </xf>
    <xf numFmtId="1" fontId="88" fillId="62" borderId="61" xfId="0" applyNumberFormat="1" applyFont="1" applyFill="1" applyBorder="1" applyAlignment="1">
      <alignment horizontal="right" vertical="center"/>
    </xf>
    <xf numFmtId="1" fontId="88" fillId="61" borderId="61" xfId="0" applyNumberFormat="1" applyFont="1" applyFill="1" applyBorder="1" applyAlignment="1">
      <alignment horizontal="right" vertical="center"/>
    </xf>
    <xf numFmtId="1" fontId="87" fillId="74" borderId="61" xfId="0" applyNumberFormat="1" applyFont="1" applyFill="1" applyBorder="1" applyAlignment="1">
      <alignment horizontal="right" vertical="center"/>
    </xf>
    <xf numFmtId="0" fontId="88" fillId="67" borderId="61" xfId="0" applyFont="1" applyFill="1" applyBorder="1" applyAlignment="1">
      <alignment horizontal="center" vertical="center" wrapText="1"/>
    </xf>
    <xf numFmtId="1" fontId="87" fillId="0" borderId="61" xfId="0" applyNumberFormat="1" applyFont="1" applyBorder="1" applyAlignment="1">
      <alignment horizontal="right" vertical="center"/>
    </xf>
    <xf numFmtId="1" fontId="87" fillId="67" borderId="61" xfId="0" applyNumberFormat="1" applyFont="1" applyFill="1" applyBorder="1" applyAlignment="1">
      <alignment horizontal="right" vertical="center"/>
    </xf>
    <xf numFmtId="0" fontId="87" fillId="0" borderId="61" xfId="0" applyFont="1" applyBorder="1" applyAlignment="1">
      <alignment vertical="center"/>
    </xf>
    <xf numFmtId="180" fontId="103" fillId="0" borderId="53" xfId="0" applyNumberFormat="1" applyFont="1" applyBorder="1" applyAlignment="1">
      <alignment horizontal="right"/>
    </xf>
    <xf numFmtId="0" fontId="84" fillId="0" borderId="61" xfId="0" applyFont="1" applyBorder="1" applyAlignment="1">
      <alignment horizontal="left"/>
    </xf>
    <xf numFmtId="9" fontId="21" fillId="0" borderId="61" xfId="0" applyNumberFormat="1" applyFont="1" applyBorder="1" applyAlignment="1">
      <alignment horizontal="right"/>
    </xf>
    <xf numFmtId="183" fontId="21" fillId="0" borderId="60" xfId="0" applyNumberFormat="1" applyFont="1" applyBorder="1"/>
    <xf numFmtId="185" fontId="53" fillId="0" borderId="62" xfId="0" applyNumberFormat="1" applyFont="1" applyBorder="1"/>
    <xf numFmtId="185" fontId="84" fillId="0" borderId="61" xfId="0" applyNumberFormat="1" applyFont="1" applyBorder="1"/>
    <xf numFmtId="185" fontId="84" fillId="0" borderId="60" xfId="0" applyNumberFormat="1" applyFont="1" applyBorder="1"/>
    <xf numFmtId="2" fontId="53" fillId="76" borderId="61" xfId="0" applyNumberFormat="1" applyFont="1" applyFill="1" applyBorder="1"/>
    <xf numFmtId="9" fontId="109" fillId="0" borderId="60" xfId="0" applyNumberFormat="1" applyFont="1" applyBorder="1"/>
    <xf numFmtId="0" fontId="53" fillId="0" borderId="60" xfId="0" applyFont="1" applyBorder="1"/>
    <xf numFmtId="0" fontId="53" fillId="0" borderId="60" xfId="0" applyFont="1" applyBorder="1" applyAlignment="1">
      <alignment wrapText="1"/>
    </xf>
    <xf numFmtId="2" fontId="53" fillId="76" borderId="61" xfId="0" applyNumberFormat="1" applyFont="1" applyFill="1" applyBorder="1" applyAlignment="1">
      <alignment horizontal="right"/>
    </xf>
    <xf numFmtId="2" fontId="53" fillId="76" borderId="60" xfId="0" applyNumberFormat="1" applyFont="1" applyFill="1" applyBorder="1" applyAlignment="1">
      <alignment horizontal="right"/>
    </xf>
    <xf numFmtId="1" fontId="53" fillId="0" borderId="61" xfId="0" applyNumberFormat="1" applyFont="1" applyBorder="1"/>
    <xf numFmtId="9" fontId="53" fillId="0" borderId="62" xfId="2258" applyFont="1" applyBorder="1" applyAlignment="1">
      <alignment horizontal="right"/>
    </xf>
    <xf numFmtId="0" fontId="91" fillId="0" borderId="61" xfId="0" applyFont="1" applyBorder="1"/>
    <xf numFmtId="3" fontId="91" fillId="0" borderId="61" xfId="0" applyNumberFormat="1" applyFont="1" applyBorder="1"/>
    <xf numFmtId="37" fontId="84" fillId="0" borderId="61" xfId="0" applyNumberFormat="1" applyFont="1" applyBorder="1" applyAlignment="1">
      <alignment horizontal="center"/>
    </xf>
    <xf numFmtId="3" fontId="84" fillId="0" borderId="61" xfId="0" applyNumberFormat="1" applyFont="1" applyBorder="1" applyAlignment="1">
      <alignment horizontal="center"/>
    </xf>
    <xf numFmtId="38" fontId="53" fillId="0" borderId="61" xfId="0" applyNumberFormat="1" applyFont="1" applyBorder="1" applyAlignment="1">
      <alignment horizontal="center"/>
    </xf>
    <xf numFmtId="1" fontId="53" fillId="0" borderId="60" xfId="0" applyNumberFormat="1" applyFont="1" applyBorder="1" applyAlignment="1">
      <alignment horizontal="center"/>
    </xf>
    <xf numFmtId="10" fontId="53" fillId="0" borderId="61" xfId="0" applyNumberFormat="1" applyFont="1" applyBorder="1" applyAlignment="1">
      <alignment horizontal="right"/>
    </xf>
    <xf numFmtId="3" fontId="21" fillId="0" borderId="10" xfId="0" applyNumberFormat="1" applyFont="1" applyBorder="1" applyAlignment="1">
      <alignment horizontal="right"/>
    </xf>
    <xf numFmtId="3" fontId="16" fillId="0" borderId="0" xfId="0" applyNumberFormat="1" applyFont="1"/>
    <xf numFmtId="0" fontId="0" fillId="0" borderId="0" xfId="0" applyAlignment="1">
      <alignment wrapText="1"/>
    </xf>
    <xf numFmtId="1" fontId="88" fillId="0" borderId="0" xfId="0" applyNumberFormat="1" applyFont="1" applyAlignment="1">
      <alignment horizontal="right" vertical="center"/>
    </xf>
    <xf numFmtId="2" fontId="87" fillId="0" borderId="0" xfId="0" applyNumberFormat="1" applyFont="1" applyAlignment="1">
      <alignment horizontal="right" vertical="center"/>
    </xf>
    <xf numFmtId="0" fontId="84" fillId="62" borderId="29" xfId="0" applyFont="1" applyFill="1" applyBorder="1"/>
    <xf numFmtId="0" fontId="84" fillId="62" borderId="31" xfId="0" applyFont="1" applyFill="1" applyBorder="1"/>
    <xf numFmtId="1" fontId="53" fillId="0" borderId="11" xfId="0" applyNumberFormat="1" applyFont="1" applyBorder="1"/>
    <xf numFmtId="180" fontId="53" fillId="0" borderId="11" xfId="2258" applyNumberFormat="1" applyFont="1" applyBorder="1"/>
    <xf numFmtId="9" fontId="53" fillId="0" borderId="11" xfId="0" applyNumberFormat="1" applyFont="1" applyBorder="1"/>
    <xf numFmtId="0" fontId="53" fillId="0" borderId="28" xfId="0" applyFont="1" applyBorder="1" applyAlignment="1">
      <alignment wrapText="1"/>
    </xf>
    <xf numFmtId="9" fontId="53" fillId="0" borderId="60" xfId="2258" applyFont="1" applyBorder="1"/>
    <xf numFmtId="0" fontId="84" fillId="62" borderId="29" xfId="0" applyFont="1" applyFill="1" applyBorder="1" applyAlignment="1">
      <alignment horizontal="left"/>
    </xf>
    <xf numFmtId="0" fontId="90" fillId="62" borderId="30" xfId="0" applyFont="1" applyFill="1" applyBorder="1" applyAlignment="1">
      <alignment horizontal="center"/>
    </xf>
    <xf numFmtId="0" fontId="90" fillId="62" borderId="31" xfId="0" applyFont="1" applyFill="1" applyBorder="1" applyAlignment="1">
      <alignment horizontal="center"/>
    </xf>
    <xf numFmtId="1" fontId="53" fillId="59" borderId="11" xfId="0" applyNumberFormat="1" applyFont="1" applyFill="1" applyBorder="1"/>
    <xf numFmtId="3" fontId="53" fillId="0" borderId="11" xfId="0" applyNumberFormat="1" applyFont="1" applyBorder="1"/>
    <xf numFmtId="0" fontId="84" fillId="0" borderId="28" xfId="0" applyFont="1" applyBorder="1"/>
    <xf numFmtId="1" fontId="53" fillId="0" borderId="60" xfId="0" applyNumberFormat="1" applyFont="1" applyBorder="1"/>
    <xf numFmtId="179" fontId="53" fillId="0" borderId="61" xfId="0" applyNumberFormat="1" applyFont="1" applyBorder="1"/>
    <xf numFmtId="179" fontId="53" fillId="0" borderId="60" xfId="0" applyNumberFormat="1" applyFont="1" applyBorder="1"/>
    <xf numFmtId="0" fontId="53" fillId="0" borderId="25" xfId="0" applyFont="1" applyBorder="1"/>
    <xf numFmtId="1" fontId="53" fillId="0" borderId="11" xfId="0" applyNumberFormat="1" applyFont="1" applyBorder="1" applyAlignment="1">
      <alignment horizontal="center"/>
    </xf>
    <xf numFmtId="1" fontId="53" fillId="0" borderId="61" xfId="0" applyNumberFormat="1" applyFont="1" applyBorder="1" applyAlignment="1">
      <alignment horizontal="center"/>
    </xf>
    <xf numFmtId="0" fontId="114" fillId="0" borderId="0" xfId="0" applyFont="1" applyAlignment="1">
      <alignment horizontal="right"/>
    </xf>
    <xf numFmtId="0" fontId="81" fillId="0" borderId="30" xfId="0" applyFont="1" applyBorder="1" applyAlignment="1">
      <alignment wrapText="1"/>
    </xf>
    <xf numFmtId="3" fontId="123" fillId="0" borderId="0" xfId="0" applyNumberFormat="1" applyFont="1" applyAlignment="1">
      <alignment wrapText="1"/>
    </xf>
    <xf numFmtId="1" fontId="98" fillId="59" borderId="0" xfId="0" applyNumberFormat="1" applyFont="1" applyFill="1"/>
    <xf numFmtId="180" fontId="21" fillId="0" borderId="51" xfId="2258" applyNumberFormat="1" applyFont="1" applyBorder="1"/>
    <xf numFmtId="0" fontId="0" fillId="60" borderId="0" xfId="0" applyFill="1"/>
    <xf numFmtId="0" fontId="122" fillId="0" borderId="0" xfId="0" applyFont="1" applyAlignment="1">
      <alignment horizontal="left" vertical="center" wrapText="1"/>
    </xf>
    <xf numFmtId="0" fontId="16" fillId="0" borderId="35" xfId="2261" applyFont="1" applyBorder="1"/>
    <xf numFmtId="0" fontId="117" fillId="59" borderId="35" xfId="2261" applyFont="1" applyFill="1" applyBorder="1"/>
    <xf numFmtId="14" fontId="0" fillId="0" borderId="35" xfId="2261" applyNumberFormat="1" applyFont="1" applyBorder="1" applyAlignment="1">
      <alignment horizontal="left"/>
    </xf>
    <xf numFmtId="0" fontId="0" fillId="0" borderId="35" xfId="2261" applyFont="1" applyBorder="1" applyAlignment="1">
      <alignment horizontal="left" wrapText="1"/>
    </xf>
    <xf numFmtId="0" fontId="53" fillId="0" borderId="35" xfId="0" applyFont="1" applyBorder="1"/>
    <xf numFmtId="0" fontId="143" fillId="59" borderId="0" xfId="0" quotePrefix="1" applyFont="1" applyFill="1" applyAlignment="1">
      <alignment horizontal="left"/>
    </xf>
    <xf numFmtId="0" fontId="108" fillId="0" borderId="0" xfId="0" applyFont="1" applyAlignment="1">
      <alignment horizontal="left"/>
    </xf>
    <xf numFmtId="0" fontId="108" fillId="0" borderId="0" xfId="0" applyFont="1" applyAlignment="1">
      <alignment wrapText="1"/>
    </xf>
    <xf numFmtId="0" fontId="108" fillId="0" borderId="0" xfId="0" applyFont="1" applyAlignment="1">
      <alignment vertical="center" wrapText="1"/>
    </xf>
    <xf numFmtId="0" fontId="122" fillId="0" borderId="0" xfId="0" applyFont="1" applyAlignment="1">
      <alignment horizontal="left" vertical="center"/>
    </xf>
    <xf numFmtId="0" fontId="84" fillId="61" borderId="10" xfId="0" applyFont="1" applyFill="1" applyBorder="1" applyAlignment="1">
      <alignment horizontal="left" vertical="center" wrapText="1"/>
    </xf>
    <xf numFmtId="0" fontId="84" fillId="61" borderId="26" xfId="0" applyFont="1" applyFill="1" applyBorder="1" applyAlignment="1">
      <alignment horizontal="left" vertical="center" wrapText="1"/>
    </xf>
    <xf numFmtId="0" fontId="84" fillId="61" borderId="0" xfId="0" applyFont="1" applyFill="1" applyAlignment="1">
      <alignment horizontal="left" vertical="center" wrapText="1"/>
    </xf>
    <xf numFmtId="0" fontId="84" fillId="61" borderId="11" xfId="0" applyFont="1" applyFill="1" applyBorder="1" applyAlignment="1">
      <alignment horizontal="left" vertical="center" wrapText="1"/>
    </xf>
    <xf numFmtId="0" fontId="84" fillId="61" borderId="61" xfId="0" applyFont="1" applyFill="1" applyBorder="1" applyAlignment="1">
      <alignment horizontal="left" vertical="center" wrapText="1"/>
    </xf>
    <xf numFmtId="0" fontId="84" fillId="61" borderId="60" xfId="0" applyFont="1" applyFill="1" applyBorder="1" applyAlignment="1">
      <alignment horizontal="left" vertical="center" wrapText="1"/>
    </xf>
    <xf numFmtId="0" fontId="53" fillId="61" borderId="25" xfId="0" applyFont="1" applyFill="1" applyBorder="1" applyAlignment="1">
      <alignment horizontal="left" vertical="center"/>
    </xf>
    <xf numFmtId="0" fontId="53" fillId="61" borderId="28" xfId="0" applyFont="1" applyFill="1" applyBorder="1" applyAlignment="1">
      <alignment horizontal="left" vertical="center"/>
    </xf>
    <xf numFmtId="0" fontId="85" fillId="62" borderId="0" xfId="0" applyFont="1" applyFill="1"/>
    <xf numFmtId="0" fontId="144" fillId="63" borderId="0" xfId="0" applyFont="1" applyFill="1" applyAlignment="1">
      <alignment horizontal="center" vertical="center" wrapText="1"/>
    </xf>
    <xf numFmtId="4" fontId="83" fillId="0" borderId="30" xfId="0" applyNumberFormat="1" applyFont="1" applyBorder="1" applyAlignment="1">
      <alignment horizontal="right"/>
    </xf>
    <xf numFmtId="0" fontId="83" fillId="0" borderId="0" xfId="0" applyFont="1" applyAlignment="1">
      <alignment horizontal="right"/>
    </xf>
    <xf numFmtId="3" fontId="142" fillId="0" borderId="0" xfId="0" applyNumberFormat="1" applyFont="1" applyAlignment="1">
      <alignment horizontal="right"/>
    </xf>
    <xf numFmtId="0" fontId="142" fillId="0" borderId="0" xfId="0" applyFont="1" applyAlignment="1">
      <alignment horizontal="right"/>
    </xf>
    <xf numFmtId="0" fontId="16" fillId="0" borderId="30" xfId="0" applyFont="1" applyBorder="1" applyAlignment="1">
      <alignment horizontal="right"/>
    </xf>
    <xf numFmtId="3" fontId="16" fillId="0" borderId="30" xfId="0" applyNumberFormat="1" applyFont="1" applyBorder="1" applyAlignment="1">
      <alignment horizontal="right"/>
    </xf>
    <xf numFmtId="3" fontId="16" fillId="0" borderId="0" xfId="0" applyNumberFormat="1" applyFont="1" applyAlignment="1">
      <alignment horizontal="right"/>
    </xf>
    <xf numFmtId="0" fontId="117" fillId="0" borderId="10" xfId="0" applyFont="1" applyBorder="1" applyAlignment="1">
      <alignment horizontal="right" wrapText="1"/>
    </xf>
    <xf numFmtId="4" fontId="23" fillId="0" borderId="10" xfId="0" applyNumberFormat="1" applyFont="1" applyBorder="1" applyAlignment="1">
      <alignment horizontal="right" wrapText="1"/>
    </xf>
    <xf numFmtId="0" fontId="23" fillId="0" borderId="10" xfId="0" applyFont="1" applyBorder="1" applyAlignment="1">
      <alignment horizontal="right" wrapText="1"/>
    </xf>
    <xf numFmtId="0" fontId="118" fillId="0" borderId="0" xfId="0" applyFont="1" applyAlignment="1">
      <alignment horizontal="right" wrapText="1"/>
    </xf>
    <xf numFmtId="0" fontId="119" fillId="0" borderId="0" xfId="0" applyFont="1" applyAlignment="1">
      <alignment horizontal="right" wrapText="1"/>
    </xf>
    <xf numFmtId="0" fontId="117" fillId="0" borderId="0" xfId="0" applyFont="1" applyAlignment="1">
      <alignment horizontal="right" wrapText="1"/>
    </xf>
    <xf numFmtId="4" fontId="23" fillId="0" borderId="0" xfId="0" applyNumberFormat="1" applyFont="1" applyAlignment="1">
      <alignment horizontal="right" wrapText="1"/>
    </xf>
    <xf numFmtId="0" fontId="23" fillId="0" borderId="0" xfId="0" applyFont="1" applyAlignment="1">
      <alignment horizontal="right" wrapText="1"/>
    </xf>
    <xf numFmtId="0" fontId="116" fillId="0" borderId="30" xfId="0" applyFont="1" applyBorder="1" applyAlignment="1">
      <alignment horizontal="right"/>
    </xf>
    <xf numFmtId="0" fontId="116" fillId="0" borderId="30" xfId="0" applyFont="1" applyBorder="1" applyAlignment="1">
      <alignment horizontal="right" wrapText="1"/>
    </xf>
    <xf numFmtId="0" fontId="145" fillId="63" borderId="0" xfId="0" applyFont="1" applyFill="1"/>
    <xf numFmtId="4" fontId="0" fillId="0" borderId="0" xfId="0" applyNumberFormat="1" applyAlignment="1">
      <alignment horizontal="right"/>
    </xf>
    <xf numFmtId="4" fontId="0" fillId="0" borderId="30" xfId="0" applyNumberFormat="1" applyBorder="1" applyAlignment="1">
      <alignment horizontal="right"/>
    </xf>
    <xf numFmtId="10" fontId="0" fillId="0" borderId="0" xfId="0" applyNumberFormat="1" applyAlignment="1">
      <alignment horizontal="right"/>
    </xf>
    <xf numFmtId="0" fontId="102" fillId="60" borderId="0" xfId="0" applyFont="1" applyFill="1"/>
    <xf numFmtId="0" fontId="146" fillId="60" borderId="0" xfId="0" applyFont="1" applyFill="1"/>
    <xf numFmtId="0" fontId="145" fillId="60" borderId="0" xfId="0" applyFont="1" applyFill="1"/>
    <xf numFmtId="0" fontId="147" fillId="63" borderId="0" xfId="0" applyFont="1" applyFill="1" applyAlignment="1">
      <alignment horizontal="center" vertical="center" wrapText="1"/>
    </xf>
    <xf numFmtId="9" fontId="0" fillId="0" borderId="10" xfId="0" applyNumberFormat="1" applyBorder="1"/>
    <xf numFmtId="0" fontId="111" fillId="63" borderId="0" xfId="0" applyFont="1" applyFill="1" applyAlignment="1">
      <alignment horizontal="right"/>
    </xf>
    <xf numFmtId="0" fontId="134" fillId="63" borderId="0" xfId="0" applyFont="1" applyFill="1" applyAlignment="1">
      <alignment horizontal="right"/>
    </xf>
    <xf numFmtId="0" fontId="84" fillId="60" borderId="0" xfId="0" applyFont="1" applyFill="1"/>
    <xf numFmtId="2" fontId="23" fillId="0" borderId="10" xfId="0" applyNumberFormat="1" applyFont="1" applyBorder="1" applyAlignment="1">
      <alignment horizontal="right" wrapText="1"/>
    </xf>
    <xf numFmtId="2" fontId="0" fillId="0" borderId="10" xfId="0" applyNumberFormat="1" applyBorder="1" applyAlignment="1">
      <alignment horizontal="right"/>
    </xf>
    <xf numFmtId="2" fontId="23" fillId="0" borderId="0" xfId="0" applyNumberFormat="1" applyFont="1" applyAlignment="1">
      <alignment horizontal="right" wrapText="1"/>
    </xf>
    <xf numFmtId="2" fontId="0" fillId="0" borderId="0" xfId="0" applyNumberFormat="1" applyAlignment="1">
      <alignment horizontal="right"/>
    </xf>
    <xf numFmtId="9" fontId="21" fillId="0" borderId="0" xfId="0" applyNumberFormat="1" applyFont="1" applyAlignment="1">
      <alignment horizontal="center"/>
    </xf>
    <xf numFmtId="0" fontId="134" fillId="63" borderId="0" xfId="0" applyFont="1" applyFill="1" applyAlignment="1">
      <alignment horizontal="left"/>
    </xf>
    <xf numFmtId="0" fontId="90" fillId="0" borderId="61" xfId="0" applyFont="1" applyBorder="1"/>
    <xf numFmtId="0" fontId="13" fillId="0" borderId="0" xfId="19" applyFont="1" applyFill="1"/>
    <xf numFmtId="0" fontId="16" fillId="0" borderId="0" xfId="19" applyFont="1" applyFill="1"/>
    <xf numFmtId="0" fontId="1" fillId="0" borderId="0" xfId="19" applyFill="1"/>
    <xf numFmtId="0" fontId="122" fillId="0" borderId="0" xfId="19" applyFont="1" applyFill="1"/>
    <xf numFmtId="9" fontId="53" fillId="55" borderId="0" xfId="2258" applyFont="1" applyFill="1" applyBorder="1" applyAlignment="1">
      <alignment horizontal="right"/>
    </xf>
    <xf numFmtId="9" fontId="53" fillId="55" borderId="14" xfId="2258" applyFont="1" applyFill="1" applyBorder="1" applyAlignment="1">
      <alignment horizontal="right"/>
    </xf>
    <xf numFmtId="9" fontId="53" fillId="55" borderId="0" xfId="2258" applyFont="1" applyFill="1" applyAlignment="1">
      <alignment horizontal="right"/>
    </xf>
    <xf numFmtId="4" fontId="142" fillId="0" borderId="30" xfId="0" applyNumberFormat="1" applyFont="1" applyBorder="1" applyAlignment="1">
      <alignment horizontal="right"/>
    </xf>
    <xf numFmtId="0" fontId="118" fillId="0" borderId="10" xfId="0" applyFont="1" applyBorder="1" applyAlignment="1">
      <alignment horizontal="right" wrapText="1"/>
    </xf>
    <xf numFmtId="0" fontId="53" fillId="61" borderId="27" xfId="0" applyFont="1" applyFill="1" applyBorder="1" applyAlignment="1">
      <alignment horizontal="left" vertical="center"/>
    </xf>
    <xf numFmtId="0" fontId="85" fillId="63" borderId="35" xfId="0" applyFont="1" applyFill="1" applyBorder="1" applyAlignment="1">
      <alignment horizontal="left"/>
    </xf>
    <xf numFmtId="0" fontId="85" fillId="0" borderId="0" xfId="0" applyFont="1" applyAlignment="1">
      <alignment horizontal="left"/>
    </xf>
    <xf numFmtId="1" fontId="84" fillId="0" borderId="0" xfId="0" applyNumberFormat="1" applyFont="1"/>
    <xf numFmtId="1" fontId="85" fillId="60" borderId="0" xfId="0" applyNumberFormat="1" applyFont="1" applyFill="1"/>
    <xf numFmtId="1" fontId="89" fillId="60" borderId="0" xfId="0" applyNumberFormat="1" applyFont="1" applyFill="1"/>
    <xf numFmtId="0" fontId="48" fillId="73" borderId="35" xfId="133" applyFont="1" applyFill="1" applyBorder="1" applyAlignment="1">
      <alignment horizontal="left" vertical="top"/>
    </xf>
    <xf numFmtId="0" fontId="48" fillId="76" borderId="35" xfId="133" applyFont="1" applyFill="1" applyBorder="1" applyAlignment="1">
      <alignment horizontal="left" vertical="top"/>
    </xf>
    <xf numFmtId="0" fontId="20" fillId="71" borderId="35" xfId="133" applyFont="1" applyFill="1" applyBorder="1" applyAlignment="1">
      <alignment horizontal="left" vertical="top" wrapText="1"/>
    </xf>
    <xf numFmtId="0" fontId="20" fillId="59" borderId="35" xfId="133" applyFont="1" applyFill="1" applyBorder="1" applyAlignment="1">
      <alignment horizontal="left" vertical="top"/>
    </xf>
    <xf numFmtId="0" fontId="18" fillId="71" borderId="35" xfId="2259" applyFill="1" applyBorder="1" applyAlignment="1">
      <alignment horizontal="left" vertical="top" wrapText="1"/>
    </xf>
    <xf numFmtId="0" fontId="18" fillId="0" borderId="35" xfId="2259" applyBorder="1" applyAlignment="1">
      <alignment horizontal="left" vertical="top" wrapText="1"/>
    </xf>
    <xf numFmtId="0" fontId="20" fillId="0" borderId="56" xfId="133" applyFont="1" applyBorder="1" applyAlignment="1">
      <alignment horizontal="left" vertical="top" wrapText="1"/>
    </xf>
    <xf numFmtId="0" fontId="20" fillId="59" borderId="35" xfId="133" applyFont="1" applyFill="1" applyBorder="1" applyAlignment="1">
      <alignment horizontal="left" vertical="top" wrapText="1"/>
    </xf>
    <xf numFmtId="0" fontId="18" fillId="0" borderId="35" xfId="2259" applyFill="1" applyBorder="1" applyAlignment="1">
      <alignment horizontal="left" vertical="top"/>
    </xf>
    <xf numFmtId="0" fontId="18" fillId="59" borderId="35" xfId="2259" applyFill="1" applyBorder="1" applyAlignment="1">
      <alignment horizontal="left" vertical="top" wrapText="1"/>
    </xf>
    <xf numFmtId="0" fontId="18" fillId="0" borderId="56" xfId="2259" applyBorder="1" applyAlignment="1">
      <alignment horizontal="left" vertical="top" wrapText="1"/>
    </xf>
    <xf numFmtId="0" fontId="18" fillId="0" borderId="35" xfId="2259" applyBorder="1" applyAlignment="1">
      <alignment horizontal="left" vertical="top"/>
    </xf>
    <xf numFmtId="0" fontId="20" fillId="0" borderId="34" xfId="133" applyFont="1" applyBorder="1" applyAlignment="1">
      <alignment horizontal="left" vertical="top" wrapText="1"/>
    </xf>
    <xf numFmtId="0" fontId="20" fillId="71" borderId="34" xfId="133" applyFont="1" applyFill="1" applyBorder="1" applyAlignment="1">
      <alignment horizontal="left" vertical="top" wrapText="1"/>
    </xf>
    <xf numFmtId="0" fontId="19" fillId="71" borderId="56" xfId="2259" applyFont="1" applyFill="1" applyBorder="1" applyAlignment="1">
      <alignment horizontal="left" vertical="top" wrapText="1"/>
    </xf>
    <xf numFmtId="189" fontId="84" fillId="0" borderId="0" xfId="0" applyNumberFormat="1" applyFont="1"/>
    <xf numFmtId="0" fontId="90" fillId="0" borderId="53" xfId="0" applyFont="1" applyBorder="1"/>
    <xf numFmtId="1" fontId="104" fillId="77" borderId="65" xfId="0" applyNumberFormat="1" applyFont="1" applyFill="1" applyBorder="1" applyAlignment="1">
      <alignment horizontal="right"/>
    </xf>
    <xf numFmtId="0" fontId="106" fillId="59" borderId="0" xfId="0" applyFont="1" applyFill="1" applyAlignment="1">
      <alignment vertical="center"/>
    </xf>
    <xf numFmtId="0" fontId="20" fillId="0" borderId="65" xfId="133" applyFont="1" applyBorder="1"/>
    <xf numFmtId="0" fontId="20" fillId="0" borderId="65" xfId="133" applyFont="1" applyBorder="1" applyAlignment="1">
      <alignment wrapText="1"/>
    </xf>
    <xf numFmtId="0" fontId="87" fillId="0" borderId="65" xfId="0" applyFont="1" applyBorder="1" applyAlignment="1">
      <alignment vertical="center"/>
    </xf>
    <xf numFmtId="1" fontId="87" fillId="0" borderId="65" xfId="0" applyNumberFormat="1" applyFont="1" applyBorder="1" applyAlignment="1">
      <alignment horizontal="right" vertical="center"/>
    </xf>
    <xf numFmtId="1" fontId="87" fillId="70" borderId="65" xfId="0" applyNumberFormat="1" applyFont="1" applyFill="1" applyBorder="1" applyAlignment="1">
      <alignment horizontal="right" vertical="center"/>
    </xf>
    <xf numFmtId="1" fontId="87" fillId="74" borderId="65" xfId="0" applyNumberFormat="1" applyFont="1" applyFill="1" applyBorder="1" applyAlignment="1">
      <alignment horizontal="right" vertical="center"/>
    </xf>
    <xf numFmtId="1" fontId="87" fillId="67" borderId="65" xfId="0" applyNumberFormat="1" applyFont="1" applyFill="1" applyBorder="1" applyAlignment="1">
      <alignment horizontal="right" vertical="center"/>
    </xf>
    <xf numFmtId="0" fontId="84" fillId="0" borderId="65" xfId="0" applyFont="1" applyBorder="1"/>
    <xf numFmtId="0" fontId="53" fillId="0" borderId="65" xfId="0" applyFont="1" applyBorder="1"/>
    <xf numFmtId="0" fontId="53" fillId="0" borderId="65" xfId="0" applyFont="1" applyBorder="1" applyAlignment="1">
      <alignment horizontal="right"/>
    </xf>
    <xf numFmtId="180" fontId="21" fillId="0" borderId="65" xfId="2258" applyNumberFormat="1" applyFont="1" applyBorder="1"/>
    <xf numFmtId="4" fontId="21" fillId="0" borderId="65" xfId="0" applyNumberFormat="1" applyFont="1" applyBorder="1"/>
    <xf numFmtId="2" fontId="21" fillId="0" borderId="65" xfId="0" applyNumberFormat="1" applyFont="1" applyBorder="1"/>
    <xf numFmtId="187" fontId="21" fillId="0" borderId="65" xfId="0" applyNumberFormat="1" applyFont="1" applyBorder="1"/>
    <xf numFmtId="1" fontId="21" fillId="0" borderId="65" xfId="0" applyNumberFormat="1" applyFont="1" applyBorder="1"/>
    <xf numFmtId="9" fontId="21" fillId="0" borderId="65" xfId="2258" applyFont="1" applyBorder="1"/>
    <xf numFmtId="0" fontId="21" fillId="0" borderId="65" xfId="0" applyFont="1" applyBorder="1" applyAlignment="1">
      <alignment horizontal="right"/>
    </xf>
    <xf numFmtId="0" fontId="53" fillId="0" borderId="65" xfId="0" applyFont="1" applyBorder="1" applyAlignment="1">
      <alignment horizontal="left"/>
    </xf>
    <xf numFmtId="9" fontId="53" fillId="55" borderId="65" xfId="2258" applyFont="1" applyFill="1" applyBorder="1" applyAlignment="1">
      <alignment horizontal="right"/>
    </xf>
    <xf numFmtId="9" fontId="21" fillId="0" borderId="65" xfId="0" applyNumberFormat="1" applyFont="1" applyBorder="1"/>
    <xf numFmtId="180" fontId="21" fillId="0" borderId="65" xfId="2258" applyNumberFormat="1" applyFont="1" applyFill="1" applyBorder="1"/>
    <xf numFmtId="10" fontId="21" fillId="0" borderId="65" xfId="2258" applyNumberFormat="1" applyFont="1" applyFill="1" applyBorder="1"/>
    <xf numFmtId="1" fontId="104" fillId="55" borderId="65" xfId="0" applyNumberFormat="1" applyFont="1" applyFill="1" applyBorder="1" applyAlignment="1">
      <alignment horizontal="right"/>
    </xf>
    <xf numFmtId="184" fontId="21" fillId="0" borderId="65" xfId="0" applyNumberFormat="1" applyFont="1" applyBorder="1"/>
    <xf numFmtId="3" fontId="21" fillId="0" borderId="65" xfId="0" applyNumberFormat="1" applyFont="1" applyBorder="1"/>
    <xf numFmtId="4" fontId="103" fillId="0" borderId="65" xfId="0" applyNumberFormat="1" applyFont="1" applyBorder="1" applyAlignment="1">
      <alignment horizontal="right"/>
    </xf>
    <xf numFmtId="9" fontId="21" fillId="0" borderId="65" xfId="2258" applyFont="1" applyFill="1" applyBorder="1"/>
    <xf numFmtId="184" fontId="91" fillId="0" borderId="65" xfId="0" applyNumberFormat="1" applyFont="1" applyBorder="1"/>
    <xf numFmtId="3" fontId="84" fillId="0" borderId="65" xfId="0" applyNumberFormat="1" applyFont="1" applyBorder="1"/>
    <xf numFmtId="3" fontId="53" fillId="0" borderId="65" xfId="0" applyNumberFormat="1" applyFont="1" applyBorder="1"/>
    <xf numFmtId="3" fontId="53" fillId="0" borderId="65" xfId="0" applyNumberFormat="1" applyFont="1" applyBorder="1" applyAlignment="1">
      <alignment horizontal="right"/>
    </xf>
    <xf numFmtId="3" fontId="104" fillId="77" borderId="65" xfId="0" applyNumberFormat="1" applyFont="1" applyFill="1" applyBorder="1" applyAlignment="1">
      <alignment horizontal="right"/>
    </xf>
    <xf numFmtId="3" fontId="53" fillId="77" borderId="65" xfId="0" applyNumberFormat="1" applyFont="1" applyFill="1" applyBorder="1" applyAlignment="1">
      <alignment horizontal="right"/>
    </xf>
    <xf numFmtId="3" fontId="104" fillId="0" borderId="65" xfId="0" applyNumberFormat="1" applyFont="1" applyBorder="1" applyAlignment="1">
      <alignment horizontal="right"/>
    </xf>
    <xf numFmtId="10" fontId="104" fillId="0" borderId="65" xfId="0" applyNumberFormat="1" applyFont="1" applyBorder="1" applyAlignment="1">
      <alignment horizontal="right"/>
    </xf>
    <xf numFmtId="10" fontId="21" fillId="0" borderId="65" xfId="0" applyNumberFormat="1" applyFont="1" applyBorder="1"/>
    <xf numFmtId="180" fontId="21" fillId="0" borderId="65" xfId="0" applyNumberFormat="1" applyFont="1" applyBorder="1"/>
    <xf numFmtId="9" fontId="104" fillId="77" borderId="65" xfId="0" applyNumberFormat="1" applyFont="1" applyFill="1" applyBorder="1"/>
    <xf numFmtId="38" fontId="53" fillId="0" borderId="65" xfId="0" applyNumberFormat="1" applyFont="1" applyBorder="1" applyAlignment="1">
      <alignment horizontal="right"/>
    </xf>
    <xf numFmtId="9" fontId="104" fillId="0" borderId="65" xfId="2258" applyFont="1" applyBorder="1" applyAlignment="1">
      <alignment horizontal="right"/>
    </xf>
    <xf numFmtId="9" fontId="104" fillId="0" borderId="65" xfId="2258" applyFont="1" applyBorder="1"/>
    <xf numFmtId="184" fontId="21" fillId="0" borderId="65" xfId="0" applyNumberFormat="1" applyFont="1" applyBorder="1" applyAlignment="1">
      <alignment horizontal="right"/>
    </xf>
    <xf numFmtId="0" fontId="21" fillId="0" borderId="65" xfId="0" applyFont="1" applyBorder="1"/>
    <xf numFmtId="0" fontId="84" fillId="67" borderId="65" xfId="0" applyFont="1" applyFill="1" applyBorder="1" applyAlignment="1">
      <alignment horizontal="left"/>
    </xf>
    <xf numFmtId="10" fontId="53" fillId="0" borderId="65" xfId="0" applyNumberFormat="1" applyFont="1" applyBorder="1" applyAlignment="1">
      <alignment horizontal="right"/>
    </xf>
    <xf numFmtId="1" fontId="21" fillId="0" borderId="65" xfId="0" applyNumberFormat="1" applyFont="1" applyBorder="1" applyAlignment="1">
      <alignment horizontal="right"/>
    </xf>
    <xf numFmtId="9" fontId="21" fillId="0" borderId="65" xfId="2258" applyFont="1" applyFill="1" applyBorder="1" applyAlignment="1">
      <alignment horizontal="right"/>
    </xf>
    <xf numFmtId="38" fontId="53" fillId="0" borderId="65" xfId="0" applyNumberFormat="1" applyFont="1" applyBorder="1" applyAlignment="1">
      <alignment horizontal="center"/>
    </xf>
    <xf numFmtId="38" fontId="21" fillId="0" borderId="65" xfId="0" applyNumberFormat="1" applyFont="1" applyBorder="1" applyAlignment="1">
      <alignment horizontal="right"/>
    </xf>
    <xf numFmtId="1" fontId="53" fillId="0" borderId="65" xfId="0" applyNumberFormat="1" applyFont="1" applyBorder="1" applyAlignment="1">
      <alignment horizontal="right"/>
    </xf>
    <xf numFmtId="185" fontId="53" fillId="0" borderId="65" xfId="0" applyNumberFormat="1" applyFont="1" applyBorder="1"/>
    <xf numFmtId="1" fontId="53" fillId="0" borderId="65" xfId="0" applyNumberFormat="1" applyFont="1" applyBorder="1" applyAlignment="1">
      <alignment horizontal="center"/>
    </xf>
    <xf numFmtId="0" fontId="84" fillId="62" borderId="65" xfId="0" applyFont="1" applyFill="1" applyBorder="1" applyAlignment="1">
      <alignment horizontal="left"/>
    </xf>
    <xf numFmtId="17" fontId="84" fillId="62" borderId="65" xfId="0" applyNumberFormat="1" applyFont="1" applyFill="1" applyBorder="1" applyAlignment="1">
      <alignment horizontal="right"/>
    </xf>
    <xf numFmtId="0" fontId="84" fillId="62" borderId="65" xfId="0" applyFont="1" applyFill="1" applyBorder="1" applyAlignment="1">
      <alignment horizontal="right"/>
    </xf>
    <xf numFmtId="0" fontId="84" fillId="67" borderId="65" xfId="0" applyFont="1" applyFill="1" applyBorder="1" applyAlignment="1">
      <alignment horizontal="center"/>
    </xf>
    <xf numFmtId="2" fontId="84" fillId="0" borderId="65" xfId="0" applyNumberFormat="1" applyFont="1" applyBorder="1" applyAlignment="1">
      <alignment horizontal="left"/>
    </xf>
    <xf numFmtId="2" fontId="53" fillId="0" borderId="65" xfId="0" applyNumberFormat="1" applyFont="1" applyBorder="1" applyAlignment="1">
      <alignment horizontal="center"/>
    </xf>
    <xf numFmtId="17" fontId="84" fillId="67" borderId="65" xfId="0" applyNumberFormat="1" applyFont="1" applyFill="1" applyBorder="1" applyAlignment="1">
      <alignment horizontal="center"/>
    </xf>
    <xf numFmtId="0" fontId="84" fillId="0" borderId="65" xfId="0" applyFont="1" applyBorder="1" applyAlignment="1">
      <alignment horizontal="left"/>
    </xf>
    <xf numFmtId="0" fontId="53" fillId="0" borderId="65" xfId="0" applyFont="1" applyBorder="1" applyAlignment="1">
      <alignment horizontal="center"/>
    </xf>
    <xf numFmtId="3" fontId="53" fillId="0" borderId="65" xfId="0" applyNumberFormat="1" applyFont="1" applyBorder="1" applyAlignment="1">
      <alignment horizontal="center"/>
    </xf>
    <xf numFmtId="0" fontId="0" fillId="0" borderId="65" xfId="0" applyBorder="1"/>
    <xf numFmtId="3" fontId="0" fillId="0" borderId="65" xfId="0" applyNumberFormat="1" applyBorder="1"/>
    <xf numFmtId="0" fontId="84" fillId="67" borderId="65" xfId="0" applyFont="1" applyFill="1" applyBorder="1"/>
    <xf numFmtId="0" fontId="84" fillId="67" borderId="65" xfId="0" applyFont="1" applyFill="1" applyBorder="1" applyAlignment="1">
      <alignment horizontal="right"/>
    </xf>
    <xf numFmtId="37" fontId="53" fillId="0" borderId="65" xfId="0" applyNumberFormat="1" applyFont="1" applyBorder="1" applyAlignment="1">
      <alignment horizontal="right"/>
    </xf>
    <xf numFmtId="17" fontId="84" fillId="67" borderId="65" xfId="0" applyNumberFormat="1" applyFont="1" applyFill="1" applyBorder="1" applyAlignment="1">
      <alignment horizontal="right"/>
    </xf>
    <xf numFmtId="3" fontId="84" fillId="0" borderId="65" xfId="0" applyNumberFormat="1" applyFont="1" applyBorder="1" applyAlignment="1">
      <alignment horizontal="right"/>
    </xf>
    <xf numFmtId="0" fontId="16" fillId="0" borderId="0" xfId="0" applyFont="1" applyAlignment="1">
      <alignment horizontal="left" vertical="center" wrapText="1"/>
    </xf>
    <xf numFmtId="0" fontId="0" fillId="0" borderId="0" xfId="0" applyAlignment="1">
      <alignment horizontal="left" vertical="center" wrapText="1"/>
    </xf>
    <xf numFmtId="0" fontId="122"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0" fillId="59" borderId="0" xfId="133" applyFont="1" applyFill="1" applyAlignment="1">
      <alignment horizontal="left" wrapText="1"/>
    </xf>
    <xf numFmtId="0" fontId="20" fillId="59" borderId="0" xfId="133" applyFont="1" applyFill="1" applyAlignment="1">
      <alignment horizontal="left" wrapText="1"/>
    </xf>
    <xf numFmtId="0" fontId="20" fillId="0" borderId="0" xfId="133" applyFont="1" applyAlignment="1">
      <alignment horizontal="center"/>
    </xf>
    <xf numFmtId="0" fontId="20" fillId="55" borderId="15" xfId="133" applyFont="1" applyFill="1" applyBorder="1" applyAlignment="1">
      <alignment horizontal="left" vertical="top" wrapText="1"/>
    </xf>
    <xf numFmtId="0" fontId="20" fillId="55" borderId="14" xfId="133" applyFont="1" applyFill="1" applyBorder="1" applyAlignment="1">
      <alignment horizontal="left" vertical="top" wrapText="1"/>
    </xf>
    <xf numFmtId="0" fontId="20" fillId="55" borderId="53" xfId="133" applyFont="1" applyFill="1" applyBorder="1" applyAlignment="1">
      <alignment horizontal="left" vertical="top" wrapText="1"/>
    </xf>
    <xf numFmtId="0" fontId="20" fillId="55" borderId="34" xfId="133" applyFont="1" applyFill="1" applyBorder="1" applyAlignment="1">
      <alignment horizontal="left" vertical="top" wrapText="1"/>
    </xf>
    <xf numFmtId="0" fontId="131" fillId="78" borderId="15" xfId="133" applyFont="1" applyFill="1" applyBorder="1" applyAlignment="1">
      <alignment horizontal="left" vertical="top" wrapText="1"/>
    </xf>
    <xf numFmtId="0" fontId="131" fillId="78" borderId="53" xfId="133" applyFont="1" applyFill="1" applyBorder="1" applyAlignment="1">
      <alignment horizontal="left" vertical="top" wrapText="1"/>
    </xf>
    <xf numFmtId="0" fontId="131" fillId="78" borderId="34" xfId="133" applyFont="1" applyFill="1" applyBorder="1" applyAlignment="1">
      <alignment horizontal="left" vertical="top" wrapText="1"/>
    </xf>
    <xf numFmtId="0" fontId="131" fillId="65" borderId="33" xfId="133" applyFont="1" applyFill="1" applyBorder="1" applyAlignment="1">
      <alignment horizontal="left" vertical="top" wrapText="1"/>
    </xf>
    <xf numFmtId="0" fontId="131" fillId="65" borderId="53" xfId="133" applyFont="1" applyFill="1" applyBorder="1" applyAlignment="1">
      <alignment horizontal="left" vertical="top" wrapText="1"/>
    </xf>
    <xf numFmtId="0" fontId="131" fillId="65" borderId="34" xfId="133" applyFont="1" applyFill="1" applyBorder="1" applyAlignment="1">
      <alignment horizontal="left" vertical="top" wrapText="1"/>
    </xf>
    <xf numFmtId="0" fontId="131" fillId="79" borderId="33" xfId="133" applyFont="1" applyFill="1" applyBorder="1" applyAlignment="1">
      <alignment horizontal="left" vertical="top" wrapText="1"/>
    </xf>
    <xf numFmtId="0" fontId="131" fillId="79" borderId="53" xfId="133" applyFont="1" applyFill="1" applyBorder="1" applyAlignment="1">
      <alignment horizontal="left" vertical="top" wrapText="1"/>
    </xf>
    <xf numFmtId="0" fontId="131" fillId="79" borderId="34" xfId="133" applyFont="1" applyFill="1" applyBorder="1" applyAlignment="1">
      <alignment horizontal="left" vertical="top" wrapText="1"/>
    </xf>
    <xf numFmtId="0" fontId="131" fillId="72" borderId="33" xfId="133" applyFont="1" applyFill="1" applyBorder="1" applyAlignment="1">
      <alignment horizontal="left" vertical="top" wrapText="1"/>
    </xf>
    <xf numFmtId="0" fontId="131" fillId="72" borderId="53" xfId="133" applyFont="1" applyFill="1" applyBorder="1" applyAlignment="1">
      <alignment horizontal="left" vertical="top" wrapText="1"/>
    </xf>
    <xf numFmtId="0" fontId="131" fillId="72" borderId="34" xfId="133" applyFont="1" applyFill="1" applyBorder="1" applyAlignment="1">
      <alignment horizontal="left" vertical="top" wrapText="1"/>
    </xf>
    <xf numFmtId="0" fontId="20" fillId="62" borderId="33" xfId="133" applyFont="1" applyFill="1" applyBorder="1" applyAlignment="1">
      <alignment horizontal="left" vertical="top" wrapText="1"/>
    </xf>
    <xf numFmtId="0" fontId="20" fillId="62" borderId="53" xfId="133" applyFont="1" applyFill="1" applyBorder="1" applyAlignment="1">
      <alignment horizontal="left" vertical="top" wrapText="1"/>
    </xf>
    <xf numFmtId="0" fontId="20" fillId="62" borderId="34" xfId="133" applyFont="1" applyFill="1" applyBorder="1" applyAlignment="1">
      <alignment horizontal="left" vertical="top" wrapText="1"/>
    </xf>
    <xf numFmtId="0" fontId="20" fillId="76" borderId="33" xfId="133" applyFont="1" applyFill="1" applyBorder="1" applyAlignment="1">
      <alignment horizontal="left" vertical="top" wrapText="1"/>
    </xf>
    <xf numFmtId="0" fontId="20" fillId="76" borderId="53" xfId="133" applyFont="1" applyFill="1" applyBorder="1" applyAlignment="1">
      <alignment horizontal="left" vertical="top" wrapText="1"/>
    </xf>
    <xf numFmtId="0" fontId="20" fillId="76" borderId="34" xfId="133" applyFont="1" applyFill="1" applyBorder="1" applyAlignment="1">
      <alignment horizontal="left" vertical="top" wrapText="1"/>
    </xf>
    <xf numFmtId="0" fontId="84" fillId="0" borderId="0" xfId="0" applyFont="1" applyAlignment="1">
      <alignment horizontal="center" vertical="center"/>
    </xf>
    <xf numFmtId="0" fontId="84" fillId="67" borderId="37" xfId="0" applyFont="1" applyFill="1" applyBorder="1" applyAlignment="1">
      <alignment horizontal="center"/>
    </xf>
    <xf numFmtId="0" fontId="84" fillId="62" borderId="38" xfId="0" applyFont="1" applyFill="1" applyBorder="1" applyAlignment="1">
      <alignment horizontal="center" wrapText="1"/>
    </xf>
    <xf numFmtId="0" fontId="84" fillId="62" borderId="39" xfId="0" applyFont="1" applyFill="1" applyBorder="1" applyAlignment="1">
      <alignment horizontal="center" wrapText="1"/>
    </xf>
    <xf numFmtId="0" fontId="84" fillId="62" borderId="38" xfId="0" applyFont="1" applyFill="1" applyBorder="1" applyAlignment="1">
      <alignment horizontal="center"/>
    </xf>
    <xf numFmtId="0" fontId="84" fillId="62" borderId="40" xfId="0" applyFont="1" applyFill="1" applyBorder="1" applyAlignment="1">
      <alignment horizontal="center"/>
    </xf>
    <xf numFmtId="0" fontId="84" fillId="62" borderId="39" xfId="0" applyFont="1" applyFill="1" applyBorder="1" applyAlignment="1">
      <alignment horizontal="center"/>
    </xf>
    <xf numFmtId="0" fontId="84" fillId="62" borderId="40" xfId="0" applyFont="1" applyFill="1" applyBorder="1" applyAlignment="1">
      <alignment horizontal="center" wrapText="1"/>
    </xf>
    <xf numFmtId="1" fontId="84" fillId="62" borderId="40" xfId="0" applyNumberFormat="1" applyFont="1" applyFill="1" applyBorder="1" applyAlignment="1">
      <alignment horizontal="center"/>
    </xf>
    <xf numFmtId="0" fontId="53" fillId="62" borderId="27" xfId="0" applyFont="1" applyFill="1" applyBorder="1" applyAlignment="1">
      <alignment horizontal="center" vertical="center"/>
    </xf>
    <xf numFmtId="0" fontId="21" fillId="69" borderId="0" xfId="0" applyFont="1" applyFill="1" applyAlignment="1">
      <alignment horizontal="center" vertical="center"/>
    </xf>
    <xf numFmtId="0" fontId="84" fillId="61" borderId="25" xfId="0" applyFont="1" applyFill="1" applyBorder="1" applyAlignment="1">
      <alignment horizontal="left" vertical="center"/>
    </xf>
    <xf numFmtId="0" fontId="84" fillId="61" borderId="10" xfId="0" applyFont="1" applyFill="1" applyBorder="1" applyAlignment="1">
      <alignment horizontal="left" vertical="center"/>
    </xf>
    <xf numFmtId="0" fontId="84" fillId="61" borderId="26" xfId="0" applyFont="1" applyFill="1" applyBorder="1" applyAlignment="1">
      <alignment horizontal="left" vertical="center"/>
    </xf>
    <xf numFmtId="0" fontId="84" fillId="61" borderId="28" xfId="0" applyFont="1" applyFill="1" applyBorder="1" applyAlignment="1">
      <alignment horizontal="left" vertical="center"/>
    </xf>
    <xf numFmtId="0" fontId="84" fillId="61" borderId="61" xfId="0" applyFont="1" applyFill="1" applyBorder="1" applyAlignment="1">
      <alignment horizontal="left" vertical="center"/>
    </xf>
    <xf numFmtId="0" fontId="84" fillId="61" borderId="60" xfId="0" applyFont="1" applyFill="1" applyBorder="1" applyAlignment="1">
      <alignment horizontal="left" vertical="center"/>
    </xf>
    <xf numFmtId="0" fontId="84" fillId="61" borderId="25" xfId="0" applyFont="1" applyFill="1" applyBorder="1" applyAlignment="1">
      <alignment horizontal="left" vertical="center" wrapText="1"/>
    </xf>
    <xf numFmtId="0" fontId="84" fillId="61" borderId="10" xfId="0" applyFont="1" applyFill="1" applyBorder="1" applyAlignment="1">
      <alignment horizontal="left" vertical="center" wrapText="1"/>
    </xf>
    <xf numFmtId="0" fontId="84" fillId="61" borderId="26" xfId="0" applyFont="1" applyFill="1" applyBorder="1" applyAlignment="1">
      <alignment horizontal="left" vertical="center" wrapText="1"/>
    </xf>
    <xf numFmtId="0" fontId="84" fillId="61" borderId="27" xfId="0" applyFont="1" applyFill="1" applyBorder="1" applyAlignment="1">
      <alignment horizontal="left" vertical="center" wrapText="1"/>
    </xf>
    <xf numFmtId="0" fontId="84" fillId="61" borderId="0" xfId="0" applyFont="1" applyFill="1" applyAlignment="1">
      <alignment horizontal="left" vertical="center" wrapText="1"/>
    </xf>
    <xf numFmtId="0" fontId="84" fillId="61" borderId="11" xfId="0" applyFont="1" applyFill="1" applyBorder="1" applyAlignment="1">
      <alignment horizontal="left" vertical="center" wrapText="1"/>
    </xf>
    <xf numFmtId="0" fontId="84" fillId="61" borderId="28" xfId="0" applyFont="1" applyFill="1" applyBorder="1" applyAlignment="1">
      <alignment horizontal="left" vertical="center" wrapText="1"/>
    </xf>
    <xf numFmtId="0" fontId="84" fillId="61" borderId="61" xfId="0" applyFont="1" applyFill="1" applyBorder="1" applyAlignment="1">
      <alignment horizontal="left" vertical="center" wrapText="1"/>
    </xf>
    <xf numFmtId="0" fontId="84" fillId="61" borderId="60" xfId="0" applyFont="1" applyFill="1" applyBorder="1" applyAlignment="1">
      <alignment horizontal="left" vertical="center" wrapText="1"/>
    </xf>
    <xf numFmtId="0" fontId="95" fillId="61" borderId="25" xfId="0" applyFont="1" applyFill="1" applyBorder="1" applyAlignment="1">
      <alignment horizontal="left" vertical="center" wrapText="1"/>
    </xf>
    <xf numFmtId="0" fontId="95" fillId="61" borderId="10" xfId="0" applyFont="1" applyFill="1" applyBorder="1" applyAlignment="1">
      <alignment horizontal="left" vertical="center" wrapText="1"/>
    </xf>
    <xf numFmtId="0" fontId="95" fillId="61" borderId="26" xfId="0" applyFont="1" applyFill="1" applyBorder="1" applyAlignment="1">
      <alignment horizontal="left" vertical="center" wrapText="1"/>
    </xf>
    <xf numFmtId="0" fontId="95" fillId="61" borderId="28" xfId="0" applyFont="1" applyFill="1" applyBorder="1" applyAlignment="1">
      <alignment horizontal="left" vertical="center" wrapText="1"/>
    </xf>
    <xf numFmtId="0" fontId="95" fillId="61" borderId="61" xfId="0" applyFont="1" applyFill="1" applyBorder="1" applyAlignment="1">
      <alignment horizontal="left" vertical="center" wrapText="1"/>
    </xf>
    <xf numFmtId="0" fontId="95" fillId="61" borderId="60" xfId="0" applyFont="1" applyFill="1" applyBorder="1" applyAlignment="1">
      <alignment horizontal="left" vertical="center" wrapText="1"/>
    </xf>
    <xf numFmtId="0" fontId="53" fillId="61" borderId="25" xfId="0" applyFont="1" applyFill="1" applyBorder="1" applyAlignment="1">
      <alignment horizontal="left" vertical="center"/>
    </xf>
    <xf numFmtId="0" fontId="53" fillId="61" borderId="10" xfId="0" applyFont="1" applyFill="1" applyBorder="1" applyAlignment="1">
      <alignment horizontal="left" vertical="center"/>
    </xf>
    <xf numFmtId="0" fontId="53" fillId="61" borderId="26" xfId="0" applyFont="1" applyFill="1" applyBorder="1" applyAlignment="1">
      <alignment horizontal="left" vertical="center"/>
    </xf>
    <xf numFmtId="0" fontId="53" fillId="61" borderId="28" xfId="0" applyFont="1" applyFill="1" applyBorder="1" applyAlignment="1">
      <alignment horizontal="left" vertical="center"/>
    </xf>
    <xf numFmtId="0" fontId="53" fillId="61" borderId="61" xfId="0" applyFont="1" applyFill="1" applyBorder="1" applyAlignment="1">
      <alignment horizontal="left" vertical="center"/>
    </xf>
    <xf numFmtId="0" fontId="53" fillId="61" borderId="60" xfId="0" applyFont="1" applyFill="1" applyBorder="1" applyAlignment="1">
      <alignment horizontal="left" vertical="center"/>
    </xf>
    <xf numFmtId="0" fontId="111" fillId="63" borderId="37" xfId="0" applyFont="1" applyFill="1" applyBorder="1" applyAlignment="1">
      <alignment horizontal="left"/>
    </xf>
    <xf numFmtId="0" fontId="136" fillId="60" borderId="0" xfId="0" applyFont="1" applyFill="1" applyAlignment="1">
      <alignment horizontal="left"/>
    </xf>
    <xf numFmtId="0" fontId="13" fillId="60" borderId="0" xfId="0" applyFont="1" applyFill="1" applyAlignment="1">
      <alignment horizontal="left"/>
    </xf>
    <xf numFmtId="0" fontId="53" fillId="59" borderId="53" xfId="0" applyFont="1" applyFill="1" applyBorder="1" applyAlignment="1">
      <alignment horizontal="center" vertical="center"/>
    </xf>
    <xf numFmtId="0" fontId="53" fillId="59" borderId="53" xfId="0" applyFont="1" applyFill="1" applyBorder="1"/>
    <xf numFmtId="0" fontId="85" fillId="60" borderId="0" xfId="0" applyFont="1" applyFill="1" applyAlignment="1">
      <alignment horizontal="left"/>
    </xf>
    <xf numFmtId="0" fontId="53" fillId="0" borderId="0" xfId="0" applyFont="1" applyAlignment="1">
      <alignment horizontal="center" wrapText="1"/>
    </xf>
  </cellXfs>
  <cellStyles count="2262">
    <cellStyle name=" 1" xfId="892" xr:uid="{3F24EB10-BAEA-4192-8927-C1AF6D4BD4D4}"/>
    <cellStyle name="_★★★Consol_Axia Budget P0608 " xfId="894" xr:uid="{563614EA-F8D3-4FDB-97C3-3202D6382E57}"/>
    <cellStyle name="_CEEMI " xfId="895" xr:uid="{B156D508-19F9-429A-BDA4-573850AEC555}"/>
    <cellStyle name="_Lakewood " xfId="896" xr:uid="{E1B33F3F-A094-4B50-9606-A4D2095E2D10}"/>
    <cellStyle name="_Newington " xfId="897" xr:uid="{11DED1C6-E713-46FF-9934-626796A49D6E}"/>
    <cellStyle name="_Ocean Peaking " xfId="898" xr:uid="{4A82944D-6FF0-4F90-9532-2E31F139641E}"/>
    <cellStyle name="_Rock Springs " xfId="899" xr:uid="{847F6AFA-A851-4068-BA58-56352DBE10DB}"/>
    <cellStyle name="_Summary" xfId="993" xr:uid="{A7105005-6EF7-40E3-9865-1B01778EBCCE}"/>
    <cellStyle name="_Zainet Initial Hedge" xfId="987" xr:uid="{223C39A9-4375-43F0-87F9-0CF5F6A4C306}"/>
    <cellStyle name="20% - Accent1" xfId="19" builtinId="30" customBuiltin="1"/>
    <cellStyle name="20% - Accent1 2" xfId="189" xr:uid="{E9903F82-B7B1-4B58-8DC8-E8AD3F82C824}"/>
    <cellStyle name="20% - Accent1 2 2" xfId="190" xr:uid="{7E1B26AC-F0B9-4313-9E5D-EA148E1B288C}"/>
    <cellStyle name="20% - Accent1 2 3" xfId="191" xr:uid="{50C0485A-63D2-45E0-9CC6-D9E71ADA9478}"/>
    <cellStyle name="20% - Accent1 2 4" xfId="1038" xr:uid="{BC7EA908-5A0B-4A89-B009-05416104A674}"/>
    <cellStyle name="20% - Accent1 3" xfId="192" xr:uid="{18C705A4-CE6E-4A7F-A5FC-2CFE6E677728}"/>
    <cellStyle name="20% - Accent1 4" xfId="60" xr:uid="{8FEE986D-557A-46C3-AD3A-F4D12DEFBD88}"/>
    <cellStyle name="20% - Accent1 5" xfId="1620" xr:uid="{E7B79E93-8327-45A9-857F-D469D31D2ACA}"/>
    <cellStyle name="20% - Accent2" xfId="23" builtinId="34" customBuiltin="1"/>
    <cellStyle name="20% - Accent2 2" xfId="193" xr:uid="{035E2782-1739-4222-950D-54C1E30B3233}"/>
    <cellStyle name="20% - Accent2 2 2" xfId="194" xr:uid="{8E90D4C4-FD75-4E7D-B717-A9000F914541}"/>
    <cellStyle name="20% - Accent2 2 3" xfId="195" xr:uid="{590D5EC1-56C1-44E1-8DF8-244C943E0192}"/>
    <cellStyle name="20% - Accent2 2 4" xfId="1052" xr:uid="{543CB92A-29A4-41AE-845F-F0257105DD71}"/>
    <cellStyle name="20% - Accent2 3" xfId="196" xr:uid="{83A703B2-BDBE-4878-AE96-2E726E10CA44}"/>
    <cellStyle name="20% - Accent2 4" xfId="64" xr:uid="{DD8BDDE1-3C18-47DA-BCD7-903108E2C65E}"/>
    <cellStyle name="20% - Accent2 5" xfId="1623" xr:uid="{6BEF3C14-67DD-436B-A4AA-94013554D51D}"/>
    <cellStyle name="20% - Accent3" xfId="27" builtinId="38" customBuiltin="1"/>
    <cellStyle name="20% - Accent3 2" xfId="197" xr:uid="{5CAB28FA-434C-4BAB-B647-183F76336493}"/>
    <cellStyle name="20% - Accent3 2 2" xfId="198" xr:uid="{3F9BE82B-B2BA-4304-9547-731397C6C815}"/>
    <cellStyle name="20% - Accent3 2 3" xfId="199" xr:uid="{1A9F6D72-EA38-4D59-BE91-8C009339CEB4}"/>
    <cellStyle name="20% - Accent3 2 4" xfId="1035" xr:uid="{BAD0E0F5-4C9C-416F-ACF7-3A9CEA5CF49C}"/>
    <cellStyle name="20% - Accent3 3" xfId="200" xr:uid="{6BEE10E7-631D-49CC-A4B2-E4671D61642A}"/>
    <cellStyle name="20% - Accent3 4" xfId="68" xr:uid="{8C04ED34-E26D-4FA9-8B71-F030E3C3E928}"/>
    <cellStyle name="20% - Accent3 5" xfId="1626" xr:uid="{1D7CA2BF-6BB5-477F-827A-4CDB54543AE7}"/>
    <cellStyle name="20% - Accent4" xfId="31" builtinId="42" customBuiltin="1"/>
    <cellStyle name="20% - Accent4 2" xfId="201" xr:uid="{6EF17495-D824-4B4E-9EF3-BDA9C1BFA461}"/>
    <cellStyle name="20% - Accent4 2 2" xfId="202" xr:uid="{C7EBFEC2-7E3C-4C88-AA48-9133FDC5F31D}"/>
    <cellStyle name="20% - Accent4 2 3" xfId="203" xr:uid="{49CBF1CF-87D1-478F-A9B2-6B7AEBD01D77}"/>
    <cellStyle name="20% - Accent4 2 4" xfId="1053" xr:uid="{24F3A80F-4540-470C-9DB6-E50C49066090}"/>
    <cellStyle name="20% - Accent4 3" xfId="204" xr:uid="{0183A6EB-987B-44A9-8CDF-028922581723}"/>
    <cellStyle name="20% - Accent4 4" xfId="72" xr:uid="{5C4203ED-7179-40EE-A235-745EE1C3E21C}"/>
    <cellStyle name="20% - Accent4 5" xfId="1629" xr:uid="{D543E4CC-1007-459B-BFEB-2B06119612E0}"/>
    <cellStyle name="20% - Accent5" xfId="35" builtinId="46" customBuiltin="1"/>
    <cellStyle name="20% - Accent5 2" xfId="205" xr:uid="{241180F4-65BB-4D91-AD35-C55B1C5A3072}"/>
    <cellStyle name="20% - Accent5 2 2" xfId="1044" xr:uid="{1C72D397-7AEE-4527-99F2-DC4D3F9E4C75}"/>
    <cellStyle name="20% - Accent5 3" xfId="206" xr:uid="{CB0E87F1-5D46-4CE3-9697-42C3677D5412}"/>
    <cellStyle name="20% - Accent5 4" xfId="76" xr:uid="{C23B366A-8EA8-4BEF-93D6-FDCF7776340E}"/>
    <cellStyle name="20% - Accent5 5" xfId="1632" xr:uid="{2D56FB02-DBF0-45D7-BB13-C67E3DE531E6}"/>
    <cellStyle name="20% - Accent6" xfId="39" builtinId="50" customBuiltin="1"/>
    <cellStyle name="20% - Accent6 2" xfId="207" xr:uid="{06B097E5-5877-4CF0-A0F1-9CFA0D8EAD10}"/>
    <cellStyle name="20% - Accent6 2 2" xfId="1043" xr:uid="{479C4B6E-662A-4BD2-A0FD-3A30A8D8E1D4}"/>
    <cellStyle name="20% - Accent6 3" xfId="208" xr:uid="{1E4E3ADC-3B21-43CA-89FC-5FBAA0CADC4A}"/>
    <cellStyle name="20% - Accent6 4" xfId="80" xr:uid="{EC7008FF-3B9B-4160-91F4-ADBD7019B064}"/>
    <cellStyle name="20% - Accent6 5" xfId="1635" xr:uid="{7DDFD498-EA43-4DC2-BA74-3D945A7252D4}"/>
    <cellStyle name="40% - Accent1" xfId="20" builtinId="31" customBuiltin="1"/>
    <cellStyle name="40% - Accent1 2" xfId="209" xr:uid="{40EFBA93-B0D3-425A-99D8-90B9C1666C51}"/>
    <cellStyle name="40% - Accent1 2 2" xfId="1054" xr:uid="{F5BF4246-85EE-4673-993E-17D9A92E5ABD}"/>
    <cellStyle name="40% - Accent1 3" xfId="210" xr:uid="{D5EFE4BB-4055-411E-B5BF-4818212A4DC7}"/>
    <cellStyle name="40% - Accent1 4" xfId="61" xr:uid="{02FEE725-DC2D-4573-948C-21696B307828}"/>
    <cellStyle name="40% - Accent1 5" xfId="1621" xr:uid="{46DD6268-B4B6-460B-8220-82115F94C550}"/>
    <cellStyle name="40% - Accent2" xfId="24" builtinId="35" customBuiltin="1"/>
    <cellStyle name="40% - Accent2 2" xfId="211" xr:uid="{82E63E12-3545-4FFD-A225-663350924CD1}"/>
    <cellStyle name="40% - Accent2 2 2" xfId="1033" xr:uid="{1684F11D-1BA0-4A02-BD11-40FEA6C9B13D}"/>
    <cellStyle name="40% - Accent2 3" xfId="212" xr:uid="{AD9C9C75-2497-42FA-8D0C-2BDE2E68A601}"/>
    <cellStyle name="40% - Accent2 4" xfId="65" xr:uid="{285A6514-63DC-4DF3-B1A7-53FF852082BC}"/>
    <cellStyle name="40% - Accent2 5" xfId="1624" xr:uid="{555A42FC-27C2-4939-871E-274CC38C3E3E}"/>
    <cellStyle name="40% - Accent3" xfId="28" builtinId="39" customBuiltin="1"/>
    <cellStyle name="40% - Accent3 2" xfId="213" xr:uid="{752E720A-B658-44C8-8D71-4ABCB3D98E4C}"/>
    <cellStyle name="40% - Accent3 2 2" xfId="214" xr:uid="{96F9ECC0-8CE9-488F-A0FF-1795808A8D75}"/>
    <cellStyle name="40% - Accent3 2 3" xfId="215" xr:uid="{5FA9F4DD-9B45-49B6-A607-AC34B7D98D3C}"/>
    <cellStyle name="40% - Accent3 2 4" xfId="1051" xr:uid="{2D93C1DD-9F04-4BCC-A5E7-C3CCE034131F}"/>
    <cellStyle name="40% - Accent3 3" xfId="216" xr:uid="{EBDDE1C4-FC43-412D-8621-6BC91AA407C9}"/>
    <cellStyle name="40% - Accent3 4" xfId="69" xr:uid="{E21DC4D7-31B1-48A4-B8F4-886E1CC595E0}"/>
    <cellStyle name="40% - Accent3 5" xfId="1627" xr:uid="{9738A372-8EF0-40A2-A3BB-B890A9433C0C}"/>
    <cellStyle name="40% - Accent4" xfId="32" builtinId="43" customBuiltin="1"/>
    <cellStyle name="40% - Accent4 2" xfId="217" xr:uid="{505098EC-2865-4C6B-9F87-EF751623984B}"/>
    <cellStyle name="40% - Accent4 2 2" xfId="1046" xr:uid="{7C3E5C11-3EFD-4F8B-94B4-E1A08F1514AA}"/>
    <cellStyle name="40% - Accent4 3" xfId="218" xr:uid="{F6467CAE-D54D-4943-9588-FC88EF40671B}"/>
    <cellStyle name="40% - Accent4 4" xfId="73" xr:uid="{9D69BCA3-CECC-48AE-9FB4-99F81896B96E}"/>
    <cellStyle name="40% - Accent4 5" xfId="1630" xr:uid="{AD1A0F39-C8FF-4E38-9044-DA24D2FA7948}"/>
    <cellStyle name="40% - Accent5" xfId="36" builtinId="47" customBuiltin="1"/>
    <cellStyle name="40% - Accent5 2" xfId="219" xr:uid="{C4C3C0DB-3488-4BEA-9ACF-4F796BC89C6D}"/>
    <cellStyle name="40% - Accent5 2 2" xfId="1041" xr:uid="{E6CF46FF-C09A-4EC8-AAFA-B39CBE637C08}"/>
    <cellStyle name="40% - Accent5 3" xfId="220" xr:uid="{5CC87031-BD88-4EAF-AE4E-F45DA4F69CCE}"/>
    <cellStyle name="40% - Accent5 4" xfId="77" xr:uid="{0EC7C400-E9B2-410B-B316-C5DF8FD42392}"/>
    <cellStyle name="40% - Accent5 5" xfId="1633" xr:uid="{205B9E2B-EECA-4FF1-AAD9-4DCF00FB1887}"/>
    <cellStyle name="40% - Accent6" xfId="40" builtinId="51" customBuiltin="1"/>
    <cellStyle name="40% - Accent6 2" xfId="221" xr:uid="{37C6288F-4A39-40BF-A446-F480B4836D4B}"/>
    <cellStyle name="40% - Accent6 2 2" xfId="1032" xr:uid="{31FB8B6E-0D4E-406D-91A9-5C65F8CC7AFF}"/>
    <cellStyle name="40% - Accent6 3" xfId="222" xr:uid="{CD6005EB-D98C-42DD-BE68-2325140202AD}"/>
    <cellStyle name="40% - Accent6 4" xfId="81" xr:uid="{F94D2070-58A1-4A6F-BE49-0719F187CE39}"/>
    <cellStyle name="40% - Accent6 5" xfId="1636" xr:uid="{411CE213-E8C5-4B26-9B8E-4E5C21B81689}"/>
    <cellStyle name="60% - Accent1" xfId="21" builtinId="32" customBuiltin="1"/>
    <cellStyle name="60% - Accent1 2" xfId="223" xr:uid="{7F3C2936-A58C-4292-BA60-A588BA0E8A49}"/>
    <cellStyle name="60% - Accent1 2 2" xfId="1047" xr:uid="{952808C0-9BF9-43D7-9DE5-5F8AC03E7AC6}"/>
    <cellStyle name="60% - Accent1 3" xfId="224" xr:uid="{3FF33733-FD40-4E3C-8830-4E7896E660E8}"/>
    <cellStyle name="60% - Accent1 4" xfId="755" xr:uid="{EF1FE368-4DF8-44BA-A67E-EED098A062BB}"/>
    <cellStyle name="60% - Accent1 5" xfId="183" xr:uid="{F286070A-80C7-4083-856C-E9B18C7B1622}"/>
    <cellStyle name="60% - Accent1 6" xfId="62" xr:uid="{3C5B150A-E540-495D-8BF2-B448AA2B64DB}"/>
    <cellStyle name="60% - Accent1 7" xfId="1622" xr:uid="{D302A22E-7A94-4B28-8DE0-1E01A879DF65}"/>
    <cellStyle name="60% - Accent2" xfId="25" builtinId="36" customBuiltin="1"/>
    <cellStyle name="60% - Accent2 2" xfId="225" xr:uid="{0FA697AA-20A9-4DB1-AC78-BF7505409CCC}"/>
    <cellStyle name="60% - Accent2 2 2" xfId="1049" xr:uid="{33813C2B-62E8-44CA-A5E1-719A2D1300DA}"/>
    <cellStyle name="60% - Accent2 3" xfId="226" xr:uid="{B965C581-3DFF-4B56-96B0-98D274408FAB}"/>
    <cellStyle name="60% - Accent2 4" xfId="756" xr:uid="{AA2EC9FA-4BBB-4BF6-83E6-1A990D5D6D39}"/>
    <cellStyle name="60% - Accent2 5" xfId="184" xr:uid="{48019178-4D4E-4C49-82D0-A4BC9466E74E}"/>
    <cellStyle name="60% - Accent2 6" xfId="66" xr:uid="{18CC3D14-1326-49C1-BB56-A1E168797650}"/>
    <cellStyle name="60% - Accent2 7" xfId="1625" xr:uid="{11125073-357C-4082-AC45-422068CF5571}"/>
    <cellStyle name="60% - Accent3" xfId="29" builtinId="40" customBuiltin="1"/>
    <cellStyle name="60% - Accent3 2" xfId="227" xr:uid="{330B449A-0C4D-40C3-8FE1-92F23AD93E99}"/>
    <cellStyle name="60% - Accent3 2 2" xfId="228" xr:uid="{589A4107-8C1D-4773-B85C-92C03175FC5E}"/>
    <cellStyle name="60% - Accent3 2 3" xfId="229" xr:uid="{23157A9D-CE0C-4D9F-B167-EDDDCE45A385}"/>
    <cellStyle name="60% - Accent3 2 4" xfId="1040" xr:uid="{A1F8F36D-0138-4351-924D-E68B8331B409}"/>
    <cellStyle name="60% - Accent3 3" xfId="230" xr:uid="{8C99C282-1783-4E73-8782-E551B5C0FC13}"/>
    <cellStyle name="60% - Accent3 4" xfId="757" xr:uid="{5EEB205C-0050-42C4-91C7-2B2A3FDAD2D3}"/>
    <cellStyle name="60% - Accent3 5" xfId="185" xr:uid="{5BFB2C38-EA97-4562-ADB0-3CA6CEEA1918}"/>
    <cellStyle name="60% - Accent3 6" xfId="70" xr:uid="{52A96B75-9340-4EB3-B4BC-AD8AAD47CFA3}"/>
    <cellStyle name="60% - Accent3 7" xfId="1628" xr:uid="{51AA3C45-32B5-4D78-8317-B52BF7EDBC79}"/>
    <cellStyle name="60% - Accent4" xfId="33" builtinId="44" customBuiltin="1"/>
    <cellStyle name="60% - Accent4 2" xfId="231" xr:uid="{D501896F-46B0-4812-A738-61F22810A7B7}"/>
    <cellStyle name="60% - Accent4 2 2" xfId="232" xr:uid="{41EA5CDC-E408-49F6-8ABD-E5C3DA0547DE}"/>
    <cellStyle name="60% - Accent4 2 3" xfId="233" xr:uid="{9BAC9F53-8AE4-4E06-8D6B-27DF8FB3B774}"/>
    <cellStyle name="60% - Accent4 2 4" xfId="1039" xr:uid="{D2D514E9-3C06-4594-9803-86B2776D2D88}"/>
    <cellStyle name="60% - Accent4 3" xfId="234" xr:uid="{279ABBAC-9562-41C5-A768-B5079A6CEC7C}"/>
    <cellStyle name="60% - Accent4 4" xfId="758" xr:uid="{8AAB81EC-976F-4175-AAA5-CD6020A49777}"/>
    <cellStyle name="60% - Accent4 5" xfId="186" xr:uid="{8BA1F82F-3559-40AD-9275-C9DEC2789D7C}"/>
    <cellStyle name="60% - Accent4 6" xfId="74" xr:uid="{FD4D32A5-192F-42E2-B75F-8AEBC7A734B0}"/>
    <cellStyle name="60% - Accent4 7" xfId="1631" xr:uid="{6D8EC2E1-D0A5-4F39-B033-59C2EA0C35B6}"/>
    <cellStyle name="60% - Accent5" xfId="37" builtinId="48" customBuiltin="1"/>
    <cellStyle name="60% - Accent5 2" xfId="235" xr:uid="{78C1CA36-BE1A-44DB-99B1-93605FDD774D}"/>
    <cellStyle name="60% - Accent5 2 2" xfId="1034" xr:uid="{44FAD5EF-FFBA-4174-9C15-DF797A575A94}"/>
    <cellStyle name="60% - Accent5 3" xfId="236" xr:uid="{E8571EEF-85A1-4CDE-9306-D84BC29726C5}"/>
    <cellStyle name="60% - Accent5 4" xfId="759" xr:uid="{10C1F3D3-88D0-4559-9B03-484693A8F9BD}"/>
    <cellStyle name="60% - Accent5 5" xfId="187" xr:uid="{3BFE28A3-F1C0-4F9F-9EF8-B312C92863EE}"/>
    <cellStyle name="60% - Accent5 6" xfId="78" xr:uid="{5B24FD3B-41B4-4EC3-B577-4F022BE1AAF0}"/>
    <cellStyle name="60% - Accent5 7" xfId="1634" xr:uid="{B0A8F70A-F14C-4AC7-AF26-4C138F01F5FD}"/>
    <cellStyle name="60% - Accent6" xfId="41" builtinId="52" customBuiltin="1"/>
    <cellStyle name="60% - Accent6 2" xfId="237" xr:uid="{92C0806C-DB91-4E51-BF0C-1C4F30AFC9B8}"/>
    <cellStyle name="60% - Accent6 2 2" xfId="238" xr:uid="{D90CF833-3F23-475A-AFE4-D1BEFE740007}"/>
    <cellStyle name="60% - Accent6 2 3" xfId="239" xr:uid="{A90D99B6-B72E-48D7-B5F6-5E10EB425529}"/>
    <cellStyle name="60% - Accent6 2 4" xfId="1048" xr:uid="{DF1E8FD6-C0C5-4FFB-BE89-47F1286EA77C}"/>
    <cellStyle name="60% - Accent6 3" xfId="240" xr:uid="{03E7C992-512A-4061-B007-7025341A234C}"/>
    <cellStyle name="60% - Accent6 4" xfId="760" xr:uid="{5AFA3F75-1140-4CFC-B421-29A6A97A0F1F}"/>
    <cellStyle name="60% - Accent6 5" xfId="188" xr:uid="{BF2B1DF5-D165-4D8D-9782-EC5E57193C38}"/>
    <cellStyle name="60% - Accent6 6" xfId="82" xr:uid="{1F6B8D1A-29C2-441A-8E0E-BC744F919C9C}"/>
    <cellStyle name="60% - Accent6 7" xfId="1637" xr:uid="{C4AC7C9C-43D4-4C8E-A116-CA52A99FBBF4}"/>
    <cellStyle name="Accent1" xfId="18" builtinId="29" customBuiltin="1"/>
    <cellStyle name="Accent1 2" xfId="241" xr:uid="{E5DD6CFF-2482-4786-9E63-56F5AC18E3AA}"/>
    <cellStyle name="Accent1 2 2" xfId="1045" xr:uid="{534E61C6-BA96-406B-9F53-93C79FEE214A}"/>
    <cellStyle name="Accent1 3" xfId="242" xr:uid="{18229B47-BF2D-4502-8270-C29C5056405A}"/>
    <cellStyle name="Accent1 4" xfId="59" xr:uid="{DE43F86E-21DE-40C9-A728-A6A5D699B458}"/>
    <cellStyle name="Accent2" xfId="22" builtinId="33" customBuiltin="1"/>
    <cellStyle name="Accent2 2" xfId="243" xr:uid="{6EC70C95-78CA-4278-936D-D6C5F81427C0}"/>
    <cellStyle name="Accent2 2 2" xfId="1036" xr:uid="{9B280F90-FA95-45B7-B693-C86137421EF6}"/>
    <cellStyle name="Accent2 3" xfId="244" xr:uid="{110C8132-7EEF-4E22-9AF2-FEF0364BCB23}"/>
    <cellStyle name="Accent2 4" xfId="63" xr:uid="{FE8B4603-7374-4E91-8212-012CD07647FF}"/>
    <cellStyle name="Accent3" xfId="26" builtinId="37" customBuiltin="1"/>
    <cellStyle name="Accent3 2" xfId="245" xr:uid="{D1538DF9-4C76-4343-BAAE-F7B1B8FEDA65}"/>
    <cellStyle name="Accent3 2 2" xfId="1042" xr:uid="{C2F49778-911F-4AAB-8CAB-1F4CC42E598C}"/>
    <cellStyle name="Accent3 3" xfId="246" xr:uid="{345EC7EF-0061-409D-A037-BCB0D67B6DCC}"/>
    <cellStyle name="Accent3 4" xfId="67" xr:uid="{4F2AE06C-95CD-4D77-AA24-96837997BE11}"/>
    <cellStyle name="Accent4" xfId="30" builtinId="41" customBuiltin="1"/>
    <cellStyle name="Accent4 2" xfId="247" xr:uid="{1911FE85-4311-40DC-9A0D-F8C9A60121D8}"/>
    <cellStyle name="Accent4 2 2" xfId="1037" xr:uid="{38685153-2FA5-4333-94E7-8241C702EF35}"/>
    <cellStyle name="Accent4 3" xfId="248" xr:uid="{D2EB4CA5-DBBD-4C9E-B1F3-1779A3A89E17}"/>
    <cellStyle name="Accent4 4" xfId="71" xr:uid="{C7EFBBBF-824C-4982-910B-861E6CDB909B}"/>
    <cellStyle name="Accent5" xfId="34" builtinId="45" customBuiltin="1"/>
    <cellStyle name="Accent5 2" xfId="249" xr:uid="{0E46769F-047D-44AD-8E96-AE7DF30BC1FA}"/>
    <cellStyle name="Accent5 2 2" xfId="1055" xr:uid="{3053CACC-FEE3-44EF-BA4E-BFA4C21D1289}"/>
    <cellStyle name="Accent5 3" xfId="250" xr:uid="{F051D14F-B32F-47A1-8CBD-D045EDE6010B}"/>
    <cellStyle name="Accent5 4" xfId="75" xr:uid="{3CA3E0B0-C45E-4D6B-B37C-DB396B21D6BB}"/>
    <cellStyle name="Accent6" xfId="38" builtinId="49" customBuiltin="1"/>
    <cellStyle name="Accent6 2" xfId="251" xr:uid="{5B344F0C-3A9D-4853-A863-A59E3CDA8D94}"/>
    <cellStyle name="Accent6 2 2" xfId="1050" xr:uid="{59AAA99A-B6E6-4B52-9FC5-9C1C8665987A}"/>
    <cellStyle name="Accent6 3" xfId="252" xr:uid="{834F5899-E3F1-45C5-AB63-29CE56F8C074}"/>
    <cellStyle name="Accent6 4" xfId="79" xr:uid="{76CA7383-CFC1-4029-9F56-ED7D2D7D15B4}"/>
    <cellStyle name="Bad" xfId="8" builtinId="27" customBuiltin="1"/>
    <cellStyle name="Bad 2" xfId="253" xr:uid="{2728D716-05AF-4730-9551-0A64933FA820}"/>
    <cellStyle name="Bad 2 2" xfId="1016" xr:uid="{34AE8651-9B86-4397-9376-7E55877F9020}"/>
    <cellStyle name="Bad 3" xfId="254" xr:uid="{4ECD2BE1-C094-4410-9EF5-60ECB8B66CB2}"/>
    <cellStyle name="Bad 4" xfId="49" xr:uid="{17D5CD71-49CF-4E71-AAEF-89F596F0A960}"/>
    <cellStyle name="BM Heading 3" xfId="127" xr:uid="{FD76260A-DD04-4255-9AB0-DDF1BA278F05}"/>
    <cellStyle name="Calculation" xfId="12" builtinId="22" customBuiltin="1"/>
    <cellStyle name="Calculation 2" xfId="255" xr:uid="{A52C0A5A-E0F7-4824-9445-6478E972D1F3}"/>
    <cellStyle name="Calculation 2 2" xfId="1024" xr:uid="{6D0A6BAA-F4A0-41C7-B8CC-ED799690CF98}"/>
    <cellStyle name="Calculation 3" xfId="256" xr:uid="{DFA1883A-645C-476E-905D-5558A2F0120F}"/>
    <cellStyle name="Calculation 4" xfId="53" xr:uid="{7D962DF3-BD24-4115-A7DD-4FA7F5BD5F94}"/>
    <cellStyle name="Check Cell" xfId="14" builtinId="23" customBuiltin="1"/>
    <cellStyle name="Check Cell 2" xfId="257" xr:uid="{A9194179-AD21-43EE-8667-14E76DF2AC80}"/>
    <cellStyle name="Check Cell 2 2" xfId="1022" xr:uid="{C4F8A4E4-D43F-4318-9AC6-EB273A45FCA7}"/>
    <cellStyle name="Check Cell 3" xfId="258" xr:uid="{DA703F32-6C4B-42D7-8036-40D4F4548DD6}"/>
    <cellStyle name="Check Cell 4" xfId="55" xr:uid="{65C005C6-DE67-4D14-A902-09DFF89C0871}"/>
    <cellStyle name="Comma" xfId="1" builtinId="3"/>
    <cellStyle name="Comma [0] 2 2" xfId="1699" xr:uid="{6380F8E1-D17C-4543-ABBE-667FEDFA1DFF}"/>
    <cellStyle name="Comma [0] 3" xfId="990" xr:uid="{E1899075-BA20-4B47-8419-DF2F919E9CC7}"/>
    <cellStyle name="Comma [0] 3 2" xfId="1079" xr:uid="{3E9FF259-D82B-4B27-9DA7-93D2168FB749}"/>
    <cellStyle name="Comma [0] 3 2 2" xfId="1216" xr:uid="{31A2FC69-06C7-4067-BD68-BA1311B27F91}"/>
    <cellStyle name="Comma [0] 3 2 2 2" xfId="1513" xr:uid="{F814F64E-89E0-42A7-A756-EE42E9A4069B}"/>
    <cellStyle name="Comma [0] 3 2 2 2 2" xfId="2187" xr:uid="{2D0BDC42-CD4B-418E-991E-4F8ADED87772}"/>
    <cellStyle name="Comma [0] 3 2 2 3" xfId="1892" xr:uid="{5AEE2560-30E3-4562-8F45-6F0AA7E98EB8}"/>
    <cellStyle name="Comma [0] 3 2 3" xfId="1376" xr:uid="{0A4051DE-9560-48FA-801E-978226667D55}"/>
    <cellStyle name="Comma [0] 3 2 3 2" xfId="2050" xr:uid="{65252915-185D-4AF3-A686-E9545903E02B}"/>
    <cellStyle name="Comma [0] 3 2 4" xfId="1755" xr:uid="{FF61F807-1564-44CD-A0C5-B08104C36D5A}"/>
    <cellStyle name="Comma [0] 3 3" xfId="1166" xr:uid="{0C81D6D1-B851-442E-8695-A9DDACFB5975}"/>
    <cellStyle name="Comma [0] 3 3 2" xfId="1463" xr:uid="{73980BE2-73C8-4796-9889-F25A17BC726F}"/>
    <cellStyle name="Comma [0] 3 3 2 2" xfId="2137" xr:uid="{06A67921-7AC0-402C-96D9-D52F062ADA21}"/>
    <cellStyle name="Comma [0] 3 3 3" xfId="1842" xr:uid="{327650F8-B34A-41A3-AD06-3AB5BCFBE6AE}"/>
    <cellStyle name="Comma [0] 3 4" xfId="1130" xr:uid="{FE203070-C0E8-4905-8CDA-B343F6072206}"/>
    <cellStyle name="Comma [0] 3 4 2" xfId="1427" xr:uid="{2F2EBF2E-5B69-469A-8C18-E6DBB9ACD325}"/>
    <cellStyle name="Comma [0] 3 4 2 2" xfId="2101" xr:uid="{668E8ABA-2CEB-40F2-8314-7897063C427E}"/>
    <cellStyle name="Comma [0] 3 4 3" xfId="1806" xr:uid="{B75F07FE-9475-48D3-AD58-47AE9F31DAF1}"/>
    <cellStyle name="Comma [0] 3 5" xfId="1333" xr:uid="{F2662D1C-BD3A-4E14-A417-840E9BBCDC00}"/>
    <cellStyle name="Comma [0] 3 5 2" xfId="2007" xr:uid="{CF0C7118-C21F-4AD3-9230-538973D39563}"/>
    <cellStyle name="Comma [0] 3 6" xfId="1711" xr:uid="{A59F7B71-9035-4A55-85DF-F99420C420E5}"/>
    <cellStyle name="Comma [0] 4" xfId="1274" xr:uid="{23539BDA-94C1-4E92-AADE-D5A152A111DD}"/>
    <cellStyle name="Comma [0] 4 2" xfId="1948" xr:uid="{EE11D5AA-27CA-49EE-B032-63CEF22641DA}"/>
    <cellStyle name="Comma [0] 5" xfId="890" xr:uid="{ED84C9AA-9466-46A2-BBBC-B140EE3CE96B}"/>
    <cellStyle name="Comma [0] 5 2" xfId="1639" xr:uid="{8411279C-9C8E-4870-A730-6AC6EA38E49A}"/>
    <cellStyle name="Comma 10" xfId="808" xr:uid="{2B36F1EA-06FD-49A8-9C5C-B37696EAA797}"/>
    <cellStyle name="Comma 10 2" xfId="857" xr:uid="{CC6FE98C-DA0D-4078-A487-7E847E4A87B0}"/>
    <cellStyle name="Comma 10 2 2" xfId="1211" xr:uid="{A60E3F55-BEA0-45C3-B3BD-0B2F61F57565}"/>
    <cellStyle name="Comma 10 2 2 2" xfId="1508" xr:uid="{36E5C239-F2E3-45B2-BD37-5B14ED909533}"/>
    <cellStyle name="Comma 10 2 2 2 2" xfId="2182" xr:uid="{CC7B2B53-56A5-4FB6-A4B7-50083ECEF164}"/>
    <cellStyle name="Comma 10 2 2 3" xfId="1887" xr:uid="{64043E54-6779-4D20-BABC-FDD41EF69861}"/>
    <cellStyle name="Comma 10 2 3" xfId="1371" xr:uid="{A0AFEE3D-4037-4C4E-8688-AB348FF6B054}"/>
    <cellStyle name="Comma 10 2 3 2" xfId="2045" xr:uid="{2DF87AB0-C73D-4152-BB8E-11D7D03C44F0}"/>
    <cellStyle name="Comma 10 2 4" xfId="1074" xr:uid="{6FA37812-E962-4012-94C2-B42D60A5E93A}"/>
    <cellStyle name="Comma 10 2 5" xfId="1750" xr:uid="{8E17059F-128A-4089-BCA5-4A7030179D6B}"/>
    <cellStyle name="Comma 10 3" xfId="1161" xr:uid="{D40BB787-EF1C-4BE3-99E5-5EDF582AB05A}"/>
    <cellStyle name="Comma 10 3 2" xfId="1458" xr:uid="{BE94A6C4-3441-4C6E-87E6-B5EF5AAE2928}"/>
    <cellStyle name="Comma 10 3 2 2" xfId="2132" xr:uid="{1D7F9EB5-E870-4F79-89FC-A101343DBBD3}"/>
    <cellStyle name="Comma 10 3 3" xfId="1837" xr:uid="{383F7A14-852D-4C73-9430-58BB5C7A3D83}"/>
    <cellStyle name="Comma 10 4" xfId="1125" xr:uid="{7B91C08F-9A15-4BA7-9C9B-6D3BEC3A5591}"/>
    <cellStyle name="Comma 10 4 2" xfId="1422" xr:uid="{9D7A1A07-0A15-4E2A-AB75-0DD5F74DACF0}"/>
    <cellStyle name="Comma 10 4 2 2" xfId="2096" xr:uid="{69FFC997-3320-4AB2-87E0-1A69D41DAF9B}"/>
    <cellStyle name="Comma 10 4 3" xfId="1801" xr:uid="{120B235F-C977-475A-BDED-FB4810B36F4C}"/>
    <cellStyle name="Comma 10 5" xfId="984" xr:uid="{ED85C202-B301-4722-8D67-14B817E34F34}"/>
    <cellStyle name="Comma 10 5 2" xfId="1328" xr:uid="{E545A826-4B05-4F2F-8629-C42C42A187EA}"/>
    <cellStyle name="Comma 10 5 2 2" xfId="2002" xr:uid="{CA1333B7-4308-4EB4-952D-908681A60EAB}"/>
    <cellStyle name="Comma 10 5 3" xfId="1706" xr:uid="{84B22196-2004-4115-951B-FE594ADB0F2D}"/>
    <cellStyle name="Comma 10 6" xfId="1276" xr:uid="{F4DF10AD-8422-48DE-AC2C-B2621AD3E61E}"/>
    <cellStyle name="Comma 10 6 2" xfId="1950" xr:uid="{A31ED783-8017-4180-A55C-F1DEBF0EE5D1}"/>
    <cellStyle name="Comma 10 7" xfId="903" xr:uid="{4E3B48D5-34D5-4894-BAA6-13B3355F91A4}"/>
    <cellStyle name="Comma 10 8" xfId="1641" xr:uid="{08767956-8023-41AD-802F-8E0AF8546219}"/>
    <cellStyle name="Comma 11" xfId="831" xr:uid="{DF06A389-F609-4B74-8B30-BFBF1BA6E304}"/>
    <cellStyle name="Comma 11 2" xfId="858" xr:uid="{E458DA16-32C0-4CC4-828E-ACF49F9A8C33}"/>
    <cellStyle name="Comma 11 2 2" xfId="1212" xr:uid="{B35FE78B-6443-49AB-B96A-9E3499FB93C5}"/>
    <cellStyle name="Comma 11 2 2 2" xfId="1509" xr:uid="{112168E1-C710-484D-B990-D8FA3F373B5F}"/>
    <cellStyle name="Comma 11 2 2 2 2" xfId="2183" xr:uid="{507E96FC-8E4A-43A7-A36D-704D940C3BE7}"/>
    <cellStyle name="Comma 11 2 2 3" xfId="1888" xr:uid="{7E7D595B-BDF6-475C-9A8A-1B41BF5CA5D1}"/>
    <cellStyle name="Comma 11 2 3" xfId="1372" xr:uid="{BBF80617-0B86-44DC-81CB-83BC91D13D1D}"/>
    <cellStyle name="Comma 11 2 3 2" xfId="2046" xr:uid="{9BB0F0D6-19FD-40AB-8625-1E3A130B2876}"/>
    <cellStyle name="Comma 11 2 4" xfId="1075" xr:uid="{B33CF585-D8D5-4EBF-8C4D-C159629EF13D}"/>
    <cellStyle name="Comma 11 2 5" xfId="1751" xr:uid="{FEB4924E-7E28-4EB2-B6F7-1A414B3C4D92}"/>
    <cellStyle name="Comma 11 3" xfId="1162" xr:uid="{326107AE-B697-476B-9649-718DA4BA4951}"/>
    <cellStyle name="Comma 11 3 2" xfId="1459" xr:uid="{7FA83589-F7E6-427E-B60C-1E4577BCBA3E}"/>
    <cellStyle name="Comma 11 3 2 2" xfId="2133" xr:uid="{39762226-3897-4506-A6D9-F7C38F8D2246}"/>
    <cellStyle name="Comma 11 3 3" xfId="1838" xr:uid="{DA8C2223-C3CC-4836-B503-8CA5F1652235}"/>
    <cellStyle name="Comma 11 4" xfId="1126" xr:uid="{9DD64663-F5A7-4937-822F-0F989CE46013}"/>
    <cellStyle name="Comma 11 4 2" xfId="1423" xr:uid="{2409821A-555A-4882-8C62-40FCECF50F18}"/>
    <cellStyle name="Comma 11 4 2 2" xfId="2097" xr:uid="{1DBA6617-639B-47D9-AB5F-DE802DFDCA59}"/>
    <cellStyle name="Comma 11 4 3" xfId="1802" xr:uid="{6BF75464-C05E-4948-8E08-4066CD1A5FDB}"/>
    <cellStyle name="Comma 11 5" xfId="985" xr:uid="{1C5BC339-077C-4776-953F-CD53BB8F459B}"/>
    <cellStyle name="Comma 11 5 2" xfId="1329" xr:uid="{5A5B0F5B-C54C-41C1-8D59-E8395B7D4E81}"/>
    <cellStyle name="Comma 11 5 2 2" xfId="2003" xr:uid="{1994D3F6-C278-402D-99EA-F364C9CD230A}"/>
    <cellStyle name="Comma 11 5 3" xfId="1707" xr:uid="{BD0B59FC-E4CD-46C9-A53E-6E9C837E9122}"/>
    <cellStyle name="Comma 11 6" xfId="1312" xr:uid="{52AC1BCE-0AC8-478D-A4DC-1C6B27EC2307}"/>
    <cellStyle name="Comma 11 6 2" xfId="1986" xr:uid="{C59CFA6D-BF98-4AF5-9B86-B895D6291AC6}"/>
    <cellStyle name="Comma 11 7" xfId="952" xr:uid="{0D474E8F-14A6-4EB4-80E1-59ED9C5BC930}"/>
    <cellStyle name="Comma 11 8" xfId="1680" xr:uid="{C6EE91D3-41DB-4588-95EA-7CF4390DC08F}"/>
    <cellStyle name="Comma 12" xfId="780" xr:uid="{C7B9B7DF-25ED-411E-9A03-4695DF3BD10C}"/>
    <cellStyle name="Comma 12 2" xfId="1076" xr:uid="{24393F5F-716D-4471-86B1-375C40242C18}"/>
    <cellStyle name="Comma 12 2 2" xfId="1213" xr:uid="{0A89D87A-39DF-4B46-94E5-21BACF1435C5}"/>
    <cellStyle name="Comma 12 2 2 2" xfId="1510" xr:uid="{0F32C96F-559E-4EA8-950F-B78B09AF0084}"/>
    <cellStyle name="Comma 12 2 2 2 2" xfId="2184" xr:uid="{0132E057-C1E5-4B62-AC34-2475E16EAD7E}"/>
    <cellStyle name="Comma 12 2 2 3" xfId="1889" xr:uid="{DE8240B0-3F69-4CED-B5D8-3E8647045F50}"/>
    <cellStyle name="Comma 12 2 3" xfId="1373" xr:uid="{CC467C86-9376-4ACE-ACA7-44F4A77ADBE3}"/>
    <cellStyle name="Comma 12 2 3 2" xfId="2047" xr:uid="{A8E47639-7DD3-4415-BC2E-2F99A8C6BAB2}"/>
    <cellStyle name="Comma 12 2 4" xfId="1752" xr:uid="{B16D24E9-B5AF-498D-BE31-BA10587FBE9F}"/>
    <cellStyle name="Comma 12 3" xfId="1163" xr:uid="{53F6CE80-AFAF-4CAF-9F49-3FB6A40E9393}"/>
    <cellStyle name="Comma 12 3 2" xfId="1460" xr:uid="{EB4F3C5D-0AE4-4A0F-BA5E-DF60F4EEF226}"/>
    <cellStyle name="Comma 12 3 2 2" xfId="2134" xr:uid="{0CF91D8E-7CB0-4923-A26D-A2ED9E1D7327}"/>
    <cellStyle name="Comma 12 3 3" xfId="1839" xr:uid="{4F454BFF-811F-491B-8600-ACA01913C699}"/>
    <cellStyle name="Comma 12 4" xfId="1127" xr:uid="{106FAB81-F129-4649-BC41-0685634BF8B9}"/>
    <cellStyle name="Comma 12 4 2" xfId="1424" xr:uid="{37362E4B-9FC0-4024-B4FF-6B7BF73FF426}"/>
    <cellStyle name="Comma 12 4 2 2" xfId="2098" xr:uid="{39A281F5-5DB5-4C94-9BB7-CCA0123C9D10}"/>
    <cellStyle name="Comma 12 4 3" xfId="1803" xr:uid="{3B59FCAF-97F8-42AC-B44A-CA43EE694847}"/>
    <cellStyle name="Comma 12 5" xfId="1330" xr:uid="{81F6DF9F-DE1C-4044-9F5A-53DA5EFBA00A}"/>
    <cellStyle name="Comma 12 5 2" xfId="2004" xr:uid="{F961C5BD-2F1C-46E6-A078-BFEFA4427B87}"/>
    <cellStyle name="Comma 12 6" xfId="986" xr:uid="{C8A6749D-A241-4A4F-A62E-0BD0A03C1D0E}"/>
    <cellStyle name="Comma 12 7" xfId="1708" xr:uid="{BF8BCA85-5FC7-49C7-AE6F-486019DEFFF9}"/>
    <cellStyle name="Comma 13" xfId="868" xr:uid="{6E4AA1F5-C64B-44EF-8288-91E931058A8D}"/>
    <cellStyle name="Comma 13 2" xfId="1082" xr:uid="{B63CA74E-6133-4C51-9E69-29A513AB08A7}"/>
    <cellStyle name="Comma 13 2 2" xfId="1219" xr:uid="{9D7FEEEE-5A16-40AA-8F43-5275FD82E5F9}"/>
    <cellStyle name="Comma 13 2 2 2" xfId="1516" xr:uid="{588273FA-5C22-4062-BBF3-35880D5DC09D}"/>
    <cellStyle name="Comma 13 2 2 2 2" xfId="2190" xr:uid="{65B9DC18-36BA-40CB-8A55-CC05454321D5}"/>
    <cellStyle name="Comma 13 2 2 3" xfId="1895" xr:uid="{C4970453-EC3C-4B09-B285-360BD7E1DBFB}"/>
    <cellStyle name="Comma 13 2 3" xfId="1379" xr:uid="{EB2BFE3A-028C-41FF-9A68-AC63B52A87CD}"/>
    <cellStyle name="Comma 13 2 3 2" xfId="2053" xr:uid="{638B9036-96B8-4F2A-8A43-CCECC0A6DD1F}"/>
    <cellStyle name="Comma 13 2 4" xfId="1758" xr:uid="{D100CAA4-8EFF-45F6-B1F0-D0A46A959FA2}"/>
    <cellStyle name="Comma 13 3" xfId="1169" xr:uid="{48102CFA-E847-4A35-BA52-56989D288EC5}"/>
    <cellStyle name="Comma 13 3 2" xfId="1466" xr:uid="{F14DE1B2-D5DD-47EA-857A-ADDEC7FA18B4}"/>
    <cellStyle name="Comma 13 3 2 2" xfId="2140" xr:uid="{867A065B-0904-47C3-BE6D-D5D243133213}"/>
    <cellStyle name="Comma 13 3 3" xfId="1845" xr:uid="{38407D9F-036F-4A78-9E14-408E4CFEBCF1}"/>
    <cellStyle name="Comma 13 4" xfId="1134" xr:uid="{70138739-F507-47DF-B4FD-DF0B9B103812}"/>
    <cellStyle name="Comma 13 4 2" xfId="1431" xr:uid="{48409946-4B30-435C-92B3-3293DACDD767}"/>
    <cellStyle name="Comma 13 4 2 2" xfId="2105" xr:uid="{D6E03D61-D0B5-4CC0-A564-4F80F74FAACE}"/>
    <cellStyle name="Comma 13 4 3" xfId="1810" xr:uid="{985BEDA8-3BF0-4499-A331-1C39DEE4851B}"/>
    <cellStyle name="Comma 13 5" xfId="1336" xr:uid="{3DC9DC06-99D6-4132-A3C6-32BC8FA18FB5}"/>
    <cellStyle name="Comma 13 5 2" xfId="2010" xr:uid="{A4081B74-A1FE-4137-9D28-CFC00921DF8D}"/>
    <cellStyle name="Comma 13 6" xfId="997" xr:uid="{C8D9EE0D-3A9E-416C-9A6E-ABD9869E457D}"/>
    <cellStyle name="Comma 13 7" xfId="1715" xr:uid="{99474E56-75B2-4AC7-92CD-2BEEDA0CEF65}"/>
    <cellStyle name="Comma 14" xfId="875" xr:uid="{460F476A-A079-450E-8269-5101BDE7BE11}"/>
    <cellStyle name="Comma 14 2" xfId="1094" xr:uid="{B636FA07-AEF8-44A0-9362-5BD7B1D8A833}"/>
    <cellStyle name="Comma 14 2 2" xfId="1231" xr:uid="{FA678831-D2F7-411A-AE30-DA2877D8D09E}"/>
    <cellStyle name="Comma 14 2 2 2" xfId="1528" xr:uid="{91537ABE-ACC6-4233-B0D9-37A1E3DEC3B3}"/>
    <cellStyle name="Comma 14 2 2 2 2" xfId="2202" xr:uid="{CFC7A565-EF0C-4852-902D-6F6697117D45}"/>
    <cellStyle name="Comma 14 2 2 3" xfId="1907" xr:uid="{3795FC3C-374E-43A7-9041-216710BF8CEB}"/>
    <cellStyle name="Comma 14 2 3" xfId="1391" xr:uid="{4EE50B0D-143D-4316-B203-5F3DFF32B1A0}"/>
    <cellStyle name="Comma 14 2 3 2" xfId="2065" xr:uid="{FAFA5049-F7DF-443F-8F0F-33F590FA3A67}"/>
    <cellStyle name="Comma 14 2 4" xfId="1770" xr:uid="{2DAC66BC-A3CE-4484-A926-06D8556C07BB}"/>
    <cellStyle name="Comma 14 3" xfId="1181" xr:uid="{F4B4FBFF-609C-48E2-8994-D62EC6FDCBC1}"/>
    <cellStyle name="Comma 14 3 2" xfId="1478" xr:uid="{4AF9B6D4-BE2C-40C6-B595-447AF3C0DA83}"/>
    <cellStyle name="Comma 14 3 2 2" xfId="2152" xr:uid="{280BCDA3-99A1-404A-B519-E49BF8F7454E}"/>
    <cellStyle name="Comma 14 3 3" xfId="1857" xr:uid="{E62EEF3D-9004-4E48-B85F-9CCB0676C637}"/>
    <cellStyle name="Comma 14 4" xfId="1348" xr:uid="{627FC585-9F32-4AD6-B579-3A3DEB445194}"/>
    <cellStyle name="Comma 14 4 2" xfId="2022" xr:uid="{E5F13700-FBA5-4A3E-B7CD-98911A9D1C75}"/>
    <cellStyle name="Comma 14 5" xfId="1010" xr:uid="{25B6F44A-5FD7-4738-AC3B-11866E2E8A40}"/>
    <cellStyle name="Comma 14 6" xfId="1727" xr:uid="{D6A01BD2-4B36-4986-964C-9C4DC75D63AE}"/>
    <cellStyle name="Comma 15" xfId="879" xr:uid="{4DD01876-454E-40DA-877E-64AE537C7FDB}"/>
    <cellStyle name="Comma 15 2" xfId="1095" xr:uid="{E13AD769-0BFC-42F4-AC1B-ADE6B5092B81}"/>
    <cellStyle name="Comma 15 2 2" xfId="1232" xr:uid="{51E92A64-E243-4694-94B4-715BF8C1B13B}"/>
    <cellStyle name="Comma 15 2 2 2" xfId="1529" xr:uid="{F97E63F7-7BEA-4511-A4F8-9B638CAD08AB}"/>
    <cellStyle name="Comma 15 2 2 2 2" xfId="2203" xr:uid="{237569E2-774D-4A41-A85F-4BB8BE0A1265}"/>
    <cellStyle name="Comma 15 2 2 3" xfId="1908" xr:uid="{56686B5B-4A36-47DE-84AE-3168BAC5F795}"/>
    <cellStyle name="Comma 15 2 3" xfId="1392" xr:uid="{AD2404A5-6B58-47AA-933F-4B88F6B792CB}"/>
    <cellStyle name="Comma 15 2 3 2" xfId="2066" xr:uid="{41CAB659-0A83-4AA4-BFCB-792CE66C56D1}"/>
    <cellStyle name="Comma 15 2 4" xfId="1771" xr:uid="{6C0E16BC-A786-42E8-A477-C48F03E5C553}"/>
    <cellStyle name="Comma 15 3" xfId="1182" xr:uid="{383D7732-BA94-4B32-81A7-FD19B4C5A894}"/>
    <cellStyle name="Comma 15 3 2" xfId="1479" xr:uid="{0D57ADD6-AD45-4C00-8C43-AEC431BD9759}"/>
    <cellStyle name="Comma 15 3 2 2" xfId="2153" xr:uid="{934A2106-689F-42B6-B7B6-5CC45E11EF39}"/>
    <cellStyle name="Comma 15 3 3" xfId="1858" xr:uid="{5E9B5E5C-FC1B-4782-B78F-574413F904BF}"/>
    <cellStyle name="Comma 15 4" xfId="1349" xr:uid="{E7EE753C-A544-4840-AEC8-2839176FB510}"/>
    <cellStyle name="Comma 15 4 2" xfId="2023" xr:uid="{D3EBDAB8-26AD-45FB-8388-9994509F1BE3}"/>
    <cellStyle name="Comma 15 6" xfId="1728" xr:uid="{43A37309-D316-4528-933C-0F8C703E7CA1}"/>
    <cellStyle name="Comma 16" xfId="883" xr:uid="{8A457532-7FEB-41D6-A703-C72485D820FD}"/>
    <cellStyle name="Comma 16 2" xfId="1097" xr:uid="{F6B5B20D-5A2F-4251-A133-D70955B50CDC}"/>
    <cellStyle name="Comma 16 2 2" xfId="1234" xr:uid="{BB950A09-7A0D-4805-9A7B-F91605DC41A4}"/>
    <cellStyle name="Comma 16 2 2 2" xfId="1531" xr:uid="{73EF3B1B-F3CF-4D46-A8DB-DDA19A46B393}"/>
    <cellStyle name="Comma 16 2 2 2 2" xfId="2205" xr:uid="{85F1053F-2993-409A-9DEA-7900541EF8E5}"/>
    <cellStyle name="Comma 16 2 2 3" xfId="1910" xr:uid="{42D281F3-5506-4E2D-9A9E-3ED8367D5079}"/>
    <cellStyle name="Comma 16 2 3" xfId="1394" xr:uid="{E30EDFD8-28C7-43F8-B7AE-3F3143EDB81C}"/>
    <cellStyle name="Comma 16 2 3 2" xfId="2068" xr:uid="{E39AA255-D6DA-4BA2-BD84-5C21F4688F07}"/>
    <cellStyle name="Comma 16 2 4" xfId="1773" xr:uid="{FB0FBD9C-54CD-4802-95B4-E478711A844B}"/>
    <cellStyle name="Comma 16 3" xfId="1184" xr:uid="{B668BDBE-14B2-4EA1-A575-C66A893782FB}"/>
    <cellStyle name="Comma 16 3 2" xfId="1481" xr:uid="{73E1AAAD-F567-460E-8EEE-2A90E10E3196}"/>
    <cellStyle name="Comma 16 3 2 2" xfId="2155" xr:uid="{C2BF71ED-F474-4829-83F2-05EDAA21C060}"/>
    <cellStyle name="Comma 16 3 3" xfId="1860" xr:uid="{CF3A2C33-A4DD-4D06-B0CD-7F001B39B6B8}"/>
    <cellStyle name="Comma 16 4" xfId="1351" xr:uid="{FB7BC227-9621-464F-B7E0-D4502F68C8D0}"/>
    <cellStyle name="Comma 16 4 2" xfId="2025" xr:uid="{25C64646-D8CB-4961-B747-8A5667923F85}"/>
    <cellStyle name="Comma 16 5" xfId="1012" xr:uid="{1BD58498-A90E-4811-8280-5EB321DC9EC5}"/>
    <cellStyle name="Comma 16 6" xfId="1730" xr:uid="{BDA3323E-0F9D-4385-8CD7-2FCC37CF7B80}"/>
    <cellStyle name="Comma 17" xfId="886" xr:uid="{6DFB49F8-D26F-4B3B-9A09-09F9F0581276}"/>
    <cellStyle name="Comma 17 2" xfId="1096" xr:uid="{AAD78F81-FFC2-4427-AD16-97E73FD2C590}"/>
    <cellStyle name="Comma 17 2 2" xfId="1233" xr:uid="{5282AFDC-FE0F-4B20-8F90-7660A10DCFAC}"/>
    <cellStyle name="Comma 17 2 2 2" xfId="1530" xr:uid="{9D1F3E79-85DC-4C88-9CDE-1447DC7BDC7D}"/>
    <cellStyle name="Comma 17 2 2 2 2" xfId="2204" xr:uid="{007A3439-F8D9-45EA-95B2-3F920EB464B9}"/>
    <cellStyle name="Comma 17 2 2 3" xfId="1909" xr:uid="{733CD0FF-30F4-4A32-8D4B-D7FBB79290A8}"/>
    <cellStyle name="Comma 17 2 3" xfId="1393" xr:uid="{265EFCE3-558F-4F08-8F2D-E26BE3EC8B14}"/>
    <cellStyle name="Comma 17 2 3 2" xfId="2067" xr:uid="{C14D1476-05AD-4692-8AD1-EE4DBD0F244B}"/>
    <cellStyle name="Comma 17 2 4" xfId="1772" xr:uid="{E3AAC541-67AC-45B6-99F0-2C592C12C86E}"/>
    <cellStyle name="Comma 17 3" xfId="1183" xr:uid="{756D2CF8-3419-499A-B73E-02F18C2692D5}"/>
    <cellStyle name="Comma 17 3 2" xfId="1480" xr:uid="{AC901550-1DA6-4870-85FF-060E3E3C506D}"/>
    <cellStyle name="Comma 17 3 2 2" xfId="2154" xr:uid="{B273EA7C-5851-4178-B6F3-6EBB9AD19E86}"/>
    <cellStyle name="Comma 17 3 3" xfId="1859" xr:uid="{CC7031DA-C89C-4408-B79F-EC54FEAE7018}"/>
    <cellStyle name="Comma 17 4" xfId="1350" xr:uid="{07CB7915-3BE6-4C2F-9A4A-AD700324A070}"/>
    <cellStyle name="Comma 17 4 2" xfId="2024" xr:uid="{29EFCA20-2242-4029-ADE3-5ABDEFB585B8}"/>
    <cellStyle name="Comma 17 5" xfId="1011" xr:uid="{A1633DD2-1F84-48C2-9A6F-991AC00B4A2F}"/>
    <cellStyle name="Comma 17 6" xfId="1729" xr:uid="{B1217A74-6712-49C4-A914-9DFB5EE3FD69}"/>
    <cellStyle name="Comma 18" xfId="1009" xr:uid="{0DB62879-710E-4E66-903C-7BE1CE59F3EF}"/>
    <cellStyle name="Comma 18 2" xfId="1093" xr:uid="{651FFD4D-FDB0-4E08-A644-DDDDCA06B6A8}"/>
    <cellStyle name="Comma 18 2 2" xfId="1230" xr:uid="{2A84F9FA-50E1-4A4B-9833-471D2ABA0BCD}"/>
    <cellStyle name="Comma 18 2 2 2" xfId="1527" xr:uid="{5E40169E-01AA-454E-9A83-CFCF9CBF8E9E}"/>
    <cellStyle name="Comma 18 2 2 2 2" xfId="2201" xr:uid="{46F35A65-A8C2-498E-A191-3496F3B0ADF1}"/>
    <cellStyle name="Comma 18 2 2 3" xfId="1906" xr:uid="{9E967B7B-8B2E-42AA-895A-261D1A80EF85}"/>
    <cellStyle name="Comma 18 2 3" xfId="1390" xr:uid="{9FEC82C7-8390-41F9-969D-86645EE87071}"/>
    <cellStyle name="Comma 18 2 3 2" xfId="2064" xr:uid="{20E28936-539A-401E-BCF9-BCF3A19D0257}"/>
    <cellStyle name="Comma 18 2 4" xfId="1769" xr:uid="{2EF95863-073B-4E0D-9C40-4DE4FB3A76BA}"/>
    <cellStyle name="Comma 18 3" xfId="1180" xr:uid="{8C21D1D2-E934-4CD8-9507-D8B2DB653990}"/>
    <cellStyle name="Comma 18 3 2" xfId="1477" xr:uid="{7215F47E-BB82-425A-B765-2EC00F3CD383}"/>
    <cellStyle name="Comma 18 3 2 2" xfId="2151" xr:uid="{0C3C133D-0786-4B40-AD99-D15794E897EF}"/>
    <cellStyle name="Comma 18 3 3" xfId="1856" xr:uid="{ACBF7016-E09F-4E39-B051-FE0AE0A2871A}"/>
    <cellStyle name="Comma 18 4" xfId="1347" xr:uid="{4587E8E9-F067-4DFD-A8C6-0ADC95C0BAE2}"/>
    <cellStyle name="Comma 18 4 2" xfId="2021" xr:uid="{29865653-B6B3-4C13-95CD-408C87A81130}"/>
    <cellStyle name="Comma 18 5" xfId="1726" xr:uid="{013940AC-222A-4CF6-9B36-05EE042ADFBE}"/>
    <cellStyle name="Comma 19" xfId="1056" xr:uid="{5841E623-0A50-4FB2-B9B4-11C901F5930D}"/>
    <cellStyle name="Comma 19 2" xfId="1100" xr:uid="{DBD680E5-FF99-44A3-A702-9EAB058A4D36}"/>
    <cellStyle name="Comma 19 2 2" xfId="1237" xr:uid="{9AF24EF6-BAA6-4899-9982-27588AE960CE}"/>
    <cellStyle name="Comma 19 2 2 2" xfId="1534" xr:uid="{46580925-62CF-4A3C-B885-A87AA7AA7CAB}"/>
    <cellStyle name="Comma 19 2 2 2 2" xfId="2208" xr:uid="{C978FD1A-13FE-4088-AFFA-4957B54012BB}"/>
    <cellStyle name="Comma 19 2 2 3" xfId="1913" xr:uid="{BC63B397-4250-46A2-A9CB-240AE94620B7}"/>
    <cellStyle name="Comma 19 2 3" xfId="1397" xr:uid="{0FE9E0F6-FF98-4107-8C19-5259EF4AB52B}"/>
    <cellStyle name="Comma 19 2 3 2" xfId="2071" xr:uid="{8F3BC7C0-EF8B-4D37-8CBA-9D88E74BEC98}"/>
    <cellStyle name="Comma 19 2 4" xfId="1776" xr:uid="{2618D34C-9A77-4174-B4BD-3A63AECE6D38}"/>
    <cellStyle name="Comma 19 3" xfId="1193" xr:uid="{7FD6D863-3088-4D29-A906-E740C933E862}"/>
    <cellStyle name="Comma 19 3 2" xfId="1490" xr:uid="{C99ED811-C79B-4623-A5E3-344C0EDAF619}"/>
    <cellStyle name="Comma 19 3 2 2" xfId="2164" xr:uid="{C2F2C31C-8534-4E2C-8064-E8AF1A71560A}"/>
    <cellStyle name="Comma 19 3 3" xfId="1869" xr:uid="{607A6BD5-1498-4FCA-9BD5-87058F51529B}"/>
    <cellStyle name="Comma 19 4" xfId="1353" xr:uid="{85B03B51-9398-41D6-8D6C-B5801E03C71F}"/>
    <cellStyle name="Comma 19 4 2" xfId="2027" xr:uid="{3B875CD9-018D-45F4-9F90-506220F8B330}"/>
    <cellStyle name="Comma 19 5" xfId="1732" xr:uid="{85F60011-6F2C-4E94-825C-0D7B75DB5474}"/>
    <cellStyle name="Comma 2" xfId="85" xr:uid="{DEFE6E73-F52E-4975-A3C1-9EBE9D35AF87}"/>
    <cellStyle name="Comma 2 10" xfId="906" xr:uid="{0E2C8B17-0D53-46BF-8A71-5F6D25735987}"/>
    <cellStyle name="Comma 2 10 10" xfId="1644" xr:uid="{6AEB2755-46E9-4728-BBEF-D210FFA7B7B4}"/>
    <cellStyle name="Comma 2 10 2" xfId="919" xr:uid="{9DB64BD1-24B7-4073-8A09-B5EFC142F10C}"/>
    <cellStyle name="Comma 2 10 2 2" xfId="998" xr:uid="{9BCF4751-B02F-465B-BCC0-49749731B6B4}"/>
    <cellStyle name="Comma 2 10 2 2 2" xfId="1083" xr:uid="{899C5FBF-8858-4027-B51E-9D8DEE26A092}"/>
    <cellStyle name="Comma 2 10 2 2 2 2" xfId="1220" xr:uid="{58A3FB94-DC7A-4AC4-869B-B76AACCCDE24}"/>
    <cellStyle name="Comma 2 10 2 2 2 2 2" xfId="1517" xr:uid="{155B227C-5FDD-45F7-9D88-95B025121600}"/>
    <cellStyle name="Comma 2 10 2 2 2 2 2 2" xfId="2191" xr:uid="{C11912F8-301B-45A7-8DD2-965E63EEF518}"/>
    <cellStyle name="Comma 2 10 2 2 2 2 3" xfId="1896" xr:uid="{83311BAA-36E9-4D2C-AA63-02EE655EEEC1}"/>
    <cellStyle name="Comma 2 10 2 2 2 3" xfId="1380" xr:uid="{6EA28AE9-6F3F-44FE-9D60-786C4E6A46CE}"/>
    <cellStyle name="Comma 2 10 2 2 2 3 2" xfId="2054" xr:uid="{5F9A2CA2-D877-4B26-B589-971A71DD18DD}"/>
    <cellStyle name="Comma 2 10 2 2 2 4" xfId="1759" xr:uid="{0EEC716D-7CE6-41BE-9F47-6BFA8AB17D19}"/>
    <cellStyle name="Comma 2 10 2 2 3" xfId="1170" xr:uid="{B235E34D-18C8-4267-9159-A56C50A7534A}"/>
    <cellStyle name="Comma 2 10 2 2 3 2" xfId="1467" xr:uid="{D5504514-F8A0-459B-86C1-9008C2C49060}"/>
    <cellStyle name="Comma 2 10 2 2 3 2 2" xfId="2141" xr:uid="{967ACE28-3287-47EA-BCF0-2838D791CCD7}"/>
    <cellStyle name="Comma 2 10 2 2 3 3" xfId="1846" xr:uid="{7394D3BB-2921-4EF7-A9FE-45C68C285BF6}"/>
    <cellStyle name="Comma 2 10 2 2 4" xfId="1135" xr:uid="{D455E8CD-A433-4838-AF09-0781557ACD47}"/>
    <cellStyle name="Comma 2 10 2 2 4 2" xfId="1432" xr:uid="{98610B44-EAD4-41DE-B7F9-13B03A615562}"/>
    <cellStyle name="Comma 2 10 2 2 4 2 2" xfId="2106" xr:uid="{5CE278DF-C222-423F-B046-C17F1354E5D1}"/>
    <cellStyle name="Comma 2 10 2 2 4 3" xfId="1811" xr:uid="{65A76FB3-7484-463F-8BAD-3966FE9BBF53}"/>
    <cellStyle name="Comma 2 10 2 2 5" xfId="1337" xr:uid="{8A89C12E-6C52-4996-8AEE-ECD37812FBF8}"/>
    <cellStyle name="Comma 2 10 2 2 5 2" xfId="2011" xr:uid="{52898C99-7EE2-422E-BF10-408A9C9D9FC4}"/>
    <cellStyle name="Comma 2 10 2 2 6" xfId="1716" xr:uid="{6787EA1C-CCE5-4EE7-9ABD-F81A9012A881}"/>
    <cellStyle name="Comma 2 10 2 3" xfId="1063" xr:uid="{46345E25-F183-4D0F-9411-89B3A5843C59}"/>
    <cellStyle name="Comma 2 10 2 3 2" xfId="1200" xr:uid="{AAC7693F-D6D3-41D5-B999-DB891B4E6235}"/>
    <cellStyle name="Comma 2 10 2 3 2 2" xfId="1497" xr:uid="{3EA1B108-BC55-4798-BF0C-E13C3DA423A7}"/>
    <cellStyle name="Comma 2 10 2 3 2 2 2" xfId="2171" xr:uid="{CD47BA38-6C2B-440E-B7D9-84942056F9CE}"/>
    <cellStyle name="Comma 2 10 2 3 2 3" xfId="1876" xr:uid="{DFE37544-2326-4585-B287-4E643C69F83F}"/>
    <cellStyle name="Comma 2 10 2 3 3" xfId="1360" xr:uid="{3F0BFF12-F25D-49B5-BA47-61A391F7917D}"/>
    <cellStyle name="Comma 2 10 2 3 3 2" xfId="2034" xr:uid="{E59EF424-78CF-4159-86B0-0EEED725F594}"/>
    <cellStyle name="Comma 2 10 2 3 4" xfId="1739" xr:uid="{81838F5D-A2C0-4AE6-93A5-F0DE9383DA69}"/>
    <cellStyle name="Comma 2 10 2 4" xfId="1150" xr:uid="{19EEB225-86F2-44C0-9204-0D7CD3D59B7B}"/>
    <cellStyle name="Comma 2 10 2 4 2" xfId="1447" xr:uid="{FA278F48-FEE5-4121-8EF0-F336893D1971}"/>
    <cellStyle name="Comma 2 10 2 4 2 2" xfId="2121" xr:uid="{F00BEDA6-9499-4891-B8A3-D6702E4701AF}"/>
    <cellStyle name="Comma 2 10 2 4 3" xfId="1826" xr:uid="{181D2B74-B74F-4C66-8F62-3071549AF173}"/>
    <cellStyle name="Comma 2 10 2 5" xfId="1113" xr:uid="{8F881575-7A0F-4D82-A7F9-E5BC8432EC6D}"/>
    <cellStyle name="Comma 2 10 2 5 2" xfId="1410" xr:uid="{3A13B2AD-513D-4CC3-8110-1F091A1857BA}"/>
    <cellStyle name="Comma 2 10 2 5 2 2" xfId="2084" xr:uid="{FC8E7B46-5396-4B37-8622-69AD98181E3A}"/>
    <cellStyle name="Comma 2 10 2 5 3" xfId="1789" xr:uid="{435040C4-E53F-4F8E-A02B-5BBF6B0B7056}"/>
    <cellStyle name="Comma 2 10 2 6" xfId="967" xr:uid="{96E715E6-4B7A-44F1-87E4-FCE873DC9418}"/>
    <cellStyle name="Comma 2 10 2 6 2" xfId="1317" xr:uid="{B3D8D0A5-375C-4306-83A0-847D7CF9E52C}"/>
    <cellStyle name="Comma 2 10 2 6 2 2" xfId="1991" xr:uid="{D55BD175-D406-4483-A9F9-35D31DC5B232}"/>
    <cellStyle name="Comma 2 10 2 6 3" xfId="1691" xr:uid="{FEE56F2D-ECAA-455C-99BA-7A241A57C59C}"/>
    <cellStyle name="Comma 2 10 2 7" xfId="1285" xr:uid="{065CEFBD-1B58-42DA-BE30-B4EBD4554E56}"/>
    <cellStyle name="Comma 2 10 2 7 2" xfId="1959" xr:uid="{5144863E-EBCA-4919-800B-25E08C147AFA}"/>
    <cellStyle name="Comma 2 10 2 8" xfId="1653" xr:uid="{8F5694E0-F303-4B73-B4D2-508C28D3F966}"/>
    <cellStyle name="Comma 2 10 3" xfId="935" xr:uid="{44CDE6BE-C459-4ACD-867A-E3427DBB7F97}"/>
    <cellStyle name="Comma 2 10 3 2" xfId="1078" xr:uid="{85605EEC-7A41-40DB-8522-592EAA99EED5}"/>
    <cellStyle name="Comma 2 10 3 2 2" xfId="1215" xr:uid="{1BA0985F-8F85-4385-BA0B-0D1BC1A35902}"/>
    <cellStyle name="Comma 2 10 3 2 2 2" xfId="1512" xr:uid="{0DF9CE82-604A-4ECC-805E-1E4E635407C3}"/>
    <cellStyle name="Comma 2 10 3 2 2 2 2" xfId="2186" xr:uid="{01009C10-DDA4-46AC-BC30-161B22C3124A}"/>
    <cellStyle name="Comma 2 10 3 2 2 3" xfId="1891" xr:uid="{BEE6F984-631C-4119-94B1-44AC5B4A1048}"/>
    <cellStyle name="Comma 2 10 3 2 3" xfId="1375" xr:uid="{9B58A901-CC74-4F60-841A-B4FCEA29F81E}"/>
    <cellStyle name="Comma 2 10 3 2 3 2" xfId="2049" xr:uid="{19696EE3-28F8-43CC-A1FE-6EE88E03A8C8}"/>
    <cellStyle name="Comma 2 10 3 2 4" xfId="1754" xr:uid="{CEA4D04F-2AA0-4B2D-9954-CBA66819BD80}"/>
    <cellStyle name="Comma 2 10 3 3" xfId="1165" xr:uid="{0A96C1CD-3BF8-4331-9BC3-7BB9C909D4E9}"/>
    <cellStyle name="Comma 2 10 3 3 2" xfId="1462" xr:uid="{562E7B1B-F4D9-4F46-8ABC-0D389E297B9C}"/>
    <cellStyle name="Comma 2 10 3 3 2 2" xfId="2136" xr:uid="{A32BC451-F8FE-45E8-9FC5-1EABD2708BA7}"/>
    <cellStyle name="Comma 2 10 3 3 3" xfId="1841" xr:uid="{AEC4F273-B2BF-4319-B3A2-EDCBE65BE686}"/>
    <cellStyle name="Comma 2 10 3 4" xfId="1129" xr:uid="{5EBE048B-D532-4922-ACD8-F567C1F4A319}"/>
    <cellStyle name="Comma 2 10 3 4 2" xfId="1426" xr:uid="{0821E23F-FF2A-4F54-AF1C-F0990CC919F5}"/>
    <cellStyle name="Comma 2 10 3 4 2 2" xfId="2100" xr:uid="{9F8859D3-3022-46C1-B9D4-DF7A379C0986}"/>
    <cellStyle name="Comma 2 10 3 4 3" xfId="1805" xr:uid="{7D565B18-5D4A-4C1D-B8A0-DB2D7A5ADD46}"/>
    <cellStyle name="Comma 2 10 3 5" xfId="989" xr:uid="{D3777CDF-8A95-4E1B-8127-CDC6345BAAE1}"/>
    <cellStyle name="Comma 2 10 3 5 2" xfId="1332" xr:uid="{87575DF6-F8A2-4254-B646-F0F1F73B5E5D}"/>
    <cellStyle name="Comma 2 10 3 5 2 2" xfId="2006" xr:uid="{8E1BA9C6-EAC7-4C56-971C-A7937A6AD45C}"/>
    <cellStyle name="Comma 2 10 3 5 3" xfId="1710" xr:uid="{3A2A1B24-A35B-442D-81A9-0756AF3FAB47}"/>
    <cellStyle name="Comma 2 10 3 6" xfId="1300" xr:uid="{2FEFB804-E24F-45FD-820C-C0111310C266}"/>
    <cellStyle name="Comma 2 10 3 6 2" xfId="1974" xr:uid="{1FCF5BE3-BBC7-4497-9A3F-BC4CE333D88B}"/>
    <cellStyle name="Comma 2 10 3 7" xfId="1668" xr:uid="{DC1B4342-7E56-4FE5-8580-7D05C3E4A17F}"/>
    <cellStyle name="Comma 2 10 4" xfId="946" xr:uid="{FF070E72-F4CE-4F94-99CB-A38115BFF7F4}"/>
    <cellStyle name="Comma 2 10 4 2" xfId="1199" xr:uid="{DEB9BBB7-CA54-4AAF-8A72-7C9CFEF39BFA}"/>
    <cellStyle name="Comma 2 10 4 2 2" xfId="1496" xr:uid="{721AF4CF-796D-4F83-BD67-8C8ED93F132B}"/>
    <cellStyle name="Comma 2 10 4 2 2 2" xfId="2170" xr:uid="{0819C3F5-4496-409F-B0C1-2ECFF20D6A16}"/>
    <cellStyle name="Comma 2 10 4 2 3" xfId="1875" xr:uid="{EEBD952D-E081-416E-BC20-85450E8205DE}"/>
    <cellStyle name="Comma 2 10 4 3" xfId="1062" xr:uid="{4CB8C51B-4E03-47B8-84D7-8003B4384D9A}"/>
    <cellStyle name="Comma 2 10 4 3 2" xfId="1359" xr:uid="{EBA09EAB-467C-41DB-B15A-10FEE10E0930}"/>
    <cellStyle name="Comma 2 10 4 3 2 2" xfId="2033" xr:uid="{FEA58585-3E41-46B5-BD86-C7F87A743AAD}"/>
    <cellStyle name="Comma 2 10 4 3 3" xfId="1738" xr:uid="{3A17C514-FEC8-413D-AC2E-5AC62857FCBE}"/>
    <cellStyle name="Comma 2 10 4 4" xfId="1311" xr:uid="{39E93BCC-E12A-486B-91A2-7582CA108448}"/>
    <cellStyle name="Comma 2 10 4 4 2" xfId="1985" xr:uid="{0CE7B7DF-D027-4269-8D17-7841E7BE28B9}"/>
    <cellStyle name="Comma 2 10 4 5" xfId="1679" xr:uid="{B546A038-4CBF-4A83-932A-92E9AF7379F5}"/>
    <cellStyle name="Comma 2 10 5" xfId="1147" xr:uid="{A60E0531-5D89-4339-A2E2-252E8E5DA1B0}"/>
    <cellStyle name="Comma 2 10 5 2" xfId="1444" xr:uid="{36DDB09C-3ACE-4771-92AC-4B0B087093AB}"/>
    <cellStyle name="Comma 2 10 5 2 2" xfId="2118" xr:uid="{8E0B003C-CE8A-4E31-9E9F-0F3D6B5EFDE2}"/>
    <cellStyle name="Comma 2 10 5 3" xfId="1823" xr:uid="{BA949BBC-55A8-4F81-8837-35E47C4C9870}"/>
    <cellStyle name="Comma 2 10 6" xfId="1107" xr:uid="{2DCFD14E-07D0-4322-B6F8-7DD94A28E88A}"/>
    <cellStyle name="Comma 2 10 6 2" xfId="1404" xr:uid="{564DA386-63BD-47A0-929B-E9206B517357}"/>
    <cellStyle name="Comma 2 10 6 2 2" xfId="2078" xr:uid="{BAA5DE99-B12B-4513-9DF6-976696238863}"/>
    <cellStyle name="Comma 2 10 6 3" xfId="1783" xr:uid="{7126FE15-B3EC-4FD0-AC7E-0C9AFE1AEAD7}"/>
    <cellStyle name="Comma 2 10 7" xfId="959" xr:uid="{119B3618-327E-4C45-B3E5-FEDEC3BECDCF}"/>
    <cellStyle name="Comma 2 10 7 2" xfId="1315" xr:uid="{5EA4E46E-C8A8-4F6B-ADD4-97E776AC1E0C}"/>
    <cellStyle name="Comma 2 10 7 2 2" xfId="1989" xr:uid="{FA3F7A22-0136-499A-8FE5-406BF26AA863}"/>
    <cellStyle name="Comma 2 10 7 3" xfId="1685" xr:uid="{423E6731-B043-4FAF-B615-DD4B51A29080}"/>
    <cellStyle name="Comma 2 10 8" xfId="1278" xr:uid="{B8A4D9C3-399E-4354-AC39-284D2443FC07}"/>
    <cellStyle name="Comma 2 10 8 2" xfId="1952" xr:uid="{F97A14DD-3190-42BE-98E4-EE7572BE7A54}"/>
    <cellStyle name="Comma 2 10 9" xfId="1579" xr:uid="{A41696F8-3882-4C1F-B55A-5B0EEB7D39E1}"/>
    <cellStyle name="Comma 2 10 9 2" xfId="2252" xr:uid="{D4CA7895-F9A2-47B1-951B-46C22DA19F96}"/>
    <cellStyle name="Comma 2 11" xfId="1571" xr:uid="{7B479A56-CD35-401B-A541-227660448988}"/>
    <cellStyle name="Comma 2 11 2" xfId="2244" xr:uid="{6141F269-1DDA-45D8-9CBF-1B297EC8E85A}"/>
    <cellStyle name="Comma 2 12" xfId="909" xr:uid="{5315BBF3-9DFD-40DF-8458-ADF9ED07AA0E}"/>
    <cellStyle name="Comma 2 13" xfId="1591" xr:uid="{F21A6817-5181-408A-B4D1-042A44124CAA}"/>
    <cellStyle name="Comma 2 14" xfId="1607" xr:uid="{270F9720-8B06-49C5-8A37-A1F8B33AE98B}"/>
    <cellStyle name="Comma 2 15" xfId="1647" xr:uid="{16466ECF-1AF1-4ED4-9B0E-B3C5D69C3841}"/>
    <cellStyle name="Comma 2 16" xfId="2260" xr:uid="{30C13D72-6D41-475E-BD81-5D8C7F44F1BD}"/>
    <cellStyle name="Comma 2 2" xfId="137" xr:uid="{4AFD7997-845B-406E-B230-86FBCD7B6E3D}"/>
    <cellStyle name="Comma 2 2 10" xfId="1594" xr:uid="{43AD591A-E1C5-4A54-8CC5-0063A42CD5D6}"/>
    <cellStyle name="Comma 2 2 11" xfId="1642" xr:uid="{C1EF4384-0A03-47E8-92A1-FCA9D30D169A}"/>
    <cellStyle name="Comma 2 2 2" xfId="260" xr:uid="{BE826585-F6DC-417A-84C5-FB028087DAC1}"/>
    <cellStyle name="Comma 2 2 2 2" xfId="795" xr:uid="{E9441425-47E0-481B-94EF-20F5B2D04217}"/>
    <cellStyle name="Comma 2 2 2 2 2" xfId="844" xr:uid="{DF76E4D2-47F9-4F3D-ACC4-206FAA13286C}"/>
    <cellStyle name="Comma 2 2 2 2 2 2" xfId="1523" xr:uid="{9FB074D7-1C37-471F-AB80-14DC834065FD}"/>
    <cellStyle name="Comma 2 2 2 2 2 2 2" xfId="2197" xr:uid="{02392482-1B64-4D2A-95E5-1B75F8407E1D}"/>
    <cellStyle name="Comma 2 2 2 2 2 3" xfId="1226" xr:uid="{6D57795C-95C3-4AA7-96D0-19E969D13282}"/>
    <cellStyle name="Comma 2 2 2 2 2 4" xfId="1902" xr:uid="{F966BF0F-10FF-4B3F-AFBB-95640ED1C646}"/>
    <cellStyle name="Comma 2 2 2 2 3" xfId="1386" xr:uid="{481E2DA1-00E0-495E-800A-E77EEEBB021E}"/>
    <cellStyle name="Comma 2 2 2 2 3 2" xfId="2060" xr:uid="{06F575C5-DBE3-4EA8-A765-8520EE05B1A5}"/>
    <cellStyle name="Comma 2 2 2 2 4" xfId="1089" xr:uid="{24669909-C247-443E-8E4D-41EA9C87F3D6}"/>
    <cellStyle name="Comma 2 2 2 2 5" xfId="1765" xr:uid="{AACD174B-87E2-478D-828B-A23DD6514AFB}"/>
    <cellStyle name="Comma 2 2 2 3" xfId="819" xr:uid="{35FB6490-613F-4F6E-9363-4319F9D7E9B3}"/>
    <cellStyle name="Comma 2 2 2 3 2" xfId="1473" xr:uid="{245AE86B-BA1B-4419-8CEB-81A8FF9918F8}"/>
    <cellStyle name="Comma 2 2 2 3 2 2" xfId="2147" xr:uid="{0D56F89A-3332-4126-AC4E-EF977456279A}"/>
    <cellStyle name="Comma 2 2 2 3 3" xfId="1176" xr:uid="{5FD1285B-844E-4B1C-A221-AC4589CEECA6}"/>
    <cellStyle name="Comma 2 2 2 3 4" xfId="1852" xr:uid="{8C19010B-1FE7-4FB0-AAEB-BFC996B05662}"/>
    <cellStyle name="Comma 2 2 2 4" xfId="1141" xr:uid="{FB7F8C11-509C-4355-ABD2-03485670ECA8}"/>
    <cellStyle name="Comma 2 2 2 4 2" xfId="1438" xr:uid="{88245AED-BFA5-4242-8313-C7DB26E57D7E}"/>
    <cellStyle name="Comma 2 2 2 4 2 2" xfId="2112" xr:uid="{42F625A0-1E0D-4560-A9FA-0C1D96D5AEE6}"/>
    <cellStyle name="Comma 2 2 2 4 3" xfId="1817" xr:uid="{9F1AFBE6-D72C-4C4A-BAAB-4203BF4B78B9}"/>
    <cellStyle name="Comma 2 2 2 5" xfId="1005" xr:uid="{0A3C3837-0776-4380-9EB8-D1265197D8C5}"/>
    <cellStyle name="Comma 2 2 2 5 2" xfId="1343" xr:uid="{41160365-AE55-4471-A86E-CA110EF44C2D}"/>
    <cellStyle name="Comma 2 2 2 5 2 2" xfId="2017" xr:uid="{7F0786BF-931F-45AC-B96C-7FC5983F0FDF}"/>
    <cellStyle name="Comma 2 2 2 5 3" xfId="1722" xr:uid="{A30CBF08-40D8-44CE-A7CF-5F028F8F8D1C}"/>
    <cellStyle name="Comma 2 2 2 6" xfId="1288" xr:uid="{A822D384-832B-4FE1-96B5-54F92FF0F66E}"/>
    <cellStyle name="Comma 2 2 2 6 2" xfId="1962" xr:uid="{DDC540FD-CDC8-4451-8DD4-C92DDAB67A22}"/>
    <cellStyle name="Comma 2 2 2 7" xfId="922" xr:uid="{EC8AE62E-ECE9-4551-A38E-4E4B5EB90120}"/>
    <cellStyle name="Comma 2 2 2 8" xfId="1656" xr:uid="{BD8E509E-D27B-4193-8153-7EE216482AE5}"/>
    <cellStyle name="Comma 2 2 3" xfId="789" xr:uid="{F9A2904F-051D-4E9C-8A1B-2F915953CB47}"/>
    <cellStyle name="Comma 2 2 3 2" xfId="838" xr:uid="{7D922D2E-E619-40E7-8397-049CDB0691BB}"/>
    <cellStyle name="Comma 2 2 3 2 2" xfId="1503" xr:uid="{276F0F2E-0C60-4442-BEE4-6EE5994CEE05}"/>
    <cellStyle name="Comma 2 2 3 2 2 2" xfId="2177" xr:uid="{7DBD92A0-D14F-4FE7-A77A-76BAD44E7CE5}"/>
    <cellStyle name="Comma 2 2 3 2 3" xfId="1206" xr:uid="{3A0BEF24-4C1F-4889-8337-E2E5029DADD7}"/>
    <cellStyle name="Comma 2 2 3 2 4" xfId="1882" xr:uid="{AC1C3D40-36EF-44CC-B7B3-2E8546B3AC0B}"/>
    <cellStyle name="Comma 2 2 3 3" xfId="1069" xr:uid="{2A1F5BB9-5A97-49A2-90F8-32B970F98B1F}"/>
    <cellStyle name="Comma 2 2 3 3 2" xfId="1366" xr:uid="{EEFBF098-EFF1-455C-AC70-711907598CFE}"/>
    <cellStyle name="Comma 2 2 3 3 2 2" xfId="2040" xr:uid="{BC8D3A85-5702-48C8-8B29-A80BCDCFCBF7}"/>
    <cellStyle name="Comma 2 2 3 3 3" xfId="1745" xr:uid="{6F755CD7-958A-4BB5-B372-2917A4BE7A21}"/>
    <cellStyle name="Comma 2 2 3 4" xfId="1296" xr:uid="{AAE3A6E9-563F-41E7-A1F7-41AA9EE800C7}"/>
    <cellStyle name="Comma 2 2 3 4 2" xfId="1970" xr:uid="{21D976F3-FE01-4642-970F-47D95F6B7371}"/>
    <cellStyle name="Comma 2 2 3 5" xfId="930" xr:uid="{EA4DCECD-6CC6-45A1-92CA-00232A557EA1}"/>
    <cellStyle name="Comma 2 2 3 6" xfId="1664" xr:uid="{C4836769-7A4D-4A7D-9365-4CAA2C021C70}"/>
    <cellStyle name="Comma 2 2 4" xfId="813" xr:uid="{4A184AD7-C2EF-4F10-BEF6-20B44B993AE0}"/>
    <cellStyle name="Comma 2 2 4 2" xfId="1156" xr:uid="{101C1C5A-F35E-4776-B1C3-37D117886C8D}"/>
    <cellStyle name="Comma 2 2 4 2 2" xfId="1453" xr:uid="{E6F5ED06-4385-43A9-8FD0-8FF22A1710A1}"/>
    <cellStyle name="Comma 2 2 4 2 2 2" xfId="2127" xr:uid="{4D100679-65D6-47FF-96A8-D6672BCD6263}"/>
    <cellStyle name="Comma 2 2 4 2 3" xfId="1832" xr:uid="{F7F03C35-70D8-450C-A0DA-4A47FE8B35CB}"/>
    <cellStyle name="Comma 2 2 4 3" xfId="1307" xr:uid="{52187848-E884-444E-BB62-07CD3A899DEC}"/>
    <cellStyle name="Comma 2 2 4 3 2" xfId="1981" xr:uid="{ED605269-B875-406E-A1A4-54F4D4944D27}"/>
    <cellStyle name="Comma 2 2 4 4" xfId="942" xr:uid="{78457D70-A0FB-4868-A136-2861620AB553}"/>
    <cellStyle name="Comma 2 2 4 5" xfId="1675" xr:uid="{8B41BAAD-87B9-431B-A564-41F5D55DDBE9}"/>
    <cellStyle name="Comma 2 2 5" xfId="911" xr:uid="{CCF2DA62-2F9A-4759-B0CB-15D3BF041ED1}"/>
    <cellStyle name="Comma 2 2 5 2" xfId="1120" xr:uid="{E4D9B292-94A5-4110-9F09-8EFDBF44A998}"/>
    <cellStyle name="Comma 2 2 5 2 2" xfId="1417" xr:uid="{F0FD33F8-15C8-41E8-B2D8-AA8ACB490FA2}"/>
    <cellStyle name="Comma 2 2 5 2 2 2" xfId="2091" xr:uid="{79EAD553-49C6-4D21-B0E2-0F94BAAC4676}"/>
    <cellStyle name="Comma 2 2 5 2 3" xfId="1796" xr:uid="{6653EABF-CCEE-4E21-9D60-B7A628FF9F0F}"/>
    <cellStyle name="Comma 2 2 5 3" xfId="1281" xr:uid="{BFF7C28E-45B6-4AC9-BA25-F233F23C1ABA}"/>
    <cellStyle name="Comma 2 2 5 3 2" xfId="1955" xr:uid="{2226FA52-5974-457D-A8F9-8D6B386407FD}"/>
    <cellStyle name="Comma 2 2 5 4" xfId="1648" xr:uid="{CDF714B7-F6FB-4438-9C68-AFC97FC09241}"/>
    <cellStyle name="Comma 2 2 6" xfId="979" xr:uid="{79BB08AD-F2F9-4270-A74E-3A3480C1CC95}"/>
    <cellStyle name="Comma 2 2 6 2" xfId="1323" xr:uid="{24905937-223A-4DA1-A312-458B85720EED}"/>
    <cellStyle name="Comma 2 2 6 2 2" xfId="1997" xr:uid="{BD9DC080-27E7-4BC5-8D66-03072D38BDB1}"/>
    <cellStyle name="Comma 2 2 6 3" xfId="1701" xr:uid="{0035C4B0-8D38-49AF-BEFE-5A45D3B62E42}"/>
    <cellStyle name="Comma 2 2 7" xfId="1277" xr:uid="{9D4E5D77-62EB-441F-B36A-F19CD3C889DB}"/>
    <cellStyle name="Comma 2 2 7 2" xfId="1951" xr:uid="{E8BA74C3-A0BD-4781-B142-78123CF31F42}"/>
    <cellStyle name="Comma 2 2 8" xfId="1575" xr:uid="{5BD90E62-C51F-435A-B300-B7459C33FE85}"/>
    <cellStyle name="Comma 2 2 8 2" xfId="2248" xr:uid="{27DE5C65-6738-4911-9242-9D62E2062AD8}"/>
    <cellStyle name="Comma 2 2 9" xfId="904" xr:uid="{457C3941-3681-4987-B66F-B8D7C6953795}"/>
    <cellStyle name="Comma 2 3" xfId="261" xr:uid="{D37D1421-DE49-4A4D-9282-23232BE031A7}"/>
    <cellStyle name="Comma 2 3 2" xfId="796" xr:uid="{C8B7CB74-4D8F-440E-A206-BCE622645AF6}"/>
    <cellStyle name="Comma 2 3 2 2" xfId="845" xr:uid="{0C808C82-9B6B-4409-831E-391E5CF5AEB1}"/>
    <cellStyle name="Comma 2 3 2 2 2" xfId="1518" xr:uid="{0A051C0D-D17A-4197-BDFE-78A201528455}"/>
    <cellStyle name="Comma 2 3 2 2 2 2" xfId="2192" xr:uid="{D328F907-13A0-4C8E-BDDD-7838D7B12E1A}"/>
    <cellStyle name="Comma 2 3 2 2 3" xfId="1221" xr:uid="{BDF6E00F-BBFC-49B1-B99B-95BEABAEB9AB}"/>
    <cellStyle name="Comma 2 3 2 2 4" xfId="1897" xr:uid="{D8B35A1F-CFC9-40D8-9718-F4F453FE41B9}"/>
    <cellStyle name="Comma 2 3 2 3" xfId="1381" xr:uid="{CBB2ABEA-6CCC-4EAC-AC69-42157E5E0236}"/>
    <cellStyle name="Comma 2 3 2 3 2" xfId="2055" xr:uid="{4218841E-92CC-4120-B873-6ABE83D19532}"/>
    <cellStyle name="Comma 2 3 2 4" xfId="1084" xr:uid="{83E56D24-B93F-4BE4-996B-45C77A59C8CB}"/>
    <cellStyle name="Comma 2 3 2 5" xfId="1760" xr:uid="{AF9AAE68-D05D-4EF4-9268-C1246EE14DDA}"/>
    <cellStyle name="Comma 2 3 3" xfId="820" xr:uid="{B69EFAC2-963E-4406-8D50-34F516EDFE56}"/>
    <cellStyle name="Comma 2 3 3 2" xfId="1468" xr:uid="{492D0FF8-B2DC-4A78-AB15-392230B3B209}"/>
    <cellStyle name="Comma 2 3 3 2 2" xfId="2142" xr:uid="{F489197A-A127-4E8A-A256-A1D21F8FB364}"/>
    <cellStyle name="Comma 2 3 3 3" xfId="1171" xr:uid="{332C5CCC-1837-44F2-8688-8ABDF1D64CD7}"/>
    <cellStyle name="Comma 2 3 3 4" xfId="1847" xr:uid="{22B29628-76E1-4CAD-8650-E6EC8E7CF2D8}"/>
    <cellStyle name="Comma 2 3 4" xfId="1136" xr:uid="{B8481F84-96BF-4A66-A58B-96C677105A1D}"/>
    <cellStyle name="Comma 2 3 4 2" xfId="1433" xr:uid="{EA0089DE-2ACC-4C13-8C32-5858568FF384}"/>
    <cellStyle name="Comma 2 3 4 2 2" xfId="2107" xr:uid="{94718791-55A1-43A8-AD9E-33A64203F012}"/>
    <cellStyle name="Comma 2 3 4 3" xfId="1812" xr:uid="{A937DAF6-0456-44E3-8F56-813FB5E17091}"/>
    <cellStyle name="Comma 2 3 5" xfId="999" xr:uid="{8888E930-A3BD-4B59-968A-5DA011623B96}"/>
    <cellStyle name="Comma 2 3 5 2" xfId="1338" xr:uid="{910F5B73-DF19-44EF-B83B-F766385CF51F}"/>
    <cellStyle name="Comma 2 3 5 2 2" xfId="2012" xr:uid="{90AE1DDA-C46F-467F-9813-21E5DB46926B}"/>
    <cellStyle name="Comma 2 3 5 3" xfId="1717" xr:uid="{0AB5DAD9-4756-41CD-A6D8-96CC60160D04}"/>
    <cellStyle name="Comma 2 3 6" xfId="1284" xr:uid="{B32711D8-21DA-45F1-8C08-AE51230529D9}"/>
    <cellStyle name="Comma 2 3 6 2" xfId="1958" xr:uid="{6A312E05-84C9-45A0-8FF6-DF41D09F1B6C}"/>
    <cellStyle name="Comma 2 3 7" xfId="918" xr:uid="{57917111-A4CD-492F-AFBB-FC549839248A}"/>
    <cellStyle name="Comma 2 3 8" xfId="1652" xr:uid="{B5A03A91-9208-4F22-BC50-F6ACD1C69ABF}"/>
    <cellStyle name="Comma 2 4" xfId="259" xr:uid="{EB1A1058-FAC9-4A30-BA6B-F49D19957282}"/>
    <cellStyle name="Comma 2 4 2" xfId="794" xr:uid="{82068725-94C5-40AE-9299-17C1612B63E4}"/>
    <cellStyle name="Comma 2 4 2 2" xfId="843" xr:uid="{45E5BFDA-99D1-43DF-A278-27EA116E700F}"/>
    <cellStyle name="Comma 2 4 2 2 2" xfId="1515" xr:uid="{CE57C905-A014-4288-91BA-67BDF1F4F293}"/>
    <cellStyle name="Comma 2 4 2 2 2 2" xfId="2189" xr:uid="{DD1DA28D-84CA-461B-ABE9-E7BAFAFD22DB}"/>
    <cellStyle name="Comma 2 4 2 2 3" xfId="1218" xr:uid="{5FC45815-CFA3-4F62-88CB-5A8791E270A7}"/>
    <cellStyle name="Comma 2 4 2 2 4" xfId="1894" xr:uid="{8822CD60-8C5F-478E-A235-32BA16C6E04A}"/>
    <cellStyle name="Comma 2 4 2 3" xfId="1378" xr:uid="{8B29B272-2B5A-4E13-9C51-87628D4A34F8}"/>
    <cellStyle name="Comma 2 4 2 3 2" xfId="2052" xr:uid="{74ADA297-FDA4-412A-81AD-66E077952401}"/>
    <cellStyle name="Comma 2 4 2 4" xfId="1081" xr:uid="{E3366D73-6C4C-4874-BF2B-1B7243A8EED7}"/>
    <cellStyle name="Comma 2 4 2 5" xfId="1757" xr:uid="{DDEF1514-805E-4A44-9657-0800B067EF92}"/>
    <cellStyle name="Comma 2 4 3" xfId="818" xr:uid="{6037F013-384C-448D-B59C-25F618FD3986}"/>
    <cellStyle name="Comma 2 4 3 2" xfId="1465" xr:uid="{98EEAF70-C847-4FCA-BA22-20239D6DF7A4}"/>
    <cellStyle name="Comma 2 4 3 2 2" xfId="2139" xr:uid="{CFFAF094-514D-4461-B7CD-A9FA57A4E7F1}"/>
    <cellStyle name="Comma 2 4 3 3" xfId="1168" xr:uid="{AA8873E1-9F5C-45F9-AE7F-2159AE7B6306}"/>
    <cellStyle name="Comma 2 4 3 4" xfId="1844" xr:uid="{C13B6B6F-4602-4320-B1A1-951D500CDE21}"/>
    <cellStyle name="Comma 2 4 4" xfId="1133" xr:uid="{740173AC-1825-4B2B-A046-1644BF4A47B3}"/>
    <cellStyle name="Comma 2 4 4 2" xfId="1430" xr:uid="{6E936894-5465-4D35-AC5B-BDA5610C356C}"/>
    <cellStyle name="Comma 2 4 4 2 2" xfId="2104" xr:uid="{F2D31724-E805-4DB2-A991-69ED62BEFDEB}"/>
    <cellStyle name="Comma 2 4 4 3" xfId="1809" xr:uid="{89BF7534-5031-4054-B1AB-CB1CC01B1C9C}"/>
    <cellStyle name="Comma 2 4 5" xfId="995" xr:uid="{ED056284-94E1-4278-9207-2F447138C2EE}"/>
    <cellStyle name="Comma 2 4 5 2" xfId="1335" xr:uid="{662F6735-D1FC-4FE7-90A4-F61CF1FEB7E0}"/>
    <cellStyle name="Comma 2 4 5 2 2" xfId="2009" xr:uid="{121FA585-1CCF-40B6-8A53-FA58066D288A}"/>
    <cellStyle name="Comma 2 4 5 3" xfId="1714" xr:uid="{C392473A-DBE6-4B36-898A-4EBED090A1F8}"/>
    <cellStyle name="Comma 2 4 6" xfId="1287" xr:uid="{C4E50981-BA14-4545-8AE8-BDC1A1A31F24}"/>
    <cellStyle name="Comma 2 4 6 2" xfId="1961" xr:uid="{C86379B1-46EB-4D5F-B6EF-4D0B3BB8BA23}"/>
    <cellStyle name="Comma 2 4 7" xfId="921" xr:uid="{72CFDB5A-0DA9-43C0-963F-4B19D8847D1C}"/>
    <cellStyle name="Comma 2 4 8" xfId="1655" xr:uid="{8119BA53-56AA-4EC3-8A61-40DD49E5B5E2}"/>
    <cellStyle name="Comma 2 5" xfId="102" xr:uid="{75ADFA17-9166-41F6-BC0E-9244F508C69E}"/>
    <cellStyle name="Comma 2 5 2" xfId="787" xr:uid="{890AC835-739E-49D6-89A1-0B2C57FA7AA4}"/>
    <cellStyle name="Comma 2 5 2 2" xfId="836" xr:uid="{4B6BDECC-218B-4C18-B680-DD7B3ADAFFA9}"/>
    <cellStyle name="Comma 2 5 2 2 2" xfId="1498" xr:uid="{5234F68D-D694-4D6F-8FE6-75C60D4A5BD7}"/>
    <cellStyle name="Comma 2 5 2 2 3" xfId="2172" xr:uid="{402F3AD8-C175-452B-AAA2-47BB26E7A961}"/>
    <cellStyle name="Comma 2 5 2 3" xfId="1201" xr:uid="{ADA19CA4-2DF6-40E5-AFA3-3E3521F16D22}"/>
    <cellStyle name="Comma 2 5 2 4" xfId="1877" xr:uid="{BFFA48F3-01FD-4A5C-8622-0F17A6A89649}"/>
    <cellStyle name="Comma 2 5 3" xfId="811" xr:uid="{7E85FD1A-BAD9-4258-8CE0-F721F021E728}"/>
    <cellStyle name="Comma 2 5 3 2" xfId="1361" xr:uid="{5BEE9498-389F-4820-91F2-8886E0BA3845}"/>
    <cellStyle name="Comma 2 5 3 2 2" xfId="2035" xr:uid="{60E88A91-9634-46EF-90AF-7E8F0832C638}"/>
    <cellStyle name="Comma 2 5 3 3" xfId="1064" xr:uid="{BBAE1519-9CDE-4C3F-AD4E-69CD83228A1B}"/>
    <cellStyle name="Comma 2 5 3 4" xfId="1740" xr:uid="{A6681CA2-4436-43F3-9228-D349E875322C}"/>
    <cellStyle name="Comma 2 5 4" xfId="1292" xr:uid="{41FF2CDB-F8F7-4267-9C2C-4523AB03E117}"/>
    <cellStyle name="Comma 2 5 4 2" xfId="1966" xr:uid="{AD17AE29-86C2-48E6-A64C-DF499BA5277A}"/>
    <cellStyle name="Comma 2 5 5" xfId="926" xr:uid="{F91FC695-A217-4132-9035-6E4071DDB652}"/>
    <cellStyle name="Comma 2 5 6" xfId="1660" xr:uid="{BD629AB5-F8B0-456D-AD43-97D1F044FBE1}"/>
    <cellStyle name="Comma 2 6" xfId="781" xr:uid="{3D4C34B4-2E22-4F40-9F5C-1ABD93973291}"/>
    <cellStyle name="Comma 2 6 2" xfId="832" xr:uid="{57625859-D986-47B5-847A-32BB07D2D7E3}"/>
    <cellStyle name="Comma 2 6 2 2" xfId="1448" xr:uid="{524F9E3C-8690-490C-9E19-431CF8485521}"/>
    <cellStyle name="Comma 2 6 2 2 2" xfId="2122" xr:uid="{9BCAFCE5-0D7D-40C5-989C-8F42F216E430}"/>
    <cellStyle name="Comma 2 6 2 3" xfId="1151" xr:uid="{BD7D4B00-C443-479D-9ED9-F7F1A4C8F5BA}"/>
    <cellStyle name="Comma 2 6 2 4" xfId="1827" xr:uid="{B883AE3C-78CA-461F-AE52-3D4EA073EB2E}"/>
    <cellStyle name="Comma 2 6 3" xfId="1303" xr:uid="{5FE782F2-1095-4347-9C35-E0C4CFB207FA}"/>
    <cellStyle name="Comma 2 6 3 2" xfId="1977" xr:uid="{F42251EE-D71A-40B6-9330-DEA50B16E8E8}"/>
    <cellStyle name="Comma 2 6 4" xfId="938" xr:uid="{5EF49EAE-B14E-442F-8A3B-86EED5C1E7A9}"/>
    <cellStyle name="Comma 2 6 5" xfId="1671" xr:uid="{264D7251-1550-44E3-9BF7-ED8C8C54C1D2}"/>
    <cellStyle name="Comma 2 7" xfId="786" xr:uid="{C807AF52-D381-4AD3-953D-3C52AA374E0A}"/>
    <cellStyle name="Comma 2 7 2" xfId="835" xr:uid="{B382B024-BD42-44E6-8624-AB4BC716C234}"/>
    <cellStyle name="Comma 2 7 2 2" xfId="1411" xr:uid="{F2F8C29C-A251-4F43-A63A-AB865A0FF13A}"/>
    <cellStyle name="Comma 2 7 2 3" xfId="2085" xr:uid="{71E008F1-02BC-4C9D-A9B4-B84D4ECD4CF3}"/>
    <cellStyle name="Comma 2 7 3" xfId="1114" xr:uid="{0F669EF5-B78B-474E-927E-8906558D7BF7}"/>
    <cellStyle name="Comma 2 7 4" xfId="1790" xr:uid="{2B68C2B1-20C0-46E4-9F9A-4B604B0B623A}"/>
    <cellStyle name="Comma 2 8" xfId="810" xr:uid="{2BD0F439-F7F1-4847-A1FD-E7C6D5B13707}"/>
    <cellStyle name="Comma 2 8 2" xfId="1318" xr:uid="{05EC4E9B-C31F-4804-93B1-E1AE309035B1}"/>
    <cellStyle name="Comma 2 8 2 2" xfId="1992" xr:uid="{4C62A7C1-1F9F-4FB3-B622-C2C94F535D4B}"/>
    <cellStyle name="Comma 2 8 3" xfId="968" xr:uid="{BAFD63CE-37AB-40F8-A7AD-E80CAB6C3581}"/>
    <cellStyle name="Comma 2 8 4" xfId="1692" xr:uid="{113933D3-0395-4925-9D3C-4B5BF87651B2}"/>
    <cellStyle name="Comma 2 9" xfId="1280" xr:uid="{A61771E0-7810-4603-A02B-E72659C8AE6E}"/>
    <cellStyle name="Comma 2 9 2" xfId="1954" xr:uid="{DB03010C-C547-4902-9A17-B408D76DF67F}"/>
    <cellStyle name="Comma 2_LBO2901- 1.4 - divi " xfId="900" xr:uid="{BEA86F00-316F-4DAD-829F-B052A0EB4A30}"/>
    <cellStyle name="Comma 20" xfId="1057" xr:uid="{AD93A2E1-0E14-4302-96F1-F0D93A4B4C63}"/>
    <cellStyle name="Comma 20 2" xfId="1101" xr:uid="{80BEDF4A-ED1C-46F5-BB35-7B0E3079D48A}"/>
    <cellStyle name="Comma 20 2 2" xfId="1238" xr:uid="{2138F41D-E51E-42D9-A563-9AADB1CC2B77}"/>
    <cellStyle name="Comma 20 2 2 2" xfId="1535" xr:uid="{5BDFF08D-7533-45AA-B985-13E0935E662B}"/>
    <cellStyle name="Comma 20 2 2 2 2" xfId="2209" xr:uid="{4B9BE6B1-85C5-4F41-9310-D4FF3E5F0901}"/>
    <cellStyle name="Comma 20 2 2 3" xfId="1914" xr:uid="{A216A49D-ED83-4031-B9D1-07D2CE5B1CFD}"/>
    <cellStyle name="Comma 20 2 3" xfId="1398" xr:uid="{83E911DE-6949-47AD-8135-84BAA51EE502}"/>
    <cellStyle name="Comma 20 2 3 2" xfId="2072" xr:uid="{72BFE0BD-7A10-4225-94A6-1E9714929DA6}"/>
    <cellStyle name="Comma 20 2 4" xfId="1777" xr:uid="{583FA38D-BD5A-47FB-B46D-01E0938A271F}"/>
    <cellStyle name="Comma 20 3" xfId="1194" xr:uid="{F823D753-B56C-4F18-9479-3049D49A31D5}"/>
    <cellStyle name="Comma 20 3 2" xfId="1491" xr:uid="{32E894F3-F761-42BE-832D-FB636EAF9D83}"/>
    <cellStyle name="Comma 20 3 2 2" xfId="2165" xr:uid="{5CB7FC18-80DC-4EDD-9DB9-022D1BCEDC35}"/>
    <cellStyle name="Comma 20 3 3" xfId="1870" xr:uid="{E2AA15F4-8F6A-4129-B042-C94E1B6E4BD0}"/>
    <cellStyle name="Comma 20 4" xfId="1354" xr:uid="{73EBC83F-8E6A-4D6E-8BD3-BAC33B0E4C0A}"/>
    <cellStyle name="Comma 20 4 2" xfId="2028" xr:uid="{FC93CF2D-BE15-45DC-B905-7360C85567C7}"/>
    <cellStyle name="Comma 20 5" xfId="1733" xr:uid="{E40505B6-3431-487C-A8E6-6C4E326358B7}"/>
    <cellStyle name="Comma 21" xfId="1058" xr:uid="{2B56097C-C042-4F83-8C17-E340E68C4664}"/>
    <cellStyle name="Comma 21 2" xfId="1102" xr:uid="{A37FF471-9E00-44E7-B17F-63A0D6B8A8F0}"/>
    <cellStyle name="Comma 21 2 2" xfId="1239" xr:uid="{A6888667-7EEA-44D3-B290-495C38302550}"/>
    <cellStyle name="Comma 21 2 2 2" xfId="1536" xr:uid="{F8141291-7961-485C-8D80-795CBBD45925}"/>
    <cellStyle name="Comma 21 2 2 2 2" xfId="2210" xr:uid="{88368C47-DCF0-4E11-AD3E-F5E3227626A6}"/>
    <cellStyle name="Comma 21 2 2 3" xfId="1915" xr:uid="{C4121389-AF8F-401B-954C-FE08CF53DCD7}"/>
    <cellStyle name="Comma 21 2 3" xfId="1399" xr:uid="{BFBB686A-959C-4513-BD5C-9D351AF67769}"/>
    <cellStyle name="Comma 21 2 3 2" xfId="2073" xr:uid="{EAC2C055-EA09-4808-A443-C8EF8DF89934}"/>
    <cellStyle name="Comma 21 2 4" xfId="1778" xr:uid="{B57C1C80-BBAC-4A1F-9C3A-53C610C2C2DE}"/>
    <cellStyle name="Comma 21 3" xfId="1195" xr:uid="{66B62C14-FEC2-44BD-A7F1-7AD4F2D6162A}"/>
    <cellStyle name="Comma 21 3 2" xfId="1492" xr:uid="{9F3CEEE1-127B-440C-9AF8-53CABCE46B51}"/>
    <cellStyle name="Comma 21 3 2 2" xfId="2166" xr:uid="{F6B299C5-8086-4EEC-9CE6-E73F666687BB}"/>
    <cellStyle name="Comma 21 3 3" xfId="1871" xr:uid="{7EEF29A9-875F-4D60-9457-4EEF9FEB61A1}"/>
    <cellStyle name="Comma 21 4" xfId="1355" xr:uid="{1D4F62F4-8DB2-46AB-AD65-73DF043329B3}"/>
    <cellStyle name="Comma 21 4 2" xfId="2029" xr:uid="{134DDD6D-EE90-4D03-9610-4ECDFBAC3E82}"/>
    <cellStyle name="Comma 21 5" xfId="1734" xr:uid="{CC8C947B-CD30-4DBE-9100-7CE30056F620}"/>
    <cellStyle name="Comma 22" xfId="1059" xr:uid="{7CF768D0-22F6-463C-8334-54BB60B47C68}"/>
    <cellStyle name="Comma 22 2" xfId="1103" xr:uid="{8392D190-1351-4388-AD37-A4DEC06E4152}"/>
    <cellStyle name="Comma 22 2 2" xfId="1240" xr:uid="{85275168-C7A9-4339-8F95-0FCDDA16D43E}"/>
    <cellStyle name="Comma 22 2 2 2" xfId="1537" xr:uid="{3C624551-C8AF-4318-AC17-91CB897C1C80}"/>
    <cellStyle name="Comma 22 2 2 2 2" xfId="2211" xr:uid="{E332D30A-B551-4837-AA96-B11D0E48A492}"/>
    <cellStyle name="Comma 22 2 2 3" xfId="1916" xr:uid="{4A37B45C-A8C6-42C9-B4B6-9A3B0FFFF4C9}"/>
    <cellStyle name="Comma 22 2 3" xfId="1400" xr:uid="{D02CCA6B-3966-419F-8E2E-E3353E906233}"/>
    <cellStyle name="Comma 22 2 3 2" xfId="2074" xr:uid="{9CB46AF6-9730-4EF0-AE56-0BD80CD988C3}"/>
    <cellStyle name="Comma 22 2 4" xfId="1779" xr:uid="{00788056-FB31-4F72-ABE2-DC687F2FBCCA}"/>
    <cellStyle name="Comma 22 3" xfId="1196" xr:uid="{A6CEBE99-005A-44C9-A992-5A306180F9E8}"/>
    <cellStyle name="Comma 22 3 2" xfId="1493" xr:uid="{C08F1965-DAA3-459A-89AE-7EC7A808B3B7}"/>
    <cellStyle name="Comma 22 3 2 2" xfId="2167" xr:uid="{09852648-833E-43A1-B00A-17002F74659C}"/>
    <cellStyle name="Comma 22 3 3" xfId="1872" xr:uid="{F70E1DC6-488D-486F-8B50-867A5393B99B}"/>
    <cellStyle name="Comma 22 4" xfId="1356" xr:uid="{6B8B7A55-9A7F-4AF1-9E13-38184D3899AC}"/>
    <cellStyle name="Comma 22 4 2" xfId="2030" xr:uid="{29B50AC2-DAF3-4BC0-B709-17BE73ECDEC3}"/>
    <cellStyle name="Comma 22 5" xfId="1735" xr:uid="{40B10899-D932-4286-8EA2-6F59357B21D3}"/>
    <cellStyle name="Comma 23" xfId="1060" xr:uid="{6CEC9AEE-8477-4DCB-9125-5D14B850E244}"/>
    <cellStyle name="Comma 23 2" xfId="1197" xr:uid="{0EEECBF5-385B-4FE2-ADC6-C0F60938C3AE}"/>
    <cellStyle name="Comma 23 2 2" xfId="1494" xr:uid="{433EC22B-619F-4F9E-AC6B-B5E354336076}"/>
    <cellStyle name="Comma 23 2 2 2" xfId="2168" xr:uid="{503770FF-66BD-4F90-8F48-C14AA3AFE961}"/>
    <cellStyle name="Comma 23 2 3" xfId="1873" xr:uid="{2E1D5247-7757-42CB-A2E5-D9AA56584E9F}"/>
    <cellStyle name="Comma 23 3" xfId="1357" xr:uid="{7C95850B-4F94-4C68-8AFE-2DE953A98559}"/>
    <cellStyle name="Comma 23 3 2" xfId="2031" xr:uid="{083F7B5B-E86E-4565-8060-29AF795A1F97}"/>
    <cellStyle name="Comma 23 4" xfId="1736" xr:uid="{A1C0CFAA-D7D3-4E87-92FA-623544F889B1}"/>
    <cellStyle name="Comma 24" xfId="1099" xr:uid="{03EF0E9B-C404-4465-BEFE-23AF8CF07960}"/>
    <cellStyle name="Comma 24 2" xfId="965" xr:uid="{58CAB6E9-AF5D-4BF9-8AD6-12096543C6A6}"/>
    <cellStyle name="Comma 24 2 2" xfId="994" xr:uid="{B59DE43E-2205-47AC-972C-C946A7B09784}"/>
    <cellStyle name="Comma 24 2 2 2" xfId="1080" xr:uid="{6D115B35-3189-4352-BD9B-B61D1EB32226}"/>
    <cellStyle name="Comma 24 2 2 2 2" xfId="1217" xr:uid="{AAFEE6BE-A534-4DD5-A404-7C8F7510113A}"/>
    <cellStyle name="Comma 24 2 2 2 2 2" xfId="1514" xr:uid="{623955F1-2CF0-4EE5-8E75-68543F15B530}"/>
    <cellStyle name="Comma 24 2 2 2 2 2 2" xfId="2188" xr:uid="{EC34F701-C636-4BE3-8982-14940D69B239}"/>
    <cellStyle name="Comma 24 2 2 2 2 3" xfId="1893" xr:uid="{C96F63CF-8B9B-4877-87FE-C68BA8EF2816}"/>
    <cellStyle name="Comma 24 2 2 2 3" xfId="1377" xr:uid="{F50287D1-E0B1-4C31-BCB9-2833BACCAD40}"/>
    <cellStyle name="Comma 24 2 2 2 3 2" xfId="2051" xr:uid="{8E7ACAD2-284A-4D67-93C9-4CF9209736C9}"/>
    <cellStyle name="Comma 24 2 2 2 4" xfId="1756" xr:uid="{845F078C-E74F-47CE-9575-CBAB743A0C64}"/>
    <cellStyle name="Comma 24 2 2 3" xfId="1167" xr:uid="{40DA59A4-9040-44B2-93D5-30BCCEE1AE28}"/>
    <cellStyle name="Comma 24 2 2 3 2" xfId="1464" xr:uid="{4118A526-91A7-41D5-B117-2CDD4CF9EBEF}"/>
    <cellStyle name="Comma 24 2 2 3 2 2" xfId="2138" xr:uid="{8944D33D-735D-4C95-AFC2-D2CC19F5FBD5}"/>
    <cellStyle name="Comma 24 2 2 3 3" xfId="1843" xr:uid="{C0A6EC9F-7C25-4C25-813D-E711A8A8DBFB}"/>
    <cellStyle name="Comma 24 2 2 4" xfId="1132" xr:uid="{D32012E9-7098-4CF9-847C-3DE68DECBE4D}"/>
    <cellStyle name="Comma 24 2 2 4 2" xfId="1429" xr:uid="{153A12CF-AFCD-41B0-91D9-17196E1FF66F}"/>
    <cellStyle name="Comma 24 2 2 4 2 2" xfId="2103" xr:uid="{6FD51534-AF5E-4E77-B835-7F8CE4AE8275}"/>
    <cellStyle name="Comma 24 2 2 4 3" xfId="1808" xr:uid="{DCB8D98C-412C-4C43-A650-F3DCBCFB9743}"/>
    <cellStyle name="Comma 24 2 2 5" xfId="1334" xr:uid="{FD223382-0AD5-4A29-A142-9724E1AD32D8}"/>
    <cellStyle name="Comma 24 2 2 5 2" xfId="2008" xr:uid="{F30B5C5C-7789-4647-BD69-E2C4C43F99E9}"/>
    <cellStyle name="Comma 24 2 2 6" xfId="1713" xr:uid="{04288A0A-7CB5-465E-9933-4B2E010B2C1F}"/>
    <cellStyle name="Comma 24 2 3" xfId="1316" xr:uid="{72E43158-8095-494D-8340-D4F6DC8773A3}"/>
    <cellStyle name="Comma 24 2 3 2" xfId="1990" xr:uid="{A9841FCC-C644-435C-9AB3-16BB69EFFD41}"/>
    <cellStyle name="Comma 24 2 4" xfId="1690" xr:uid="{FFEE91B8-B79F-4CBD-A918-53933CF5B638}"/>
    <cellStyle name="Comma 24 3" xfId="1236" xr:uid="{DF6182C4-3E77-4678-B723-6B32AC092C33}"/>
    <cellStyle name="Comma 24 3 2" xfId="1533" xr:uid="{8E5077B3-DCE4-42A2-A39F-45C4BBC1371B}"/>
    <cellStyle name="Comma 24 3 2 2" xfId="2207" xr:uid="{055C904A-46AE-4426-BA2B-6E673F9F15D0}"/>
    <cellStyle name="Comma 24 3 3" xfId="1912" xr:uid="{7D787244-16A6-46E5-9E1B-BA59B277DA31}"/>
    <cellStyle name="Comma 24 4" xfId="1396" xr:uid="{1BA8306E-A10F-46FC-9642-B3E68F286EC4}"/>
    <cellStyle name="Comma 24 4 2" xfId="2070" xr:uid="{20D0E0EB-D913-433C-82E0-426CA6E52107}"/>
    <cellStyle name="Comma 24 5" xfId="1775" xr:uid="{469C83F6-E0A7-4EE0-AD88-9348D87D41CE}"/>
    <cellStyle name="Comma 25" xfId="1145" xr:uid="{3AD9D6B8-581E-4D95-9A4F-371EA150692B}"/>
    <cellStyle name="Comma 25 2" xfId="1442" xr:uid="{CCF1EA7D-EA1F-4316-B0F1-B59604445E39}"/>
    <cellStyle name="Comma 25 2 2" xfId="2116" xr:uid="{AC19AC74-3ACB-4321-89D0-D6B6B4F5A893}"/>
    <cellStyle name="Comma 25 3" xfId="1821" xr:uid="{A5DBD5AE-FC25-47EA-B51C-E8163AC30E89}"/>
    <cellStyle name="Comma 26" xfId="1148" xr:uid="{A29AD353-6798-4951-87B7-7DF81CD926B6}"/>
    <cellStyle name="Comma 26 2" xfId="1445" xr:uid="{EAD4F1D2-2529-4E45-9878-1046C0098BF9}"/>
    <cellStyle name="Comma 26 2 2" xfId="2119" xr:uid="{EA4B18C0-08D3-4332-B494-61A646BAEBEA}"/>
    <cellStyle name="Comma 26 3" xfId="1824" xr:uid="{2C81081D-F006-46FC-B840-60E69A218A2A}"/>
    <cellStyle name="Comma 27" xfId="1243" xr:uid="{AA29E952-5E6C-4CCF-ACC6-EA26C4175CEA}"/>
    <cellStyle name="Comma 27 2" xfId="1540" xr:uid="{16335EA9-A59B-42A4-98C5-5F90B8E42D27}"/>
    <cellStyle name="Comma 27 2 2" xfId="2214" xr:uid="{30D67776-859B-4F36-97B9-0C6F0CCDA678}"/>
    <cellStyle name="Comma 27 3" xfId="1919" xr:uid="{3109ACE0-4A66-4B61-9068-354A7D661864}"/>
    <cellStyle name="Comma 28" xfId="917" xr:uid="{2AFD464B-2687-4266-A068-C14DB0050FA1}"/>
    <cellStyle name="Comma 28 10" xfId="1651" xr:uid="{C6E38545-5736-4EA1-B546-A28F70FADA08}"/>
    <cellStyle name="Comma 28 2" xfId="923" xr:uid="{4394B011-7B4C-4268-8C88-B573A619BB0D}"/>
    <cellStyle name="Comma 28 2 2" xfId="929" xr:uid="{3E6DDFCC-586F-47DE-8E60-A3CA9A2D202D}"/>
    <cellStyle name="Comma 28 2 2 2" xfId="1214" xr:uid="{09F9C3C6-A359-40F9-99D8-F0AD0BAC6A9C}"/>
    <cellStyle name="Comma 28 2 2 2 2" xfId="1511" xr:uid="{422722DA-DC21-441E-99E6-044832A61FE0}"/>
    <cellStyle name="Comma 28 2 2 2 2 2" xfId="2185" xr:uid="{E64FEDEC-D883-4172-81C2-BA5BC151BBB1}"/>
    <cellStyle name="Comma 28 2 2 2 3" xfId="1890" xr:uid="{738E7F49-2CD6-4221-B725-1CCF5E76D80E}"/>
    <cellStyle name="Comma 28 2 2 3" xfId="1077" xr:uid="{439F70EB-4412-4438-B9AD-C61757570D7B}"/>
    <cellStyle name="Comma 28 2 2 3 2" xfId="1374" xr:uid="{8F826CB7-5661-4958-B71D-40A9686EF53F}"/>
    <cellStyle name="Comma 28 2 2 3 2 2" xfId="2048" xr:uid="{C7A88253-2768-42C9-B127-5A7CE08BB4A7}"/>
    <cellStyle name="Comma 28 2 2 3 3" xfId="1753" xr:uid="{5C3326FB-CFEB-43CA-94AE-4BAB14BC0BB0}"/>
    <cellStyle name="Comma 28 2 2 4" xfId="1295" xr:uid="{54E34A38-E517-4E2A-9F58-53761526D0A7}"/>
    <cellStyle name="Comma 28 2 2 4 2" xfId="1969" xr:uid="{F53A13CD-B5AB-4277-BF61-0038BA72911C}"/>
    <cellStyle name="Comma 28 2 2 5" xfId="1663" xr:uid="{39BF1368-F21D-4F23-B728-8DADCE017A66}"/>
    <cellStyle name="Comma 28 2 3" xfId="941" xr:uid="{5E6AA166-A977-48C9-B679-2B19123B44F2}"/>
    <cellStyle name="Comma 28 2 3 2" xfId="1164" xr:uid="{613705A6-07E8-4DE3-9726-E0ADCED766F2}"/>
    <cellStyle name="Comma 28 2 3 2 2" xfId="1461" xr:uid="{EB11FAEA-4203-4D75-AF1B-8EEF508B04BB}"/>
    <cellStyle name="Comma 28 2 3 2 2 2" xfId="2135" xr:uid="{84E2D6F8-569F-44E0-B5E6-010FCD6B15B8}"/>
    <cellStyle name="Comma 28 2 3 2 3" xfId="1840" xr:uid="{EC24C3DF-8829-4959-A459-C43DF806DAA4}"/>
    <cellStyle name="Comma 28 2 3 3" xfId="1306" xr:uid="{3E8B8113-6D9B-42BE-B112-515F68884592}"/>
    <cellStyle name="Comma 28 2 3 3 2" xfId="1980" xr:uid="{6D7826AB-372A-4D76-9786-FC46338E2D19}"/>
    <cellStyle name="Comma 28 2 3 4" xfId="1674" xr:uid="{BAA54823-C46D-4C42-ABC0-763529672551}"/>
    <cellStyle name="Comma 28 2 4" xfId="1128" xr:uid="{FDB25CE4-5ECF-43D2-9FF1-D069BA2D344B}"/>
    <cellStyle name="Comma 28 2 4 2" xfId="1425" xr:uid="{07FF4C1F-85E8-4117-A5D9-11CDA0CB5260}"/>
    <cellStyle name="Comma 28 2 4 2 2" xfId="2099" xr:uid="{105342E2-DA16-4458-9D94-3B7F1B8C7BB4}"/>
    <cellStyle name="Comma 28 2 4 3" xfId="1804" xr:uid="{3C3B8AF7-E54D-4F43-BDD2-2BF7183CAD9D}"/>
    <cellStyle name="Comma 28 2 5" xfId="988" xr:uid="{089CB4BD-5DAE-4797-AED0-CD95B5F4BA50}"/>
    <cellStyle name="Comma 28 2 5 2" xfId="1331" xr:uid="{7B06A48C-7A63-4B33-AFB0-12E6FD7B6483}"/>
    <cellStyle name="Comma 28 2 5 2 2" xfId="2005" xr:uid="{AD56FEDF-35F2-4183-9E17-8F57CFF5FF41}"/>
    <cellStyle name="Comma 28 2 5 3" xfId="1709" xr:uid="{CCA679A5-69C2-4192-8BCF-9C2168B0BB4E}"/>
    <cellStyle name="Comma 28 2 6" xfId="1289" xr:uid="{66B62968-37DB-435A-9E70-7F9B73DBE8CC}"/>
    <cellStyle name="Comma 28 2 6 2" xfId="1963" xr:uid="{FBE5D9AC-3B71-4375-A264-57758ACD0BB3}"/>
    <cellStyle name="Comma 28 2 7" xfId="1574" xr:uid="{D350E276-AF7A-499C-A06C-D08CB43B7CFA}"/>
    <cellStyle name="Comma 28 2 7 2" xfId="2247" xr:uid="{181C2C0B-317B-4F22-8B18-0204C0876D86}"/>
    <cellStyle name="Comma 28 2 8" xfId="1657" xr:uid="{594092FA-B389-4BCE-8450-289087502DAB}"/>
    <cellStyle name="Comma 28 3" xfId="925" xr:uid="{E4FA7007-C796-4C4D-AFAB-D22DB2CC5597}"/>
    <cellStyle name="Comma 28 3 2" xfId="1098" xr:uid="{68C0D234-F92F-4701-83EC-02E7162F1802}"/>
    <cellStyle name="Comma 28 3 2 2" xfId="1235" xr:uid="{0990EC32-AB9A-4BEE-8F6A-674632368CAB}"/>
    <cellStyle name="Comma 28 3 2 2 2" xfId="1532" xr:uid="{957DFDC7-0FDB-4EE8-B0E1-20494BB0EDC8}"/>
    <cellStyle name="Comma 28 3 2 2 2 2" xfId="2206" xr:uid="{C5C3DA9F-C0EA-4B13-90B3-A55433C9822C}"/>
    <cellStyle name="Comma 28 3 2 2 3" xfId="1911" xr:uid="{668359C0-8178-4DD1-A878-95E4611F2F26}"/>
    <cellStyle name="Comma 28 3 2 3" xfId="1395" xr:uid="{601E386F-3385-4A58-9F59-50CCE13D3E60}"/>
    <cellStyle name="Comma 28 3 2 3 2" xfId="2069" xr:uid="{60DE5E4D-1B23-4CF2-A5C1-AD8CD0E78F2B}"/>
    <cellStyle name="Comma 28 3 2 4" xfId="1774" xr:uid="{F434F164-3D25-4839-9B1A-32A134838F4B}"/>
    <cellStyle name="Comma 28 3 3" xfId="1185" xr:uid="{4E5A3DAB-AA80-46D3-8772-792F2A44168C}"/>
    <cellStyle name="Comma 28 3 3 2" xfId="1482" xr:uid="{8E0D6235-EE06-4FBE-B685-F3682652DBC6}"/>
    <cellStyle name="Comma 28 3 3 2 2" xfId="2156" xr:uid="{591B2C75-925D-48C7-9FF2-AA4DB5959FDD}"/>
    <cellStyle name="Comma 28 3 3 3" xfId="1861" xr:uid="{EA9EBABD-73BD-4406-86D6-A94BD77F6E5F}"/>
    <cellStyle name="Comma 28 3 4" xfId="1013" xr:uid="{EAE70A2B-A1CD-4B79-9BD9-C4FA27320A59}"/>
    <cellStyle name="Comma 28 3 4 2" xfId="1352" xr:uid="{00C6EBBF-4B6F-4AE8-976D-C1D48CE55F67}"/>
    <cellStyle name="Comma 28 3 4 2 2" xfId="2026" xr:uid="{82FCACF0-808E-4818-96AA-6D25F4E7186F}"/>
    <cellStyle name="Comma 28 3 4 3" xfId="1731" xr:uid="{4DD52075-6836-42B0-A6BA-32CCC7D736B3}"/>
    <cellStyle name="Comma 28 3 5" xfId="1291" xr:uid="{B46F7399-74B5-454C-B038-E03EA43F5A90}"/>
    <cellStyle name="Comma 28 3 5 2" xfId="1965" xr:uid="{456B6304-EAD4-41AC-9E5E-2B09850CD624}"/>
    <cellStyle name="Comma 28 3 6" xfId="1659" xr:uid="{344B0928-1E28-4BA4-8FCD-B14C927D9913}"/>
    <cellStyle name="Comma 28 4" xfId="937" xr:uid="{C3D93574-3381-4910-BA71-82BD7D8491B9}"/>
    <cellStyle name="Comma 28 4 2" xfId="1198" xr:uid="{EFDA143E-6C95-443C-A22C-6780005FF1D0}"/>
    <cellStyle name="Comma 28 4 2 2" xfId="1495" xr:uid="{321FF463-0AC3-4A87-B522-B0735F8DF635}"/>
    <cellStyle name="Comma 28 4 2 2 2" xfId="2169" xr:uid="{8031D396-89A5-4253-ABF6-31414FE97097}"/>
    <cellStyle name="Comma 28 4 2 3" xfId="1874" xr:uid="{41F35F5E-40A9-4A3C-B9A9-C8A057055F07}"/>
    <cellStyle name="Comma 28 4 3" xfId="1061" xr:uid="{3479AFA1-F029-4890-8F8D-7B779A1FEC7F}"/>
    <cellStyle name="Comma 28 4 3 2" xfId="1358" xr:uid="{F1AC8300-E7AE-467E-908A-0F84F89FE105}"/>
    <cellStyle name="Comma 28 4 3 2 2" xfId="2032" xr:uid="{E6A247E9-41B8-405D-A126-626E3685E4B1}"/>
    <cellStyle name="Comma 28 4 3 3" xfId="1737" xr:uid="{8B687C79-24FE-4C12-8040-2615896B8BA2}"/>
    <cellStyle name="Comma 28 4 4" xfId="1302" xr:uid="{94478E02-B7EC-474F-95DF-2AB75798E4EF}"/>
    <cellStyle name="Comma 28 4 4 2" xfId="1976" xr:uid="{F9CC7DCD-B110-43DE-B65E-53871E608CDA}"/>
    <cellStyle name="Comma 28 4 5" xfId="1670" xr:uid="{7EC2A912-DD06-448A-8568-DF7C86CF19CE}"/>
    <cellStyle name="Comma 28 5" xfId="1146" xr:uid="{D70015F0-A054-468D-9688-BF29EB86C640}"/>
    <cellStyle name="Comma 28 5 2" xfId="1443" xr:uid="{65A2B878-6ED6-474B-8AE8-CF88408E8340}"/>
    <cellStyle name="Comma 28 5 2 2" xfId="2117" xr:uid="{69E4C9E6-20F9-4CA7-8906-29E4DF8DC1F2}"/>
    <cellStyle name="Comma 28 5 3" xfId="1822" xr:uid="{E5D76831-743E-4434-8C0C-99A6B7A81462}"/>
    <cellStyle name="Comma 28 6" xfId="1106" xr:uid="{121FF3F0-7810-4027-89D0-7E39B842395C}"/>
    <cellStyle name="Comma 28 6 2" xfId="1403" xr:uid="{164FFFD5-878A-4852-9E08-AE7CF529175A}"/>
    <cellStyle name="Comma 28 6 2 2" xfId="2077" xr:uid="{84694E2D-F72F-4BC6-B96D-52D272F34CA8}"/>
    <cellStyle name="Comma 28 6 3" xfId="1782" xr:uid="{10A212D0-55B2-4E53-924C-5734CE3E5D95}"/>
    <cellStyle name="Comma 28 7" xfId="958" xr:uid="{AD60EA44-4931-4831-A911-031ECA5DEE06}"/>
    <cellStyle name="Comma 28 7 2" xfId="1314" xr:uid="{0BD38BCA-A828-470A-82FE-1DC1BC6640A7}"/>
    <cellStyle name="Comma 28 7 2 2" xfId="1988" xr:uid="{1BE4C823-2FD4-4D3C-918D-C84B7BF78E08}"/>
    <cellStyle name="Comma 28 7 3" xfId="1684" xr:uid="{DD7D8FFB-078B-4273-AB62-D95259945BD4}"/>
    <cellStyle name="Comma 28 8" xfId="1283" xr:uid="{625DEF36-1FB0-452D-8523-4D8E54F4A4B1}"/>
    <cellStyle name="Comma 28 8 2" xfId="1957" xr:uid="{FEDE044B-E8C6-4843-B88D-46A6FFA86F30}"/>
    <cellStyle name="Comma 28 9" xfId="1570" xr:uid="{67E4E32E-107F-4598-8192-2203288DAFCE}"/>
    <cellStyle name="Comma 28 9 2" xfId="2243" xr:uid="{65D6FDDF-E626-4D31-894B-967133793150}"/>
    <cellStyle name="Comma 29" xfId="1246" xr:uid="{C9029511-24EC-424C-937B-564CB826F5DD}"/>
    <cellStyle name="Comma 29 2" xfId="1543" xr:uid="{3A8875D9-531F-40C8-92BD-8DEFCB73419A}"/>
    <cellStyle name="Comma 29 2 2" xfId="2217" xr:uid="{6BDF957C-E9E1-45D2-BC89-B777E96647E9}"/>
    <cellStyle name="Comma 29 3" xfId="1922" xr:uid="{3BEDF16C-3258-4232-8A8D-FD0DA4AFF789}"/>
    <cellStyle name="Comma 3" xfId="122" xr:uid="{B42F2822-5EE5-4A85-A091-E9AFC60C3BBC}"/>
    <cellStyle name="Comma 3 10" xfId="1590" xr:uid="{5FB983A8-CB0D-4ACF-A4E4-F12E00F460D5}"/>
    <cellStyle name="Comma 3 11" xfId="1611" xr:uid="{00CFEA90-5C1F-4FD5-A2C3-8C8DB47CCC5E}"/>
    <cellStyle name="Comma 3 12" xfId="1650" xr:uid="{BBFA7013-00CA-4EB4-9DD9-27F6180885E9}"/>
    <cellStyle name="Comma 3 2" xfId="155" xr:uid="{62504A8C-9476-4218-983B-9E72C6C8A284}"/>
    <cellStyle name="Comma 3 2 2" xfId="263" xr:uid="{F590E71F-8D84-47B1-8927-D1130329F498}"/>
    <cellStyle name="Comma 3 2 2 2" xfId="798" xr:uid="{BA183482-D7A6-4FDE-9F1E-E7C6D773216F}"/>
    <cellStyle name="Comma 3 2 2 2 2" xfId="847" xr:uid="{A8C1435E-1ED1-4125-BDD2-D0B4E3FB4476}"/>
    <cellStyle name="Comma 3 2 2 2 2 2" xfId="1520" xr:uid="{FC3FA323-D1A2-4E38-BC32-ACADECABAF13}"/>
    <cellStyle name="Comma 3 2 2 2 2 3" xfId="2194" xr:uid="{DEAA9F96-494E-410B-A976-5CA7972594FB}"/>
    <cellStyle name="Comma 3 2 2 2 3" xfId="1223" xr:uid="{7116F9CC-82CF-4365-AB04-3D6B8C9C7EE2}"/>
    <cellStyle name="Comma 3 2 2 2 4" xfId="1899" xr:uid="{CD43B621-D735-429A-8B50-280CA1304266}"/>
    <cellStyle name="Comma 3 2 2 3" xfId="822" xr:uid="{8E3A59E2-CD68-44C6-83ED-17CE4933FE01}"/>
    <cellStyle name="Comma 3 2 2 3 2" xfId="1383" xr:uid="{69263E16-FF62-498A-BF5E-AD5F2F0E46E7}"/>
    <cellStyle name="Comma 3 2 2 3 3" xfId="2057" xr:uid="{225D64E6-7D57-4668-B707-46D47ACBC9DB}"/>
    <cellStyle name="Comma 3 2 2 4" xfId="1086" xr:uid="{98DF3668-7A63-4184-BA15-85E301631E6C}"/>
    <cellStyle name="Comma 3 2 2 5" xfId="1762" xr:uid="{8E30B132-0A9E-4082-95B6-D5C106CE2D4E}"/>
    <cellStyle name="Comma 3 2 3" xfId="790" xr:uid="{E6E472AC-1E99-4961-A000-E7A394B31016}"/>
    <cellStyle name="Comma 3 2 3 2" xfId="839" xr:uid="{6700FD32-1F3E-4228-BA97-F20B091AE40C}"/>
    <cellStyle name="Comma 3 2 3 2 2" xfId="1470" xr:uid="{AF1F5633-33EE-4D76-AD53-8EA24C14DF1C}"/>
    <cellStyle name="Comma 3 2 3 2 3" xfId="2144" xr:uid="{5041E79B-C458-4523-ABF7-87E905A46D89}"/>
    <cellStyle name="Comma 3 2 3 3" xfId="1173" xr:uid="{8239253D-FE02-4DBD-8ABC-8A2C3E6472DB}"/>
    <cellStyle name="Comma 3 2 3 4" xfId="1849" xr:uid="{15CB1FFF-5F82-4B37-B235-7402F530A356}"/>
    <cellStyle name="Comma 3 2 4" xfId="814" xr:uid="{7E41127F-C02C-4C86-8969-AED02C9FCDAE}"/>
    <cellStyle name="Comma 3 2 4 2" xfId="1435" xr:uid="{23CD3AC7-B05C-430F-A09E-ECE000A38AF6}"/>
    <cellStyle name="Comma 3 2 4 2 2" xfId="2109" xr:uid="{02559A60-FEF1-47A2-8381-3900A2852726}"/>
    <cellStyle name="Comma 3 2 4 3" xfId="1138" xr:uid="{382CB39F-F4F6-4F96-BA3B-96E1CC28266F}"/>
    <cellStyle name="Comma 3 2 4 4" xfId="1814" xr:uid="{168EFF9B-01E5-4C9A-A52B-8881FE4E6B34}"/>
    <cellStyle name="Comma 3 2 5" xfId="1001" xr:uid="{A07BF52A-350C-4C9C-886E-603E2A2B2C56}"/>
    <cellStyle name="Comma 3 2 5 2" xfId="1340" xr:uid="{7CDBB185-DA30-48C0-BFF1-C9B9C640A065}"/>
    <cellStyle name="Comma 3 2 5 2 2" xfId="2014" xr:uid="{F669F01F-AF6B-4551-B129-6BA4EB4FF3F0}"/>
    <cellStyle name="Comma 3 2 5 3" xfId="1719" xr:uid="{E0C72364-839F-45D5-B1C6-CAEFB554EA3D}"/>
    <cellStyle name="Comma 3 2 6" xfId="1294" xr:uid="{339E8C6E-07E7-4348-8F77-DA26CFB4A519}"/>
    <cellStyle name="Comma 3 2 6 2" xfId="1968" xr:uid="{9106213C-806D-44D9-ABDC-14F3ACF40B4A}"/>
    <cellStyle name="Comma 3 2 7" xfId="928" xr:uid="{A5FC5516-11B7-4D58-9FF6-D87825DBF169}"/>
    <cellStyle name="Comma 3 2 8" xfId="1593" xr:uid="{07DED627-11AA-4F3F-9BD7-16E7DFE90E60}"/>
    <cellStyle name="Comma 3 2 9" xfId="1662" xr:uid="{7B61920C-3957-44A2-A149-AE9563FFA708}"/>
    <cellStyle name="Comma 3 3" xfId="262" xr:uid="{3DAF40B6-4C07-4306-A14C-192BCF4720D6}"/>
    <cellStyle name="Comma 3 3 2" xfId="797" xr:uid="{8AA571E0-1759-4BA3-A5B4-F9247CD860EB}"/>
    <cellStyle name="Comma 3 3 2 2" xfId="846" xr:uid="{93F4F185-6B6E-4DDC-924D-753E303F48D6}"/>
    <cellStyle name="Comma 3 3 2 2 2" xfId="1500" xr:uid="{FDC58479-EB97-4AD5-8174-0B38198744CE}"/>
    <cellStyle name="Comma 3 3 2 2 3" xfId="2174" xr:uid="{C762A601-793F-49BE-BCE9-172E9D4A400F}"/>
    <cellStyle name="Comma 3 3 2 3" xfId="1203" xr:uid="{7EC955A3-EE67-4F90-9FD9-687BB33ECCFA}"/>
    <cellStyle name="Comma 3 3 2 4" xfId="1879" xr:uid="{5AC6A351-C5B1-4424-9965-08A2B102A3E0}"/>
    <cellStyle name="Comma 3 3 3" xfId="821" xr:uid="{52E75EE7-10E9-4819-9C30-36AF0F4676A9}"/>
    <cellStyle name="Comma 3 3 3 2" xfId="1363" xr:uid="{69FD9C17-8508-40A1-81C2-06EC109AA95F}"/>
    <cellStyle name="Comma 3 3 3 2 2" xfId="2037" xr:uid="{769296E1-95FD-4C60-90E2-1A3525364039}"/>
    <cellStyle name="Comma 3 3 3 3" xfId="1066" xr:uid="{9A9E17B9-E292-4B02-B701-FC321484343D}"/>
    <cellStyle name="Comma 3 3 3 4" xfId="1742" xr:uid="{DD5DAE9C-308D-492B-8875-52FEA293DB99}"/>
    <cellStyle name="Comma 3 3 4" xfId="1305" xr:uid="{B48B290F-0951-44DE-9B05-1525D9B9F51F}"/>
    <cellStyle name="Comma 3 3 4 2" xfId="1979" xr:uid="{45B64871-CF8E-4C3E-81FA-522CC4B1B545}"/>
    <cellStyle name="Comma 3 3 5" xfId="940" xr:uid="{D6F539BB-36C3-49E0-8A54-B65904A55EFE}"/>
    <cellStyle name="Comma 3 3 6" xfId="1673" xr:uid="{49789B1B-2AE7-40DA-8672-312AA7103C67}"/>
    <cellStyle name="Comma 3 4" xfId="788" xr:uid="{FFFC5EC3-A4C4-4D6F-B021-B78D5B901188}"/>
    <cellStyle name="Comma 3 4 2" xfId="837" xr:uid="{F8947E0D-7405-4DF8-978C-E3CEF74BD69F}"/>
    <cellStyle name="Comma 3 4 2 2" xfId="1450" xr:uid="{ECAFD36A-3899-4C24-92AF-8AB295D6BF7F}"/>
    <cellStyle name="Comma 3 4 2 3" xfId="2124" xr:uid="{A98D40FE-F99D-40E7-B6E1-7429E05B9A66}"/>
    <cellStyle name="Comma 3 4 3" xfId="1153" xr:uid="{0D15C2B7-99AA-4398-BB42-7882C8FBAFBF}"/>
    <cellStyle name="Comma 3 4 4" xfId="1829" xr:uid="{362E4F21-F1A7-40E7-BF57-03C00683989A}"/>
    <cellStyle name="Comma 3 5" xfId="812" xr:uid="{27AA0E72-44E9-481E-9198-E22635F8911F}"/>
    <cellStyle name="Comma 3 5 2" xfId="1413" xr:uid="{D0010067-B48C-4D50-9DCF-A5BE09D4B18E}"/>
    <cellStyle name="Comma 3 5 2 2" xfId="2087" xr:uid="{A1A81A87-3005-4318-AA98-6BA4C7E20E10}"/>
    <cellStyle name="Comma 3 5 3" xfId="1116" xr:uid="{349BEDBE-7ABF-4937-8B25-647438E20A58}"/>
    <cellStyle name="Comma 3 5 4" xfId="1792" xr:uid="{A8771291-C76D-44E1-93F7-1BD2EE778134}"/>
    <cellStyle name="Comma 3 6" xfId="972" xr:uid="{B1F3D965-D6A3-4BA7-95AE-526234A9F6FC}"/>
    <cellStyle name="Comma 3 6 2" xfId="1320" xr:uid="{F79CEAC2-1117-44A7-881B-C684202E154B}"/>
    <cellStyle name="Comma 3 6 2 2" xfId="1994" xr:uid="{01B884FA-F925-4826-8B88-EC13F5C48A18}"/>
    <cellStyle name="Comma 3 6 3" xfId="1696" xr:uid="{5D7590BB-8FAB-4FFD-AAC9-E9C3DB921121}"/>
    <cellStyle name="Comma 3 7" xfId="1282" xr:uid="{0332EBA5-2E7A-4B6D-8A88-BFE7231928A1}"/>
    <cellStyle name="Comma 3 7 2" xfId="1956" xr:uid="{597439F6-829E-40AE-8A96-192A621E3001}"/>
    <cellStyle name="Comma 3 8" xfId="1573" xr:uid="{3A2ACE5D-668C-4C86-9C32-E9469D0E7254}"/>
    <cellStyle name="Comma 3 8 2" xfId="2246" xr:uid="{F41F4ED8-0AE4-4078-85F2-CBDEC225BBA3}"/>
    <cellStyle name="Comma 3 9" xfId="915" xr:uid="{8C7E9542-1E90-4532-B3EE-D67E29B3EAED}"/>
    <cellStyle name="Comma 30" xfId="1149" xr:uid="{1B55BF85-0879-4221-82CE-885F4824589A}"/>
    <cellStyle name="Comma 30 2" xfId="1446" xr:uid="{6E5BEFC0-01DF-48AC-9CC3-3EE012C0BF1C}"/>
    <cellStyle name="Comma 30 2 2" xfId="2120" xr:uid="{EF4ACA59-7463-4CC6-91A2-F8DCC38F58C1}"/>
    <cellStyle name="Comma 30 3" xfId="1825" xr:uid="{86339539-8CC3-47BE-8054-7EB0CEC5B4F4}"/>
    <cellStyle name="Comma 31" xfId="1244" xr:uid="{7AB90680-A4DD-44EA-AC58-4422F6B61A8D}"/>
    <cellStyle name="Comma 31 2" xfId="1541" xr:uid="{1ABD0AC7-3589-4A23-A945-6AAFC1EBB997}"/>
    <cellStyle name="Comma 31 2 2" xfId="2215" xr:uid="{CD795D86-19CF-4078-9051-E9287C6A87CE}"/>
    <cellStyle name="Comma 31 3" xfId="1920" xr:uid="{052F1568-C219-41AC-9E22-9A5FF6A7FDC4}"/>
    <cellStyle name="Comma 32" xfId="1242" xr:uid="{12DC54F4-BE29-4E5D-980F-7D37BFB79EEB}"/>
    <cellStyle name="Comma 32 2" xfId="1539" xr:uid="{BEC1A486-6CBD-4C81-9B1D-6B64CA06B382}"/>
    <cellStyle name="Comma 32 2 2" xfId="2213" xr:uid="{DCCE4F81-3BCA-47A9-AAD6-C291D66DF50F}"/>
    <cellStyle name="Comma 32 3" xfId="1918" xr:uid="{C86BBAC7-0D36-4FBD-919B-826E3E4C9EF5}"/>
    <cellStyle name="Comma 33" xfId="1247" xr:uid="{453FF57F-8D33-4397-9078-055B2EA5AE9B}"/>
    <cellStyle name="Comma 33 2" xfId="1544" xr:uid="{C96E20DE-B604-48BE-9BFA-AE3F47FD598C}"/>
    <cellStyle name="Comma 33 2 2" xfId="2218" xr:uid="{A9C1A1DE-1EDB-49F4-8C0B-B6212E1AABE1}"/>
    <cellStyle name="Comma 33 3" xfId="1923" xr:uid="{C7D2ED50-290F-4D1D-AC27-D3F90AE29000}"/>
    <cellStyle name="Comma 34" xfId="1245" xr:uid="{A9722033-8547-4337-9B0E-1302B5A3510B}"/>
    <cellStyle name="Comma 34 2" xfId="1542" xr:uid="{8DFA41A1-E830-4575-B438-3E529F2FFF0B}"/>
    <cellStyle name="Comma 34 2 2" xfId="2216" xr:uid="{8D8A004F-5FAD-4CC5-8AAC-DD105F9B795C}"/>
    <cellStyle name="Comma 34 3" xfId="1921" xr:uid="{99991AEC-CED1-4045-9E45-08E3C1292936}"/>
    <cellStyle name="Comma 35" xfId="1241" xr:uid="{293EE1D0-E874-432C-BBE6-611B2F2A0F0A}"/>
    <cellStyle name="Comma 35 2" xfId="1538" xr:uid="{93186E08-9347-45F4-9159-939D992B65E1}"/>
    <cellStyle name="Comma 35 2 2" xfId="2212" xr:uid="{7B1482BC-8EF0-451B-9C54-70159E5FE7C8}"/>
    <cellStyle name="Comma 35 3" xfId="1917" xr:uid="{138952C2-3793-47B0-8433-8C309D0B62D3}"/>
    <cellStyle name="Comma 36" xfId="1104" xr:uid="{7553C9A2-F6CA-47D7-8A44-913DE8E9B696}"/>
    <cellStyle name="Comma 36 2" xfId="1401" xr:uid="{2FB9DF84-3836-4441-BAFD-8911BBA473C0}"/>
    <cellStyle name="Comma 36 2 2" xfId="2075" xr:uid="{5864359E-52D2-44EA-A192-43D703E0C921}"/>
    <cellStyle name="Comma 36 3" xfId="1780" xr:uid="{B1DF1F92-BC2F-4E35-BEAF-93947E41308D}"/>
    <cellStyle name="Comma 37" xfId="1188" xr:uid="{191FA50C-15C1-4DDC-89D0-FACDA45CCDCF}"/>
    <cellStyle name="Comma 37 2" xfId="1485" xr:uid="{ABA31B45-3E43-474E-A59B-5F9DEE793CA2}"/>
    <cellStyle name="Comma 37 2 2" xfId="2159" xr:uid="{6E7E3561-33FD-4772-A01A-26978E75870A}"/>
    <cellStyle name="Comma 37 3" xfId="1864" xr:uid="{54B16FF9-CC30-4C99-9741-576BB987D401}"/>
    <cellStyle name="Comma 38" xfId="1254" xr:uid="{EF751590-4C27-4114-AA6B-2598C47B7B56}"/>
    <cellStyle name="Comma 38 2" xfId="1551" xr:uid="{6279D841-90DA-4690-BC99-C3D3275A4BA2}"/>
    <cellStyle name="Comma 38 2 2" xfId="2225" xr:uid="{1C7E35CE-D09F-4BDE-BB6E-07F03D2A8243}"/>
    <cellStyle name="Comma 38 3" xfId="1930" xr:uid="{5C20F0A4-B69F-4987-A4A2-49D1625454F1}"/>
    <cellStyle name="Comma 39" xfId="1109" xr:uid="{9CCDE488-7960-4198-ACF2-6C8B154B1FB2}"/>
    <cellStyle name="Comma 39 2" xfId="1406" xr:uid="{D4066E90-A2A1-482D-A133-5512B4A48C0F}"/>
    <cellStyle name="Comma 39 2 2" xfId="2080" xr:uid="{5C30EC31-1A0C-4D8A-A5F6-4DC20A5346F8}"/>
    <cellStyle name="Comma 39 3" xfId="1785" xr:uid="{D8441087-1989-447F-8EFE-0783F47475DC}"/>
    <cellStyle name="Comma 4" xfId="165" xr:uid="{8754945A-4374-42F9-B56A-BC92F05DAD15}"/>
    <cellStyle name="Comma 4 10" xfId="1654" xr:uid="{E64BEA4B-7523-46FD-909D-4EC3FE654F08}"/>
    <cellStyle name="Comma 4 2" xfId="791" xr:uid="{EE9619CE-0251-4FF7-8752-FAE48570E445}"/>
    <cellStyle name="Comma 4 2 2" xfId="840" xr:uid="{F956BFDC-F186-4751-AD60-85270C27516F}"/>
    <cellStyle name="Comma 4 2 2 2" xfId="1224" xr:uid="{1496D60C-FDAD-4092-9CE1-70EED2FF8D33}"/>
    <cellStyle name="Comma 4 2 2 2 2" xfId="1521" xr:uid="{75E92B30-F7A9-43A4-9AD2-B44E4A48E580}"/>
    <cellStyle name="Comma 4 2 2 2 2 2" xfId="2195" xr:uid="{6FE4E3D8-7654-42E5-88D1-E90D62482A7C}"/>
    <cellStyle name="Comma 4 2 2 2 3" xfId="1900" xr:uid="{E40E8835-EA3F-4D66-A4C4-22B01C1825E2}"/>
    <cellStyle name="Comma 4 2 2 3" xfId="1384" xr:uid="{68E053C6-587C-41CF-B019-067125061758}"/>
    <cellStyle name="Comma 4 2 2 3 2" xfId="2058" xr:uid="{0042105C-AD46-4DE9-8C65-EF1471D089E5}"/>
    <cellStyle name="Comma 4 2 2 4" xfId="1087" xr:uid="{F4BA1FA4-CF32-4558-8B90-BF4D8BD870CC}"/>
    <cellStyle name="Comma 4 2 2 5" xfId="1763" xr:uid="{FBA1228E-749E-4F44-B68F-C8F2E285A6CC}"/>
    <cellStyle name="Comma 4 2 3" xfId="1174" xr:uid="{DB7EBB1D-4EA5-4B5F-A5AE-358E4D84D9CD}"/>
    <cellStyle name="Comma 4 2 3 2" xfId="1471" xr:uid="{411790DC-5D00-4192-9421-CD124971D0A3}"/>
    <cellStyle name="Comma 4 2 3 2 2" xfId="2145" xr:uid="{B38B40FB-A4C9-4E0F-A255-E6324199A769}"/>
    <cellStyle name="Comma 4 2 3 3" xfId="1850" xr:uid="{2FD21A63-5E2E-4773-B707-B25476CD582F}"/>
    <cellStyle name="Comma 4 2 4" xfId="1139" xr:uid="{D4BABE0B-4F0F-4B4C-9C1B-8CF9738E3241}"/>
    <cellStyle name="Comma 4 2 4 2" xfId="1436" xr:uid="{0A497909-59F7-4C34-B49D-BB55EC858B6A}"/>
    <cellStyle name="Comma 4 2 4 2 2" xfId="2110" xr:uid="{EAC7E56D-A654-4B2F-A256-0C04CCF87DE6}"/>
    <cellStyle name="Comma 4 2 4 3" xfId="1815" xr:uid="{187B7B6D-0FDA-455F-9ED4-5F60D84811F5}"/>
    <cellStyle name="Comma 4 2 5" xfId="1002" xr:uid="{AEBE6A9B-B46F-4A83-8FFE-506307593827}"/>
    <cellStyle name="Comma 4 2 5 2" xfId="1341" xr:uid="{B6049D7A-CA3A-4A18-A321-55285705DFED}"/>
    <cellStyle name="Comma 4 2 5 2 2" xfId="2015" xr:uid="{7739B651-9A9A-48D6-8F48-5C0ED9EFE720}"/>
    <cellStyle name="Comma 4 2 5 3" xfId="1720" xr:uid="{8DB831F3-9CEC-428E-8F6B-EEAFF08519FD}"/>
    <cellStyle name="Comma 4 2 6" xfId="1293" xr:uid="{42A46DAF-8D4C-43D3-BF4C-339665C11ED3}"/>
    <cellStyle name="Comma 4 2 6 2" xfId="1967" xr:uid="{5261BE41-B482-43A5-B0CA-04C1839F9938}"/>
    <cellStyle name="Comma 4 2 7" xfId="927" xr:uid="{F0FECB71-3986-4ECD-900B-CFFA7792EA1F}"/>
    <cellStyle name="Comma 4 2 8" xfId="1661" xr:uid="{2BA07545-3F1F-4F5D-B514-5188B355562A}"/>
    <cellStyle name="Comma 4 3" xfId="815" xr:uid="{B785CAB9-4F10-4E84-805A-0785C3FB091B}"/>
    <cellStyle name="Comma 4 3 2" xfId="1204" xr:uid="{98DD6143-5AF1-4155-A8C7-BDF96F0313BC}"/>
    <cellStyle name="Comma 4 3 2 2" xfId="1501" xr:uid="{190FEE15-01AF-4C14-A6D2-312EFA6D44C3}"/>
    <cellStyle name="Comma 4 3 2 2 2" xfId="2175" xr:uid="{17C3B35B-C85C-4CA3-AA00-AADC597001AA}"/>
    <cellStyle name="Comma 4 3 2 3" xfId="1880" xr:uid="{FF6FEC84-B445-424F-BC97-23AABB3DB854}"/>
    <cellStyle name="Comma 4 3 3" xfId="1067" xr:uid="{6A4218C6-FD33-4C0F-B1B2-4F628EBC5B61}"/>
    <cellStyle name="Comma 4 3 3 2" xfId="1364" xr:uid="{BCACF6D7-5846-49C5-A2B7-561EFD25AD2A}"/>
    <cellStyle name="Comma 4 3 3 2 2" xfId="2038" xr:uid="{38E03B92-49C3-4FCC-AF4F-5E50BF233AFB}"/>
    <cellStyle name="Comma 4 3 3 3" xfId="1743" xr:uid="{4E52C5AB-4EEF-4EBB-96AC-F3F401804566}"/>
    <cellStyle name="Comma 4 3 4" xfId="1304" xr:uid="{701BBAB0-E869-4577-B757-A12DE2887244}"/>
    <cellStyle name="Comma 4 3 4 2" xfId="1978" xr:uid="{FB92633E-E140-48E9-ABD0-9B4F282ADCEF}"/>
    <cellStyle name="Comma 4 3 5" xfId="939" xr:uid="{BD383D29-8358-4AAC-81A2-E6C585CCB0FE}"/>
    <cellStyle name="Comma 4 3 6" xfId="1672" xr:uid="{3881045D-496D-400D-A4EE-28BF2E472FF2}"/>
    <cellStyle name="Comma 4 4" xfId="1154" xr:uid="{1CAE2F75-3D49-4401-80B9-CAE7CDC85A83}"/>
    <cellStyle name="Comma 4 4 2" xfId="1451" xr:uid="{1B1BC08B-38E7-472D-BDE3-E27E2BDC3BB4}"/>
    <cellStyle name="Comma 4 4 2 2" xfId="2125" xr:uid="{52206E58-02E7-4AAD-96A5-5EAD34588ADA}"/>
    <cellStyle name="Comma 4 4 3" xfId="1830" xr:uid="{A799E416-A3B5-4B62-B3C2-08C2B01A6BC4}"/>
    <cellStyle name="Comma 4 5" xfId="1117" xr:uid="{AEA3D7A6-6FAC-49D1-BE5A-BEA057063284}"/>
    <cellStyle name="Comma 4 5 2" xfId="1414" xr:uid="{9B6C6D22-4806-4AD4-8F4F-4B63EC5A56F3}"/>
    <cellStyle name="Comma 4 5 2 2" xfId="2088" xr:uid="{A3FE2491-EA6D-40EB-A284-A83CF7571534}"/>
    <cellStyle name="Comma 4 5 3" xfId="1793" xr:uid="{F3A1D6BF-FAB1-43C6-8FEF-C0E9C2848C46}"/>
    <cellStyle name="Comma 4 6" xfId="973" xr:uid="{F5715A4A-712B-4205-B827-59D0FB9F8643}"/>
    <cellStyle name="Comma 4 6 2" xfId="1321" xr:uid="{E3DF46E5-42A6-4353-B567-8864706B8EE3}"/>
    <cellStyle name="Comma 4 6 2 2" xfId="1995" xr:uid="{BFAAFE33-6211-4784-964D-60ADC8EDB320}"/>
    <cellStyle name="Comma 4 6 3" xfId="1697" xr:uid="{4A955117-5D1D-44CC-97D9-06A10C96EC8E}"/>
    <cellStyle name="Comma 4 7" xfId="1286" xr:uid="{08559F2C-D626-468E-911F-221F38637EA1}"/>
    <cellStyle name="Comma 4 7 2" xfId="1960" xr:uid="{4CF09174-CA5A-42DB-9D2A-3DD1DB5D5181}"/>
    <cellStyle name="Comma 4 8" xfId="1572" xr:uid="{4656F30E-9E76-48C8-9602-91F8E8F68BFF}"/>
    <cellStyle name="Comma 4 8 2" xfId="2245" xr:uid="{82FF9F2B-E52C-44A5-AF28-28EEBCF1A4CB}"/>
    <cellStyle name="Comma 4 9" xfId="920" xr:uid="{6032393A-DFE1-4375-8F3D-6CB66ECAEA59}"/>
    <cellStyle name="Comma 40" xfId="1192" xr:uid="{0FA12CE2-7B1C-43C8-B0DF-B458114F5575}"/>
    <cellStyle name="Comma 40 2" xfId="1489" xr:uid="{72BC4472-8DDA-45B4-8969-706B42CDB74F}"/>
    <cellStyle name="Comma 40 2 2" xfId="2163" xr:uid="{3321E816-81A4-4D16-8A19-DB4FDFF5AC3C}"/>
    <cellStyle name="Comma 40 3" xfId="1868" xr:uid="{3428652C-3869-4408-834D-5DAB21AB1694}"/>
    <cellStyle name="Comma 41" xfId="1263" xr:uid="{2CCE52B9-7285-4F82-8A52-ABD5C7A15F1C}"/>
    <cellStyle name="Comma 41 2" xfId="1560" xr:uid="{52902500-DDB2-4737-9977-C3F85238F93D}"/>
    <cellStyle name="Comma 41 2 2" xfId="2234" xr:uid="{995290B0-0C87-43B5-AB3A-2A82ABA8FAC1}"/>
    <cellStyle name="Comma 41 3" xfId="1939" xr:uid="{89EC0A9A-7C20-40E5-9D70-2D82C79AB06A}"/>
    <cellStyle name="Comma 42" xfId="1186" xr:uid="{A4B4D47C-6F7B-474A-B807-7DD35071D934}"/>
    <cellStyle name="Comma 42 2" xfId="1483" xr:uid="{62E33C02-EC9C-44C7-AA71-B736AD2C48EA}"/>
    <cellStyle name="Comma 42 2 2" xfId="2157" xr:uid="{C91FC6F7-A4EC-4150-9A7A-164724A09A2F}"/>
    <cellStyle name="Comma 42 3" xfId="1862" xr:uid="{AA482D4D-A01F-4123-A098-AE7AB138C702}"/>
    <cellStyle name="Comma 43" xfId="1252" xr:uid="{FBAD1E71-1D4C-4060-91D9-CACC005C93B9}"/>
    <cellStyle name="Comma 43 2" xfId="1549" xr:uid="{99E5CB17-8210-41CD-9AE7-A47768F3E15E}"/>
    <cellStyle name="Comma 43 2 2" xfId="2223" xr:uid="{CFD824FC-CEA6-47D3-8EE8-98D15855811E}"/>
    <cellStyle name="Comma 43 3" xfId="1928" xr:uid="{0D12424B-420D-48B6-BD60-3DC43779DF20}"/>
    <cellStyle name="Comma 44" xfId="1262" xr:uid="{31908455-0C29-4709-BE3E-3CC3C6C91EDD}"/>
    <cellStyle name="Comma 44 2" xfId="1559" xr:uid="{CC828768-141B-4B6B-84D0-3BD0B9C11C93}"/>
    <cellStyle name="Comma 44 2 2" xfId="2233" xr:uid="{7035A184-2564-4F08-B3C8-03B0C94B8712}"/>
    <cellStyle name="Comma 44 3" xfId="1938" xr:uid="{2116271C-323C-427F-9E15-9F20F6D67C85}"/>
    <cellStyle name="Comma 45" xfId="1260" xr:uid="{6E45B227-FFE0-4422-A408-3FEBFD8A0834}"/>
    <cellStyle name="Comma 45 2" xfId="1557" xr:uid="{B0BE1A0C-A17C-4FD0-A902-85C226B4478A}"/>
    <cellStyle name="Comma 45 2 2" xfId="2231" xr:uid="{7837C010-AB02-4775-A397-336FC837C84E}"/>
    <cellStyle name="Comma 45 3" xfId="1936" xr:uid="{CE15D9CB-1E2B-4759-8B32-1E5B4B5ED9C4}"/>
    <cellStyle name="Comma 46" xfId="1131" xr:uid="{57395B21-7C8E-4939-A1C3-7042D9B3DD56}"/>
    <cellStyle name="Comma 46 2" xfId="1428" xr:uid="{2238EE1C-C7A1-4024-9F58-520ABB83B918}"/>
    <cellStyle name="Comma 46 2 2" xfId="2102" xr:uid="{55C99E76-2927-4A63-BC58-2C8FE5F2C900}"/>
    <cellStyle name="Comma 46 3" xfId="1807" xr:uid="{AB721937-61E0-40E5-860F-9280A9288494}"/>
    <cellStyle name="Comma 47" xfId="1111" xr:uid="{94651B9D-F440-4630-9BA9-BD17C6DB7563}"/>
    <cellStyle name="Comma 47 2" xfId="1408" xr:uid="{6A5CAB7C-FB5E-4D9F-8357-AC340BEB3242}"/>
    <cellStyle name="Comma 47 2 2" xfId="2082" xr:uid="{7C913518-D10B-4C86-ACB7-C180B88FBF71}"/>
    <cellStyle name="Comma 47 3" xfId="1787" xr:uid="{45ED45DF-FA53-4982-9326-3860207C03B9}"/>
    <cellStyle name="Comma 48" xfId="1250" xr:uid="{55C8E037-F85B-4080-B8F7-8A52DF0E9CE3}"/>
    <cellStyle name="Comma 48 2" xfId="1547" xr:uid="{2565F282-4102-4A59-B9B0-66D77DB0114C}"/>
    <cellStyle name="Comma 48 2 2" xfId="2221" xr:uid="{0D7EC5BA-C9FC-448C-A971-87508C61CF9B}"/>
    <cellStyle name="Comma 48 3" xfId="1926" xr:uid="{E60C6B43-2F0A-43B4-8265-74EC6722DE42}"/>
    <cellStyle name="Comma 49" xfId="1264" xr:uid="{841E11ED-CB9E-468D-A7AD-90C62CC8C65F}"/>
    <cellStyle name="Comma 49 2" xfId="1561" xr:uid="{2080F76B-A6F2-44C9-BEE2-02E9A88D4215}"/>
    <cellStyle name="Comma 49 2 2" xfId="2235" xr:uid="{CA406AA4-7E23-4ED7-85AA-BFB8EBF472DE}"/>
    <cellStyle name="Comma 49 3" xfId="1940" xr:uid="{B76CAEC2-EACC-490C-B499-3AFEF1DB2C73}"/>
    <cellStyle name="Comma 5" xfId="167" xr:uid="{C6D33712-68EC-4396-8581-EB2C78CE7C76}"/>
    <cellStyle name="Comma 5 10" xfId="1665" xr:uid="{87E8BF6D-AFD3-4F6B-A03D-0945A64F6DDD}"/>
    <cellStyle name="Comma 5 2" xfId="792" xr:uid="{4AC35135-4903-4B7F-B3DD-D866546042E6}"/>
    <cellStyle name="Comma 5 2 2" xfId="841" xr:uid="{B949CE63-CA23-4361-B50B-96B0E70BD01F}"/>
    <cellStyle name="Comma 5 2 2 2" xfId="1225" xr:uid="{22343053-B5F6-478B-B6EB-456860621258}"/>
    <cellStyle name="Comma 5 2 2 2 2" xfId="1522" xr:uid="{03BA41E4-83BF-4FD1-BDD6-F60097AA1FC3}"/>
    <cellStyle name="Comma 5 2 2 2 2 2" xfId="2196" xr:uid="{1909A8FC-905F-45AD-ACFC-8EDCEC8BAEE0}"/>
    <cellStyle name="Comma 5 2 2 2 3" xfId="1901" xr:uid="{69E32D4F-8608-44BB-BC69-20D344FDB5DE}"/>
    <cellStyle name="Comma 5 2 2 3" xfId="1385" xr:uid="{7CB73F43-7839-4AB1-9F96-5DE4129EDE70}"/>
    <cellStyle name="Comma 5 2 2 3 2" xfId="2059" xr:uid="{2F8DF3F3-9C5E-4535-9298-E6904F8AE019}"/>
    <cellStyle name="Comma 5 2 2 4" xfId="1088" xr:uid="{45B8D04B-5366-46A9-A115-F67F750AE19B}"/>
    <cellStyle name="Comma 5 2 2 5" xfId="1764" xr:uid="{E86CE91C-9DDF-4CE0-A2B5-E049B81813F7}"/>
    <cellStyle name="Comma 5 2 3" xfId="1175" xr:uid="{053C12D7-5FAB-4194-B71B-3A9C74418987}"/>
    <cellStyle name="Comma 5 2 3 2" xfId="1472" xr:uid="{B897C5EB-7BA0-48DF-8431-DE7B4CC4CA88}"/>
    <cellStyle name="Comma 5 2 3 2 2" xfId="2146" xr:uid="{15444431-4952-4C37-8C69-0D8763A62699}"/>
    <cellStyle name="Comma 5 2 3 3" xfId="1851" xr:uid="{8C49FE22-5843-4BD1-B4F8-01AAB3B5740F}"/>
    <cellStyle name="Comma 5 2 4" xfId="1140" xr:uid="{6D8186B3-1047-4DA5-BD96-AE1D6FF91A21}"/>
    <cellStyle name="Comma 5 2 4 2" xfId="1437" xr:uid="{BC0DC193-59F0-4910-97DC-4981683E23FB}"/>
    <cellStyle name="Comma 5 2 4 2 2" xfId="2111" xr:uid="{9BE4B5D6-C464-4FBE-931F-C0337513112B}"/>
    <cellStyle name="Comma 5 2 4 3" xfId="1816" xr:uid="{65A28FA2-AC45-494C-8AB5-B618D6BB2A76}"/>
    <cellStyle name="Comma 5 2 5" xfId="1003" xr:uid="{2D700EC4-666B-44BA-A483-04E99482C984}"/>
    <cellStyle name="Comma 5 2 5 2" xfId="1342" xr:uid="{128E9FCE-8EC9-44CD-A75A-8C63B84049CE}"/>
    <cellStyle name="Comma 5 2 5 2 2" xfId="2016" xr:uid="{BABFB614-4221-43BB-8E68-26C3898EA754}"/>
    <cellStyle name="Comma 5 2 5 3" xfId="1721" xr:uid="{1366F133-198B-4D56-B53D-AD03E2147239}"/>
    <cellStyle name="Comma 5 2 6" xfId="1308" xr:uid="{A4E6D0DE-8C32-44DB-93CD-670831A6C20B}"/>
    <cellStyle name="Comma 5 2 6 2" xfId="1982" xr:uid="{6C3FCACF-317A-409B-8E0A-FF4CFEE2FCEF}"/>
    <cellStyle name="Comma 5 2 7" xfId="943" xr:uid="{374FD334-9B94-4315-81F2-97B6CA1E5DB5}"/>
    <cellStyle name="Comma 5 2 8" xfId="1676" xr:uid="{42BDDDBC-1704-46FC-A4E2-EB358879D821}"/>
    <cellStyle name="Comma 5 3" xfId="816" xr:uid="{AA998F21-66B7-44BF-87E7-8C490884C2F3}"/>
    <cellStyle name="Comma 5 3 2" xfId="1205" xr:uid="{49267E19-98A7-486E-B5A3-3E99D4A9B2A0}"/>
    <cellStyle name="Comma 5 3 2 2" xfId="1502" xr:uid="{B970809D-3BFF-403B-BAE8-DA4BA3772001}"/>
    <cellStyle name="Comma 5 3 2 2 2" xfId="2176" xr:uid="{5618FAA3-754A-441A-870F-26D6B229447D}"/>
    <cellStyle name="Comma 5 3 2 3" xfId="1881" xr:uid="{24FF94B8-C735-4A32-AD61-26CF495965E3}"/>
    <cellStyle name="Comma 5 3 3" xfId="1365" xr:uid="{00FE4509-5D7C-45C4-994B-D443CAF1F539}"/>
    <cellStyle name="Comma 5 3 3 2" xfId="2039" xr:uid="{93CB8536-9D01-4E8F-9FBA-849D3C6133D7}"/>
    <cellStyle name="Comma 5 3 4" xfId="1068" xr:uid="{104D2C70-CB77-43C8-9C20-3A8C95EE83F8}"/>
    <cellStyle name="Comma 5 3 5" xfId="1744" xr:uid="{02A6ACA5-12B8-46BD-863F-C3467A84EA43}"/>
    <cellStyle name="Comma 5 4" xfId="1155" xr:uid="{07221693-158D-4E87-88B1-20E22E6BA87B}"/>
    <cellStyle name="Comma 5 4 2" xfId="1452" xr:uid="{9DBBF7B9-4E50-4329-971F-6B6AEBC7F1C3}"/>
    <cellStyle name="Comma 5 4 2 2" xfId="2126" xr:uid="{A349BFC1-AD39-455C-88CA-BA0D23FC092B}"/>
    <cellStyle name="Comma 5 4 3" xfId="1831" xr:uid="{76F43255-A223-43E8-84FE-A212587C895F}"/>
    <cellStyle name="Comma 5 5" xfId="1118" xr:uid="{4BF32323-6769-48A1-B29C-D6BEB19E1A3D}"/>
    <cellStyle name="Comma 5 5 2" xfId="1415" xr:uid="{037845C5-D96C-4AD1-878C-7AB7921EF036}"/>
    <cellStyle name="Comma 5 5 2 2" xfId="2089" xr:uid="{3A87CA73-3261-4E30-A6EE-99A24B91E370}"/>
    <cellStyle name="Comma 5 5 3" xfId="1794" xr:uid="{12487A56-9695-4BE8-9D0F-D3CEDB45CD3B}"/>
    <cellStyle name="Comma 5 6" xfId="974" xr:uid="{001D06F5-3280-4D8C-8E88-0BDA124B1EB9}"/>
    <cellStyle name="Comma 5 6 2" xfId="1322" xr:uid="{71B2243A-B6BB-48E7-9FB0-57A0A152F073}"/>
    <cellStyle name="Comma 5 6 2 2" xfId="1996" xr:uid="{A9E38578-E175-444A-8018-84FD0B94F565}"/>
    <cellStyle name="Comma 5 6 3" xfId="1698" xr:uid="{FC63647E-FDA4-4BBA-9831-376CA2689CE8}"/>
    <cellStyle name="Comma 5 7" xfId="1297" xr:uid="{FC00F94A-4C66-4975-8C05-EB9F646E5549}"/>
    <cellStyle name="Comma 5 7 2" xfId="1971" xr:uid="{99822000-A75D-4AD4-B2E1-AA3ACB81D895}"/>
    <cellStyle name="Comma 5 8" xfId="1576" xr:uid="{A5B8CCD1-DC64-47E8-AAA3-0419B0EE30A7}"/>
    <cellStyle name="Comma 5 8 2" xfId="2249" xr:uid="{70AA5555-2A53-42CF-B5C1-D6537AAD8F56}"/>
    <cellStyle name="Comma 5 9" xfId="931" xr:uid="{9AF1AEF0-B67B-4A1C-8D7B-6D7163F1CE78}"/>
    <cellStyle name="Comma 50" xfId="1108" xr:uid="{FBAC073F-6378-4E21-8C1E-9409AE688AD6}"/>
    <cellStyle name="Comma 50 2" xfId="1405" xr:uid="{FA13A343-D12D-466A-869C-7435225FE2C5}"/>
    <cellStyle name="Comma 50 2 2" xfId="2079" xr:uid="{0397869A-5210-4D33-B101-5CC9583B9201}"/>
    <cellStyle name="Comma 50 3" xfId="1784" xr:uid="{377289A0-532F-4D76-B2AB-C2C128A59BD6}"/>
    <cellStyle name="Comma 51" xfId="1105" xr:uid="{BA9943DF-BE4B-4A09-88FC-E2C11184FB4C}"/>
    <cellStyle name="Comma 51 2" xfId="1402" xr:uid="{910249C1-8E9A-40DF-9801-81CB4E3E6B66}"/>
    <cellStyle name="Comma 51 2 2" xfId="2076" xr:uid="{496DAD83-409C-4C2C-BDEF-A7E07A02C841}"/>
    <cellStyle name="Comma 51 3" xfId="1781" xr:uid="{323EE98D-44B6-4CF6-8E9E-6CECCB833888}"/>
    <cellStyle name="Comma 52" xfId="1189" xr:uid="{D1B4F854-733E-409B-A03F-0361F8DACED0}"/>
    <cellStyle name="Comma 52 2" xfId="1486" xr:uid="{96EC4355-21BB-40EA-8933-78961FA60798}"/>
    <cellStyle name="Comma 52 2 2" xfId="2160" xr:uid="{CC599AB4-B056-434A-A56A-DD120FA49B38}"/>
    <cellStyle name="Comma 52 3" xfId="1865" xr:uid="{DF139C96-399E-4020-9F11-F8E435C037F1}"/>
    <cellStyle name="Comma 53" xfId="1255" xr:uid="{DCFFF187-9220-4CA2-9AC6-FBD1399ACA6F}"/>
    <cellStyle name="Comma 53 2" xfId="1552" xr:uid="{5EA9D041-991F-43CF-B35A-12B0C6B6CEAE}"/>
    <cellStyle name="Comma 53 2 2" xfId="2226" xr:uid="{4A821322-67D7-4B5D-9D11-F5AC4597AB2B}"/>
    <cellStyle name="Comma 53 3" xfId="1931" xr:uid="{D2FEC96D-326F-4103-955A-2D2BF4484421}"/>
    <cellStyle name="Comma 54" xfId="1269" xr:uid="{E5811D19-F7DC-4262-8F16-38CE667DFB5D}"/>
    <cellStyle name="Comma 54 2" xfId="1566" xr:uid="{3D0123E2-0B4D-463F-A6B0-0AED96904873}"/>
    <cellStyle name="Comma 54 2 2" xfId="2240" xr:uid="{7B0C6BA4-C57A-47B2-B0B9-445F06C9E30B}"/>
    <cellStyle name="Comma 54 3" xfId="1945" xr:uid="{AD502D18-FE66-49BF-B203-BAAEC5E96712}"/>
    <cellStyle name="Comma 55" xfId="1259" xr:uid="{F6E7060F-FEC6-4366-9B45-69289D8C5C57}"/>
    <cellStyle name="Comma 55 2" xfId="1556" xr:uid="{6B2305BF-6214-49B2-A8A8-F1D729720597}"/>
    <cellStyle name="Comma 55 2 2" xfId="2230" xr:uid="{680F225B-3462-4077-9162-22B12C8E5E08}"/>
    <cellStyle name="Comma 55 3" xfId="1935" xr:uid="{DA3265AC-6D60-4737-8068-CAD7E7DADBAE}"/>
    <cellStyle name="Comma 56" xfId="1112" xr:uid="{2D5D1726-EDD3-41E0-8221-631DEFBD37CD}"/>
    <cellStyle name="Comma 56 2" xfId="1409" xr:uid="{E8AA687C-2EFF-4BAF-928F-A380CE1ACA6F}"/>
    <cellStyle name="Comma 56 2 2" xfId="2083" xr:uid="{D8545612-9C5D-47B6-8FF1-5B80934B8787}"/>
    <cellStyle name="Comma 56 3" xfId="1788" xr:uid="{AF5C147D-DC99-41C2-8484-A128EA61FD62}"/>
    <cellStyle name="Comma 57" xfId="1251" xr:uid="{194E6535-E82D-419A-B0FD-D58738911FC8}"/>
    <cellStyle name="Comma 57 2" xfId="1548" xr:uid="{B269FF91-0A40-47E2-AB27-EE427DE321B3}"/>
    <cellStyle name="Comma 57 2 2" xfId="2222" xr:uid="{398FA4C6-7693-4E98-9B10-55A8A9C931A5}"/>
    <cellStyle name="Comma 57 3" xfId="1927" xr:uid="{0946F0A8-C96E-450F-8B0E-5853283D78B1}"/>
    <cellStyle name="Comma 58" xfId="1265" xr:uid="{F226C93E-ECFD-4C5E-9C8A-7E8E1559E3FE}"/>
    <cellStyle name="Comma 58 2" xfId="1562" xr:uid="{926590B3-DF4A-4F41-BA4D-AF33F1179658}"/>
    <cellStyle name="Comma 58 2 2" xfId="2236" xr:uid="{A9F0591B-4E8C-42C1-85EE-8941FF9794E1}"/>
    <cellStyle name="Comma 58 3" xfId="1941" xr:uid="{FC8D6739-F431-4FEB-93FF-C33D42E22A5C}"/>
    <cellStyle name="Comma 59" xfId="1257" xr:uid="{CFCF4ACC-BCB1-45EE-AAEA-4DE9CCE2A700}"/>
    <cellStyle name="Comma 59 2" xfId="1554" xr:uid="{1A1CBBFD-66F9-4E7D-ACCE-ABACFE87AFF7}"/>
    <cellStyle name="Comma 59 2 2" xfId="2228" xr:uid="{9CDBB369-27BF-41A5-8721-F12AD668C4B3}"/>
    <cellStyle name="Comma 59 3" xfId="1933" xr:uid="{196FBF27-A763-4E2B-8AD9-72E8B1C50C8E}"/>
    <cellStyle name="Comma 6" xfId="767" xr:uid="{C155C2CB-38F7-4A1C-8705-BA2FB3839EF2}"/>
    <cellStyle name="Comma 6 10" xfId="1667" xr:uid="{6D0F8A0A-F475-48FC-AA39-1435321D6E13}"/>
    <cellStyle name="Comma 6 2" xfId="806" xr:uid="{DD667868-9BEC-42EB-AA2E-AFEA949DCB4B}"/>
    <cellStyle name="Comma 6 2 2" xfId="855" xr:uid="{39B325BE-C4E6-4448-B534-A5F1C8D13635}"/>
    <cellStyle name="Comma 6 2 2 2" xfId="1229" xr:uid="{7727679F-4534-44B7-91B5-23E9876702F0}"/>
    <cellStyle name="Comma 6 2 2 2 2" xfId="1526" xr:uid="{BCB3F07E-35DD-43CC-BFC9-BC7185F896C8}"/>
    <cellStyle name="Comma 6 2 2 2 2 2" xfId="2200" xr:uid="{771A21AE-D38A-45B3-98CB-FE2245FB3B5E}"/>
    <cellStyle name="Comma 6 2 2 2 3" xfId="1905" xr:uid="{6862343D-D807-4BE1-87B9-3820DB38CF99}"/>
    <cellStyle name="Comma 6 2 2 3" xfId="1389" xr:uid="{3282017A-1A25-4EE5-8AC2-07ADB885E768}"/>
    <cellStyle name="Comma 6 2 2 3 2" xfId="2063" xr:uid="{CC79F361-D8E6-446B-BEB3-B6691F6A8392}"/>
    <cellStyle name="Comma 6 2 2 4" xfId="1092" xr:uid="{C875A7DE-0035-4FA7-A4A2-639673BFA822}"/>
    <cellStyle name="Comma 6 2 2 5" xfId="1768" xr:uid="{FE23DBC7-95B4-43E7-882D-9F2A5DDC5260}"/>
    <cellStyle name="Comma 6 2 3" xfId="1179" xr:uid="{2AFDD4A0-C997-4F0B-92E5-915F30B0B6F2}"/>
    <cellStyle name="Comma 6 2 3 2" xfId="1476" xr:uid="{8C00E81D-C67F-4DEB-A2D1-39CDE9892302}"/>
    <cellStyle name="Comma 6 2 3 2 2" xfId="2150" xr:uid="{7267A73A-92E5-4BD3-8741-F11541E0EEDA}"/>
    <cellStyle name="Comma 6 2 3 3" xfId="1855" xr:uid="{6ACF9677-A57E-4A3F-A973-58C614EC5034}"/>
    <cellStyle name="Comma 6 2 4" xfId="1144" xr:uid="{6F7EA9EF-B576-4EA5-8E80-FBDE8EA98374}"/>
    <cellStyle name="Comma 6 2 4 2" xfId="1441" xr:uid="{8EF9EF71-2A96-41F6-93E4-7BEF28087165}"/>
    <cellStyle name="Comma 6 2 4 2 2" xfId="2115" xr:uid="{95AB9822-1642-44B6-B2C5-1A73CE7FEE16}"/>
    <cellStyle name="Comma 6 2 4 3" xfId="1820" xr:uid="{AA194209-23FD-44F0-9AB1-BF37BF694C2F}"/>
    <cellStyle name="Comma 6 2 5" xfId="1008" xr:uid="{F56DE557-0136-48F1-BF8F-D4F3DF8A7A95}"/>
    <cellStyle name="Comma 6 2 5 2" xfId="1346" xr:uid="{2FB12B55-006C-4B55-814C-78BD9AF5AF90}"/>
    <cellStyle name="Comma 6 2 5 2 2" xfId="2020" xr:uid="{1D65C511-5BED-4225-8C14-1E908943E5D3}"/>
    <cellStyle name="Comma 6 2 5 3" xfId="1725" xr:uid="{AE17CC22-766F-4CB5-910F-A81C2027C473}"/>
    <cellStyle name="Comma 6 2 6" xfId="1310" xr:uid="{4097BEB3-53A5-45BE-88E6-45D21457A0DA}"/>
    <cellStyle name="Comma 6 2 6 2" xfId="1984" xr:uid="{1B1A0B3B-67E5-4DB5-93B5-80A836531E94}"/>
    <cellStyle name="Comma 6 2 7" xfId="945" xr:uid="{C43B4267-3951-4E00-9C12-E1722F869EE6}"/>
    <cellStyle name="Comma 6 2 8" xfId="1678" xr:uid="{2C3C5E59-7D63-440B-A310-B5F136494237}"/>
    <cellStyle name="Comma 6 3" xfId="830" xr:uid="{BB49E524-2C80-412E-BB3E-73DC3F1DC035}"/>
    <cellStyle name="Comma 6 3 2" xfId="1209" xr:uid="{70197C89-46D5-4D8D-B461-FCCB48DFCF2A}"/>
    <cellStyle name="Comma 6 3 2 2" xfId="1506" xr:uid="{38C2B0A9-F0A6-4661-B5D6-35CA0070F352}"/>
    <cellStyle name="Comma 6 3 2 2 2" xfId="2180" xr:uid="{610D427A-A3B1-4F4B-88C5-EBB5A42B21E0}"/>
    <cellStyle name="Comma 6 3 2 3" xfId="1885" xr:uid="{81D3C045-B162-4F78-89ED-511FD3DE8D44}"/>
    <cellStyle name="Comma 6 3 3" xfId="1369" xr:uid="{F74037D1-2104-4AAC-9B34-9719E117E291}"/>
    <cellStyle name="Comma 6 3 3 2" xfId="2043" xr:uid="{88C83736-559F-4735-B852-2660EAF03D3E}"/>
    <cellStyle name="Comma 6 3 4" xfId="1072" xr:uid="{A8763029-4F3E-4CD9-811B-3A18214E02C6}"/>
    <cellStyle name="Comma 6 3 5" xfId="1748" xr:uid="{D7203210-4F88-4397-A77B-7B15715D4053}"/>
    <cellStyle name="Comma 6 4" xfId="1159" xr:uid="{78510F0C-B9D2-49E7-BB00-C5E98AA06E31}"/>
    <cellStyle name="Comma 6 4 2" xfId="1456" xr:uid="{B5ED0CBA-F70D-4CA5-A21C-ECAA0FC01A20}"/>
    <cellStyle name="Comma 6 4 2 2" xfId="2130" xr:uid="{5CC38DAC-17F2-434A-AB62-BB80D5F14121}"/>
    <cellStyle name="Comma 6 4 3" xfId="1835" xr:uid="{3B332C30-7592-460F-AD91-EE1643D7C96D}"/>
    <cellStyle name="Comma 6 5" xfId="1123" xr:uid="{2BAE6DC1-08BB-4C38-A7BD-7802D4979EED}"/>
    <cellStyle name="Comma 6 5 2" xfId="1420" xr:uid="{7EC62543-1FCF-46C3-A90A-E4EE6EAEB3A8}"/>
    <cellStyle name="Comma 6 5 2 2" xfId="2094" xr:uid="{BBE2932D-F2E9-4C7C-AFFC-4FDA53899E3F}"/>
    <cellStyle name="Comma 6 5 3" xfId="1799" xr:uid="{B217C80C-2FC0-4C43-9230-C38E65B7EC21}"/>
    <cellStyle name="Comma 6 6" xfId="982" xr:uid="{927E4A5D-4E49-4A58-AB4F-1490C5033553}"/>
    <cellStyle name="Comma 6 6 2" xfId="1326" xr:uid="{3A057A5E-06A3-4299-8C7A-2E045AF067AC}"/>
    <cellStyle name="Comma 6 6 2 2" xfId="2000" xr:uid="{D5B8F35C-7B89-4AC1-B0BC-B95FBDEDE890}"/>
    <cellStyle name="Comma 6 6 3" xfId="1704" xr:uid="{50424F7B-40C4-4787-B519-5CDF8CEE9E23}"/>
    <cellStyle name="Comma 6 7" xfId="1299" xr:uid="{BAFB80BD-6AA1-4E27-AEF9-F0105F9377E5}"/>
    <cellStyle name="Comma 6 7 2" xfId="1973" xr:uid="{54D59416-AFD0-43A7-92A0-3C2AD0A852FA}"/>
    <cellStyle name="Comma 6 8" xfId="1578" xr:uid="{8105BB6E-2EC5-4258-8EE0-6C8950862B9E}"/>
    <cellStyle name="Comma 6 8 2" xfId="2251" xr:uid="{37F53C71-AD3E-424F-972C-5B38ED3E3F02}"/>
    <cellStyle name="Comma 6 9" xfId="934" xr:uid="{81327669-AA9A-4D9B-AB36-200713ADFA96}"/>
    <cellStyle name="Comma 60" xfId="1268" xr:uid="{183EA00A-6600-455F-8ECD-EB60AA95F616}"/>
    <cellStyle name="Comma 60 2" xfId="1565" xr:uid="{490D4CD8-4232-447F-9078-9ED7615BA999}"/>
    <cellStyle name="Comma 60 2 2" xfId="2239" xr:uid="{9D6BFDBF-20C4-4AB4-A317-F0BC03972AED}"/>
    <cellStyle name="Comma 60 3" xfId="1944" xr:uid="{1F124653-21B3-4C24-9227-32C1840A405A}"/>
    <cellStyle name="Comma 61" xfId="1110" xr:uid="{5968398F-92B9-43D0-8320-BBA41BC33E5A}"/>
    <cellStyle name="Comma 61 2" xfId="1407" xr:uid="{EA13A9AE-EA26-4F66-AD84-2248D2508EB5}"/>
    <cellStyle name="Comma 61 2 2" xfId="2081" xr:uid="{746CE783-EB8F-42AF-A373-BBFA5AD1259A}"/>
    <cellStyle name="Comma 61 3" xfId="1786" xr:uid="{1C8A733D-D073-4908-BDAF-D7901E515B48}"/>
    <cellStyle name="Comma 62" xfId="1119" xr:uid="{3B5ED677-9AAB-4C6C-A1C1-ED6C58DA2C2B}"/>
    <cellStyle name="Comma 62 2" xfId="1416" xr:uid="{EE8D7172-F388-49CB-8A8F-5992433C9C7E}"/>
    <cellStyle name="Comma 62 2 2" xfId="2090" xr:uid="{86BB4362-09C9-45C0-936A-9E86EF5CBC20}"/>
    <cellStyle name="Comma 62 3" xfId="1795" xr:uid="{B3668E9E-CF51-4DB0-99DB-86CC46F8AE95}"/>
    <cellStyle name="Comma 63" xfId="1191" xr:uid="{34B5E0F6-CA2E-4FAE-A5D5-81B5558C97C4}"/>
    <cellStyle name="Comma 63 2" xfId="1488" xr:uid="{50ECF756-B3B1-4829-BE8B-BFDDBE9CA9EC}"/>
    <cellStyle name="Comma 63 2 2" xfId="2162" xr:uid="{9BAFBE59-3A5A-4682-A293-70B25DFC600D}"/>
    <cellStyle name="Comma 63 3" xfId="1867" xr:uid="{A38C3D63-A5E2-4C07-870B-0EB43817F8ED}"/>
    <cellStyle name="Comma 64" xfId="1266" xr:uid="{E6EBD0ED-7E1B-46FB-AEC0-B324FE60CCFD}"/>
    <cellStyle name="Comma 64 2" xfId="1563" xr:uid="{533EE26C-16A1-49D6-865A-59FABF2D0BFB}"/>
    <cellStyle name="Comma 64 2 2" xfId="2237" xr:uid="{85793A95-6213-46EF-891F-D1BCE89D9A2B}"/>
    <cellStyle name="Comma 64 3" xfId="1942" xr:uid="{56234099-AAFD-40BF-A05D-4362AB7E7498}"/>
    <cellStyle name="Comma 65" xfId="1190" xr:uid="{F6C4CCF6-6E8C-45C8-83A3-C9AD1B1F3CC5}"/>
    <cellStyle name="Comma 65 2" xfId="1487" xr:uid="{639397A4-170F-4B3D-8129-67C605D77424}"/>
    <cellStyle name="Comma 65 2 2" xfId="2161" xr:uid="{47E69E31-747D-4E19-86D4-DF23BA015BC2}"/>
    <cellStyle name="Comma 65 3" xfId="1866" xr:uid="{08FF33F1-F6E3-4C02-9F68-A297E6468F81}"/>
    <cellStyle name="Comma 66" xfId="1256" xr:uid="{F1846CDD-092C-4FAB-B8BA-671E742DE06A}"/>
    <cellStyle name="Comma 66 2" xfId="1553" xr:uid="{E19AFF55-1E94-4326-A130-ED1ED5E69410}"/>
    <cellStyle name="Comma 66 2 2" xfId="2227" xr:uid="{478FE27B-AEFC-4AF6-AFF9-B136E2DC7279}"/>
    <cellStyle name="Comma 66 3" xfId="1932" xr:uid="{B4C0C785-5DF3-4FD8-88E4-EDA6E09CF87B}"/>
    <cellStyle name="Comma 67" xfId="1267" xr:uid="{B0C003F9-02D1-4ECB-A2F1-010743B20100}"/>
    <cellStyle name="Comma 67 2" xfId="1564" xr:uid="{3EDF4B0D-646E-4C95-87E1-598F5E3CA221}"/>
    <cellStyle name="Comma 67 2 2" xfId="2238" xr:uid="{BCA169B8-7DA1-43FF-8F1B-A7F11D92189C}"/>
    <cellStyle name="Comma 67 3" xfId="1943" xr:uid="{7B786627-3ACE-4B58-B5D8-369ADFEB5198}"/>
    <cellStyle name="Comma 68" xfId="1187" xr:uid="{49C7FFDF-2673-4BBD-8F75-291482C14C8E}"/>
    <cellStyle name="Comma 68 2" xfId="1484" xr:uid="{79F6225C-2FA8-445A-ACC3-C53970129C76}"/>
    <cellStyle name="Comma 68 2 2" xfId="2158" xr:uid="{3CFB1AF9-106E-4CA6-B610-76E84ECEF44F}"/>
    <cellStyle name="Comma 68 3" xfId="1863" xr:uid="{FF331C00-ED0F-4A67-84C8-9C330529261D}"/>
    <cellStyle name="Comma 69" xfId="1253" xr:uid="{0A91BC76-E5A5-41C9-AA07-A2E65FCA6600}"/>
    <cellStyle name="Comma 69 2" xfId="1550" xr:uid="{1BDEF4A2-492D-4E46-8C45-D09CC19911BA}"/>
    <cellStyle name="Comma 69 2 2" xfId="2224" xr:uid="{6881D6D1-E539-4BC5-A26D-3FFA390217D6}"/>
    <cellStyle name="Comma 69 3" xfId="1929" xr:uid="{33D18F57-5358-4D4C-BCA2-C90EB99E0A5C}"/>
    <cellStyle name="Comma 7" xfId="169" xr:uid="{CD4FAB75-38D9-454D-92EB-F730AB25B804}"/>
    <cellStyle name="Comma 7 2" xfId="793" xr:uid="{422F326D-1AE5-459C-98DF-AC1B4EC2249B}"/>
    <cellStyle name="Comma 7 2 2" xfId="842" xr:uid="{FE8C75DB-35E4-4DBC-8214-51C9CF80B06A}"/>
    <cellStyle name="Comma 7 2 2 2" xfId="1227" xr:uid="{81A2C9D2-2EC2-4951-BA49-FF138FBA2C28}"/>
    <cellStyle name="Comma 7 2 2 2 2" xfId="1524" xr:uid="{11FFDFE5-58EF-4334-B1CE-3832AA6EFC57}"/>
    <cellStyle name="Comma 7 2 2 2 2 2" xfId="2198" xr:uid="{006B87CA-1E4C-48C3-8F5C-DB08C1B8C395}"/>
    <cellStyle name="Comma 7 2 2 2 3" xfId="1903" xr:uid="{27E80544-A03B-45FB-A57B-E94CF19E67C5}"/>
    <cellStyle name="Comma 7 2 2 3" xfId="1387" xr:uid="{D42010EB-D493-46FF-825B-1B2C1C8122DD}"/>
    <cellStyle name="Comma 7 2 2 3 2" xfId="2061" xr:uid="{0644582F-8373-4064-ACE1-8A606DCC131D}"/>
    <cellStyle name="Comma 7 2 2 4" xfId="1090" xr:uid="{C68C4A15-82DC-497B-8462-108EC90A9D12}"/>
    <cellStyle name="Comma 7 2 2 5" xfId="1766" xr:uid="{93DBDE9F-072F-433F-B677-08D9E8436709}"/>
    <cellStyle name="Comma 7 2 3" xfId="1177" xr:uid="{08733DC6-EE4C-4995-AECD-5FFD16EBBC5D}"/>
    <cellStyle name="Comma 7 2 3 2" xfId="1474" xr:uid="{A68406BE-C2FF-41DC-B6BC-AED04B3AED14}"/>
    <cellStyle name="Comma 7 2 3 2 2" xfId="2148" xr:uid="{E7134DB8-3754-4FC4-9216-E3ED6E4D77CF}"/>
    <cellStyle name="Comma 7 2 3 3" xfId="1853" xr:uid="{D44B15C7-6846-4724-B2B4-5A7B93CBE9C4}"/>
    <cellStyle name="Comma 7 2 4" xfId="1142" xr:uid="{F3EAF590-5D88-48BB-B620-83FB245F3147}"/>
    <cellStyle name="Comma 7 2 4 2" xfId="1439" xr:uid="{4187D936-768F-4E6A-A410-5FB4B340CFDF}"/>
    <cellStyle name="Comma 7 2 4 2 2" xfId="2113" xr:uid="{5F6F3D26-EBA2-490A-87A8-726053771CFC}"/>
    <cellStyle name="Comma 7 2 4 3" xfId="1818" xr:uid="{206E938F-8832-4EA0-99BF-36541A840304}"/>
    <cellStyle name="Comma 7 2 5" xfId="1344" xr:uid="{D4F16930-6151-4964-B23B-1BF98F1E781F}"/>
    <cellStyle name="Comma 7 2 5 2" xfId="2018" xr:uid="{7B63D88A-2D0F-4C80-807C-398607DE1ADC}"/>
    <cellStyle name="Comma 7 2 6" xfId="1006" xr:uid="{23B14314-A7FD-4C8E-A8C5-F446C97A6EAC}"/>
    <cellStyle name="Comma 7 2 7" xfId="1723" xr:uid="{AF970868-8A6B-4645-A5B7-3C7C04099E61}"/>
    <cellStyle name="Comma 7 3" xfId="817" xr:uid="{1842682E-42E1-4C04-989C-C2D3E0937F05}"/>
    <cellStyle name="Comma 7 3 2" xfId="1207" xr:uid="{27F7C711-F96F-4772-947E-8659A9ABC341}"/>
    <cellStyle name="Comma 7 3 2 2" xfId="1504" xr:uid="{4D40BF17-2F01-4C2F-A74A-32A79FB0C71F}"/>
    <cellStyle name="Comma 7 3 2 2 2" xfId="2178" xr:uid="{FA69ACAD-6A0D-4F8D-9906-A7A01F65F7C3}"/>
    <cellStyle name="Comma 7 3 2 3" xfId="1883" xr:uid="{7934FF81-8E9F-42FB-946A-45BA4095B55F}"/>
    <cellStyle name="Comma 7 3 3" xfId="1367" xr:uid="{C3B9A202-79D6-4DB8-A563-110A016BCE36}"/>
    <cellStyle name="Comma 7 3 3 2" xfId="2041" xr:uid="{232E305A-AC86-4BA3-9556-70FD5B787534}"/>
    <cellStyle name="Comma 7 3 4" xfId="1070" xr:uid="{159D9F97-0933-4D9E-BBE8-5A52D729E9E0}"/>
    <cellStyle name="Comma 7 3 5" xfId="1746" xr:uid="{EC2D5314-80C7-4C8E-92FD-944E4727D99C}"/>
    <cellStyle name="Comma 7 4" xfId="1157" xr:uid="{1776FDF0-E545-42F0-9E1F-4382071F7F52}"/>
    <cellStyle name="Comma 7 4 2" xfId="1454" xr:uid="{D187E32C-6A99-48C1-951D-465C4BF7E492}"/>
    <cellStyle name="Comma 7 4 2 2" xfId="2128" xr:uid="{3877DDA7-398F-4D02-B5E3-F3381B498EA9}"/>
    <cellStyle name="Comma 7 4 3" xfId="1833" xr:uid="{EA95558C-ABC0-4827-BE1B-0FD09D8DB5A2}"/>
    <cellStyle name="Comma 7 5" xfId="1121" xr:uid="{3CCD40AB-62C2-48DF-899A-49AC63FAE51A}"/>
    <cellStyle name="Comma 7 5 2" xfId="1418" xr:uid="{61F7B560-D193-4809-8644-B77B7434E8A3}"/>
    <cellStyle name="Comma 7 5 2 2" xfId="2092" xr:uid="{FD43D3AA-9D6F-4DD7-89B9-74FCF7EA67BE}"/>
    <cellStyle name="Comma 7 5 3" xfId="1797" xr:uid="{771F6EEC-A8D5-4454-9151-37F842A5C10E}"/>
    <cellStyle name="Comma 7 6" xfId="980" xr:uid="{25E39C5A-E4FF-4A49-88A2-8D4F4DCCD994}"/>
    <cellStyle name="Comma 7 6 2" xfId="1324" xr:uid="{54627229-ECA3-427E-820B-E3087BD80C7F}"/>
    <cellStyle name="Comma 7 6 2 2" xfId="1998" xr:uid="{E89A4CAC-B4B0-44E1-80A8-83F5E1BFC08A}"/>
    <cellStyle name="Comma 7 6 3" xfId="1702" xr:uid="{EE30C3EA-A635-4536-94C8-A2E501BCB748}"/>
    <cellStyle name="Comma 7 7" xfId="1290" xr:uid="{21B67397-DC1D-4193-B1AC-5CCB1E315FEA}"/>
    <cellStyle name="Comma 7 7 2" xfId="1964" xr:uid="{E54803FB-572B-4666-8078-270D5E7E361E}"/>
    <cellStyle name="Comma 7 8" xfId="924" xr:uid="{898CD9DF-C43E-4D2D-A4CB-309428CE6C81}"/>
    <cellStyle name="Comma 7 9" xfId="1658" xr:uid="{880DA0EA-9D3A-4D96-8E08-4EC92F90294C}"/>
    <cellStyle name="Comma 70" xfId="1248" xr:uid="{1F360E0D-9234-4242-831B-174DAA36C215}"/>
    <cellStyle name="Comma 70 2" xfId="1545" xr:uid="{3E0F4B79-974E-4E4B-AA85-595DD7EA7A0F}"/>
    <cellStyle name="Comma 70 2 2" xfId="2219" xr:uid="{377388A4-8BAD-4341-959F-BCC9A5F474F5}"/>
    <cellStyle name="Comma 70 3" xfId="1924" xr:uid="{B705FA39-3FFD-47C7-AE7F-C398AA680DBF}"/>
    <cellStyle name="Comma 71" xfId="1261" xr:uid="{77E0C9CE-2825-4040-A545-FA4C9B17ACB2}"/>
    <cellStyle name="Comma 71 2" xfId="1558" xr:uid="{2F9098D8-D922-4F1F-8FF9-4954B2D619DF}"/>
    <cellStyle name="Comma 71 2 2" xfId="2232" xr:uid="{8E25C8D3-7238-4023-9D1A-BCDEC66BB361}"/>
    <cellStyle name="Comma 71 3" xfId="1937" xr:uid="{2006D08A-DC59-4138-979C-5532A9F3FB20}"/>
    <cellStyle name="Comma 72" xfId="1258" xr:uid="{BB2E7191-AB64-470B-8F55-47CCAFC7544A}"/>
    <cellStyle name="Comma 72 2" xfId="1555" xr:uid="{38A644BC-5B10-4147-9A01-753DE233A479}"/>
    <cellStyle name="Comma 72 2 2" xfId="2229" xr:uid="{9FDC1C76-40C4-4432-AC44-63E9096E7B69}"/>
    <cellStyle name="Comma 72 3" xfId="1934" xr:uid="{CF041B48-0ECE-4E56-8F69-561514E51C22}"/>
    <cellStyle name="Comma 73" xfId="1249" xr:uid="{0F9C1964-FA23-4DB7-901B-1991967C150E}"/>
    <cellStyle name="Comma 73 2" xfId="1546" xr:uid="{86B49B1B-B40C-4344-B613-00F79A550F16}"/>
    <cellStyle name="Comma 73 2 2" xfId="2220" xr:uid="{A3D99357-32DE-47DB-929A-9D4D8FAC0AAC}"/>
    <cellStyle name="Comma 73 3" xfId="1925" xr:uid="{B184352A-E736-4F5A-A8D8-8F7FEA1B380C}"/>
    <cellStyle name="Comma 74" xfId="1270" xr:uid="{6C9A372F-F4E8-4F44-8CBB-E7CAC0F6D266}"/>
    <cellStyle name="Comma 74 2" xfId="1567" xr:uid="{42B12C40-666E-465D-8C8F-9825840846EC}"/>
    <cellStyle name="Comma 74 2 2" xfId="2241" xr:uid="{17DCC124-5870-42E0-8416-989F0E8AECE3}"/>
    <cellStyle name="Comma 74 3" xfId="1946" xr:uid="{1B3F2E4C-E0C9-44D1-B583-C88ED9810975}"/>
    <cellStyle name="Comma 75" xfId="955" xr:uid="{91B98075-2F75-411F-A3B7-520652EC324C}"/>
    <cellStyle name="Comma 75 2" xfId="1313" xr:uid="{700B868C-1AB5-4445-9EA0-40A57D0AAAE7}"/>
    <cellStyle name="Comma 75 2 2" xfId="1987" xr:uid="{CC26CEFA-76F7-449D-934D-7477129860E7}"/>
    <cellStyle name="Comma 75 3" xfId="1682" xr:uid="{847F3962-14C9-450B-BA8E-0D759FDE3459}"/>
    <cellStyle name="Comma 76" xfId="1275" xr:uid="{648AD17D-F15D-444B-8696-D265505DEFB7}"/>
    <cellStyle name="Comma 76 2" xfId="1949" xr:uid="{D69C8452-6815-4BA6-BA9A-28462E09E603}"/>
    <cellStyle name="Comma 77" xfId="1569" xr:uid="{A78B1EC0-7E90-43D7-8DFC-50F4DC268C8F}"/>
    <cellStyle name="Comma 77 2" xfId="2242" xr:uid="{6E80B3D7-EF4E-4DD9-B270-35E34CB13D96}"/>
    <cellStyle name="Comma 78" xfId="1580" xr:uid="{CF0381FA-95AE-4D94-8442-674CA75215A8}"/>
    <cellStyle name="Comma 79" xfId="893" xr:uid="{7E57BE99-8A55-48BB-AFA0-DD5262716F8F}"/>
    <cellStyle name="Comma 79 2" xfId="1640" xr:uid="{BE464C7D-F5CF-414D-8241-32117C284295}"/>
    <cellStyle name="Comma 8" xfId="84" xr:uid="{3AC9BB69-2E34-4ABC-A647-162DB7248440}"/>
    <cellStyle name="Comma 8 2" xfId="785" xr:uid="{DAA4CCFC-D024-4F22-85F9-F88CA0E63575}"/>
    <cellStyle name="Comma 8 2 2" xfId="834" xr:uid="{60E2CEDD-8B1A-4A57-9E9E-F54D59D34A04}"/>
    <cellStyle name="Comma 8 2 2 2" xfId="1228" xr:uid="{E419EE34-93A8-4DF8-8D74-ACDDACD5097A}"/>
    <cellStyle name="Comma 8 2 2 2 2" xfId="1525" xr:uid="{2E60A46E-DCEC-497C-9546-85CB70D4DF54}"/>
    <cellStyle name="Comma 8 2 2 2 2 2" xfId="2199" xr:uid="{B2634181-A0C6-4B9B-8D35-B9AD01B3900E}"/>
    <cellStyle name="Comma 8 2 2 2 3" xfId="1904" xr:uid="{D6C15810-55C6-4023-A24C-CC42C924CE68}"/>
    <cellStyle name="Comma 8 2 2 3" xfId="1388" xr:uid="{B75CEA31-0AAB-490F-8ECE-5E656283952F}"/>
    <cellStyle name="Comma 8 2 2 3 2" xfId="2062" xr:uid="{8C5CA196-1069-4175-9C9E-19FED50FDBD2}"/>
    <cellStyle name="Comma 8 2 2 4" xfId="1091" xr:uid="{76E90715-0119-4B9C-B8A8-819CFCA35677}"/>
    <cellStyle name="Comma 8 2 2 5" xfId="1767" xr:uid="{3318433F-4EC1-41E5-A568-308CC1CE0206}"/>
    <cellStyle name="Comma 8 2 3" xfId="1178" xr:uid="{C7D3C636-EC03-4109-96B4-448D44F43E2B}"/>
    <cellStyle name="Comma 8 2 3 2" xfId="1475" xr:uid="{5787F201-2821-4B88-8134-A9539F7083A1}"/>
    <cellStyle name="Comma 8 2 3 2 2" xfId="2149" xr:uid="{251889A2-8139-478D-A6A6-51ADE384FD97}"/>
    <cellStyle name="Comma 8 2 3 3" xfId="1854" xr:uid="{B668421F-D903-4B55-9774-72B48C6D3742}"/>
    <cellStyle name="Comma 8 2 4" xfId="1143" xr:uid="{584DE325-F4F9-45A6-B630-5BF71FC062FF}"/>
    <cellStyle name="Comma 8 2 4 2" xfId="1440" xr:uid="{B689E4F7-8887-4758-A571-07029A1BC733}"/>
    <cellStyle name="Comma 8 2 4 2 2" xfId="2114" xr:uid="{0863E0BC-63CF-4BAD-8613-2FB9C3E863C5}"/>
    <cellStyle name="Comma 8 2 4 3" xfId="1819" xr:uid="{883C9B18-BF3F-4E12-81BD-B865A2D5E887}"/>
    <cellStyle name="Comma 8 2 5" xfId="1345" xr:uid="{BD19F791-2706-40B2-95E2-194D9DFD41ED}"/>
    <cellStyle name="Comma 8 2 5 2" xfId="2019" xr:uid="{B73F18B0-EDE8-4333-9172-0A852470EE40}"/>
    <cellStyle name="Comma 8 2 6" xfId="1007" xr:uid="{3AD79E0B-5660-48A9-9D3F-7D1884855246}"/>
    <cellStyle name="Comma 8 2 7" xfId="1724" xr:uid="{3C69C011-9196-45DC-89A5-35900D614A8B}"/>
    <cellStyle name="Comma 8 3" xfId="809" xr:uid="{26322500-436E-46E4-A8AD-64EF96C9C530}"/>
    <cellStyle name="Comma 8 3 2" xfId="1208" xr:uid="{96EF25A7-F75B-4B19-969F-74E0095FE7AF}"/>
    <cellStyle name="Comma 8 3 2 2" xfId="1505" xr:uid="{F070A84C-8453-4976-9365-EC00B0D2684B}"/>
    <cellStyle name="Comma 8 3 2 2 2" xfId="2179" xr:uid="{AD20D4BB-78E1-4031-9120-623D45689AE9}"/>
    <cellStyle name="Comma 8 3 2 3" xfId="1884" xr:uid="{28C7B59D-4DB3-48E8-A5CF-37C13458B760}"/>
    <cellStyle name="Comma 8 3 3" xfId="1368" xr:uid="{CFDE758A-7AC2-4EAF-8C40-E39D570A968C}"/>
    <cellStyle name="Comma 8 3 3 2" xfId="2042" xr:uid="{D0B60E89-6937-4332-8D96-13D945CDAAA0}"/>
    <cellStyle name="Comma 8 3 4" xfId="1071" xr:uid="{16A83231-8A47-4F60-A5A2-425BBAE909CD}"/>
    <cellStyle name="Comma 8 3 5" xfId="1747" xr:uid="{60E6D606-92C2-4ECF-9EF8-074875CFFEC7}"/>
    <cellStyle name="Comma 8 4" xfId="1158" xr:uid="{AE24A505-9E3B-45FE-9B76-4DE54638155C}"/>
    <cellStyle name="Comma 8 4 2" xfId="1455" xr:uid="{2F69B59F-2839-4D33-951A-874FF4CD9349}"/>
    <cellStyle name="Comma 8 4 2 2" xfId="2129" xr:uid="{19D598E0-D227-4876-A370-E74CB295315B}"/>
    <cellStyle name="Comma 8 4 3" xfId="1834" xr:uid="{DFF07FF0-E90D-4ABD-B90C-56B156C15751}"/>
    <cellStyle name="Comma 8 5" xfId="1122" xr:uid="{CEC7A46C-151C-49E6-9EB1-54B97E6CE981}"/>
    <cellStyle name="Comma 8 5 2" xfId="1419" xr:uid="{3F56ABFA-0700-42DE-9FC5-2CA5112B6769}"/>
    <cellStyle name="Comma 8 5 2 2" xfId="2093" xr:uid="{1FCCBC1D-D317-480A-A65C-C3F8C9A56931}"/>
    <cellStyle name="Comma 8 5 3" xfId="1798" xr:uid="{6C69256B-4292-4F3B-BCF8-326123574B40}"/>
    <cellStyle name="Comma 8 6" xfId="981" xr:uid="{B969079D-CF98-4516-B7FB-933858D675B5}"/>
    <cellStyle name="Comma 8 6 2" xfId="1325" xr:uid="{F4E378B5-4D51-4052-9902-B20EE9C228E2}"/>
    <cellStyle name="Comma 8 6 2 2" xfId="1999" xr:uid="{7DF3EFDA-1C23-47F3-9A78-9B76E3224D54}"/>
    <cellStyle name="Comma 8 6 3" xfId="1703" xr:uid="{40D05CBC-B3C8-4BEC-A8E1-943F19CC86A8}"/>
    <cellStyle name="Comma 8 7" xfId="1301" xr:uid="{00ED97B3-F02C-4738-ADCF-A6E63C51DE9F}"/>
    <cellStyle name="Comma 8 7 2" xfId="1975" xr:uid="{00925CA2-2750-4B90-A3FF-C2A9AC8A3772}"/>
    <cellStyle name="Comma 8 8" xfId="936" xr:uid="{B927FAF1-3503-4D4C-A82A-11F6EE5F358D}"/>
    <cellStyle name="Comma 8 9" xfId="1669" xr:uid="{D5617A25-4326-486C-A2BC-2B99F3E98E08}"/>
    <cellStyle name="Comma 80" xfId="888" xr:uid="{5CA291BD-61EA-4D41-A757-6B282DDEC5A5}"/>
    <cellStyle name="Comma 81" xfId="978" xr:uid="{1A1C5604-F770-4C3F-9662-778D2647689A}"/>
    <cellStyle name="Comma 82" xfId="1587" xr:uid="{B62C18D7-1056-46A8-A4E2-65ED2C6B6DDA}"/>
    <cellStyle name="Comma 83" xfId="1597" xr:uid="{7BAF86EA-8AC8-4FD2-80CE-7D96A782CE64}"/>
    <cellStyle name="Comma 84" xfId="1598" xr:uid="{CE921974-6727-46C0-AEC5-4F9362964D63}"/>
    <cellStyle name="Comma 85" xfId="1599" xr:uid="{D077E95F-632A-4B32-89F2-6BA2EE36FF60}"/>
    <cellStyle name="Comma 86" xfId="1600" xr:uid="{90D8A20B-FBC7-40BF-9EBF-05D31764760E}"/>
    <cellStyle name="Comma 87" xfId="1601" xr:uid="{AD916F67-2BEB-40D6-8F4D-DEBFED2EBF38}"/>
    <cellStyle name="Comma 88" xfId="1602" xr:uid="{D4AEA8B0-5F8E-4DF9-B98C-80906C417173}"/>
    <cellStyle name="Comma 89" xfId="1603" xr:uid="{7E835929-5118-4EA7-B8B6-04D7E1496E3A}"/>
    <cellStyle name="Comma 9" xfId="783" xr:uid="{9F90548B-F7DE-41B7-9CA0-BF38D377A767}"/>
    <cellStyle name="Comma 9 2" xfId="833" xr:uid="{DBD4E876-4447-4A70-BE42-274F8E67CCB0}"/>
    <cellStyle name="Comma 9 2 2" xfId="1210" xr:uid="{664BEFE9-E971-4B61-8020-1852BF7D1590}"/>
    <cellStyle name="Comma 9 2 2 2" xfId="1507" xr:uid="{D45585D3-DEE8-4D2F-9784-C63D3EC57368}"/>
    <cellStyle name="Comma 9 2 2 2 2" xfId="2181" xr:uid="{797D8A0D-85F7-42A9-89FA-9D37E4EF9492}"/>
    <cellStyle name="Comma 9 2 2 3" xfId="1886" xr:uid="{438E2AA7-C778-4E4F-9AD3-5A2ABC3AE729}"/>
    <cellStyle name="Comma 9 2 3" xfId="1370" xr:uid="{1DF150BF-D25B-47FF-8FE7-5637C9285B33}"/>
    <cellStyle name="Comma 9 2 3 2" xfId="2044" xr:uid="{A096E936-4643-4F6E-960F-44AF0C8B1698}"/>
    <cellStyle name="Comma 9 2 4" xfId="1073" xr:uid="{A34D87CE-C7FB-4E89-9CAC-8BBCC1257C74}"/>
    <cellStyle name="Comma 9 2 5" xfId="1749" xr:uid="{9247FBDE-BDF4-4D7F-B8E5-20F7F5102E7E}"/>
    <cellStyle name="Comma 9 3" xfId="1160" xr:uid="{2E854458-1200-47D4-9187-5052C89533D1}"/>
    <cellStyle name="Comma 9 3 2" xfId="1457" xr:uid="{23BC23B9-2C17-42C9-B55C-D7F7E14351D9}"/>
    <cellStyle name="Comma 9 3 2 2" xfId="2131" xr:uid="{5C004A44-C4F5-4EDA-8A09-04EFA4094BB4}"/>
    <cellStyle name="Comma 9 3 3" xfId="1836" xr:uid="{CACC34F4-64E4-44BF-8AAA-72225425FCCB}"/>
    <cellStyle name="Comma 9 4" xfId="1124" xr:uid="{2BD918A4-1529-4769-989A-A17299550885}"/>
    <cellStyle name="Comma 9 4 2" xfId="1421" xr:uid="{ED87E3D0-7C73-4B51-89EC-7FD4F7B19253}"/>
    <cellStyle name="Comma 9 4 2 2" xfId="2095" xr:uid="{8B40FEB4-F15D-4F24-AE84-79217C680A7D}"/>
    <cellStyle name="Comma 9 4 3" xfId="1800" xr:uid="{FBF379C3-8356-41FF-A041-025A41E82786}"/>
    <cellStyle name="Comma 9 5" xfId="983" xr:uid="{2205D191-2D6F-44F1-B192-FDC87C34C477}"/>
    <cellStyle name="Comma 9 5 2" xfId="1327" xr:uid="{8A12F597-DD06-4FCD-A9FF-837C78FEE6A2}"/>
    <cellStyle name="Comma 9 5 2 2" xfId="2001" xr:uid="{9CCCBAA6-90AC-4D5C-93AE-B3DCAFF4521D}"/>
    <cellStyle name="Comma 9 5 3" xfId="1705" xr:uid="{592B4862-C183-4C33-BBAF-EED64EB41E6D}"/>
    <cellStyle name="Comma 9 6" xfId="1279" xr:uid="{A7B9938F-647D-4B9A-ABBA-1DF401F08D3D}"/>
    <cellStyle name="Comma 9 6 2" xfId="1953" xr:uid="{5E23EE83-DE69-43CE-A4E3-ECC882C261DC}"/>
    <cellStyle name="Comma 9 7" xfId="908" xr:uid="{BE87CCFB-9D19-49A9-A80A-5398B25C25CA}"/>
    <cellStyle name="Comma 9 8" xfId="1646" xr:uid="{07775F0E-0C35-4C81-8D95-B71C17792EDA}"/>
    <cellStyle name="Comma 90" xfId="1605" xr:uid="{00F66722-5554-4850-AB6D-E787C6C3AD03}"/>
    <cellStyle name="Comma 91" xfId="1613" xr:uid="{28793A7D-C389-4AAF-9FF7-00129E3E2C20}"/>
    <cellStyle name="Comma 92" xfId="1614" xr:uid="{3AA8EE72-7FD2-4BB7-A0DA-95316B4AE1DC}"/>
    <cellStyle name="Comma 93" xfId="1619" xr:uid="{4FC3A987-833B-4B7B-AA75-0C444B2D75D3}"/>
    <cellStyle name="Comma 94" xfId="1686" xr:uid="{D8B08431-F82A-4DD8-9618-05EB6717DC5D}"/>
    <cellStyle name="Comma 95" xfId="2256" xr:uid="{7539FC95-8356-4244-A545-CD85E45C0B7A}"/>
    <cellStyle name="Comma 96" xfId="1616" xr:uid="{F792A019-1EAB-4E1B-96DD-0DC4DB0A9C92}"/>
    <cellStyle name="Comma 97" xfId="1617" xr:uid="{325C9596-8822-46B7-BC32-D59B8A4C1039}"/>
    <cellStyle name="Currency 2" xfId="264" xr:uid="{6D7B21B2-3780-4A39-8885-1960A9620C73}"/>
    <cellStyle name="Currency 2 10" xfId="1666" xr:uid="{AD50C6D5-0AC3-4A30-82D6-EBB00BFB3DD7}"/>
    <cellStyle name="Currency 2 2" xfId="265" xr:uid="{0ABC588F-C129-4C8F-A4C8-27E7A3D85CCC}"/>
    <cellStyle name="Currency 2 2 2" xfId="800" xr:uid="{1E205DF5-E02D-4DD9-9441-59E0E188EFA2}"/>
    <cellStyle name="Currency 2 2 2 2" xfId="849" xr:uid="{A041BC77-DE25-4B37-9ABE-38447E14A9AC}"/>
    <cellStyle name="Currency 2 2 2 3" xfId="996" xr:uid="{E2D8669E-13A2-4660-A679-C277E40D62C7}"/>
    <cellStyle name="Currency 2 2 3" xfId="824" xr:uid="{6FE39CA9-9605-48D1-9C4E-D753BD3C133A}"/>
    <cellStyle name="Currency 2 2 3 2" xfId="1309" xr:uid="{7B010DF7-C7BC-465D-81F6-36179F39D1AB}"/>
    <cellStyle name="Currency 2 2 3 3" xfId="1983" xr:uid="{FF74844E-43FD-4E0B-A639-BB3759AC600C}"/>
    <cellStyle name="Currency 2 2 4" xfId="944" xr:uid="{17247E6A-9662-470D-B902-8AC30284195C}"/>
    <cellStyle name="Currency 2 2 5" xfId="1677" xr:uid="{61B553AE-33D5-40AA-BC7A-4D0EC97543B3}"/>
    <cellStyle name="Currency 2 3" xfId="799" xr:uid="{C112D9C2-D8BE-41B3-A47E-E6EBECE9B90D}"/>
    <cellStyle name="Currency 2 3 2" xfId="848" xr:uid="{3CBC826D-0E1A-4573-BD38-EF120A06DBD5}"/>
    <cellStyle name="Currency 2 3 2 2" xfId="1519" xr:uid="{1D222485-FF9F-4668-B862-DEB09EDF4025}"/>
    <cellStyle name="Currency 2 3 2 2 2" xfId="2193" xr:uid="{E8F44E4A-FC29-4D48-8AC3-06F0B65E38CC}"/>
    <cellStyle name="Currency 2 3 2 3" xfId="1222" xr:uid="{10AB2C4F-63B9-4BAA-8250-E8AE33173719}"/>
    <cellStyle name="Currency 2 3 2 4" xfId="1898" xr:uid="{5F439476-DD60-4958-A676-E16B34FC3017}"/>
    <cellStyle name="Currency 2 3 3" xfId="1382" xr:uid="{A1D05502-FA8A-4E30-B875-A95A512C43B8}"/>
    <cellStyle name="Currency 2 3 3 2" xfId="2056" xr:uid="{005801F8-03FC-460D-93E0-0D3F52E56E1E}"/>
    <cellStyle name="Currency 2 3 4" xfId="1085" xr:uid="{0A98B086-2CC0-4E92-8A98-61D985AC09B0}"/>
    <cellStyle name="Currency 2 3 5" xfId="1761" xr:uid="{E5E2A001-C796-4FFD-993B-6350A48BF0EF}"/>
    <cellStyle name="Currency 2 4" xfId="823" xr:uid="{46E624B8-7ECB-4EB9-B716-B0B06CB7E54A}"/>
    <cellStyle name="Currency 2 4 2" xfId="1469" xr:uid="{9529DDE6-214C-4ECA-942C-5A6D490780FE}"/>
    <cellStyle name="Currency 2 4 2 2" xfId="2143" xr:uid="{B71B989A-275B-47FE-AA40-5A1E1439D6AD}"/>
    <cellStyle name="Currency 2 4 3" xfId="1172" xr:uid="{D3D4636F-D4F0-477A-92F9-829678967D91}"/>
    <cellStyle name="Currency 2 4 4" xfId="1848" xr:uid="{2260E3B3-63AE-40CE-8D5D-2BF2D500BB88}"/>
    <cellStyle name="Currency 2 5" xfId="1137" xr:uid="{5F0FE58A-430B-4692-86E1-2EF28677B267}"/>
    <cellStyle name="Currency 2 5 2" xfId="1434" xr:uid="{F9B5DA62-E3D2-4703-86E9-12AC7E0F8F44}"/>
    <cellStyle name="Currency 2 5 2 2" xfId="2108" xr:uid="{23C6E26D-FEBF-4A23-943B-0311A7904BAE}"/>
    <cellStyle name="Currency 2 5 3" xfId="1813" xr:uid="{7A9EDA2C-945C-4A50-85E1-40F116B71E1C}"/>
    <cellStyle name="Currency 2 6" xfId="1000" xr:uid="{CF7E31CA-7864-4390-9DB4-FB23AB39D8E0}"/>
    <cellStyle name="Currency 2 6 2" xfId="1339" xr:uid="{AD5410BA-1959-42FD-B773-A21F3295C58A}"/>
    <cellStyle name="Currency 2 6 2 2" xfId="2013" xr:uid="{0D3C49AD-6117-4631-B815-4745673903EE}"/>
    <cellStyle name="Currency 2 6 3" xfId="1718" xr:uid="{E206C72D-6DCE-4574-95A2-BA2FF82821C3}"/>
    <cellStyle name="Currency 2 7" xfId="1298" xr:uid="{88C37DFE-5AE4-45BE-86AB-44D605BC2142}"/>
    <cellStyle name="Currency 2 7 2" xfId="1972" xr:uid="{3EE33000-BB89-4C70-94D5-DD9349BF0ABD}"/>
    <cellStyle name="Currency 2 8" xfId="1577" xr:uid="{49144708-CAB7-47A2-B58A-78238F33D3D7}"/>
    <cellStyle name="Currency 2 8 2" xfId="2250" xr:uid="{6CB8D65D-1CE7-4885-8BE8-ABA832C73D2A}"/>
    <cellStyle name="Currency 2 9" xfId="932" xr:uid="{D85D90F7-A96E-45E8-B55A-3E515BA9390D}"/>
    <cellStyle name="Currency 3" xfId="266" xr:uid="{C85DB0A1-4BD6-4BAE-95D7-13188E2AD6EB}"/>
    <cellStyle name="Currency 3 2" xfId="801" xr:uid="{417F42E6-54A8-42BD-B3C3-24A986A28FC6}"/>
    <cellStyle name="Currency 3 2 2" xfId="850" xr:uid="{3AE4BFE7-A760-4160-86C9-52A75AFC6EAA}"/>
    <cellStyle name="Currency 3 2 2 2" xfId="1499" xr:uid="{F366FC8B-6E49-423D-9A07-21E110430281}"/>
    <cellStyle name="Currency 3 2 2 3" xfId="2173" xr:uid="{FCDCA62F-04BE-4E39-991F-83A3A0D8F0D8}"/>
    <cellStyle name="Currency 3 2 3" xfId="1202" xr:uid="{62EA5E03-EE40-4679-A59F-DC47551B3D49}"/>
    <cellStyle name="Currency 3 2 4" xfId="1878" xr:uid="{51F602A0-CEBB-4D5D-AFFD-892665E65ED6}"/>
    <cellStyle name="Currency 3 3" xfId="825" xr:uid="{EE95C90D-064D-4576-B14F-980EF7474E82}"/>
    <cellStyle name="Currency 3 3 2" xfId="1362" xr:uid="{4D948B73-1E15-4E43-ACF1-0FDD27047010}"/>
    <cellStyle name="Currency 3 3 3" xfId="2036" xr:uid="{F264F6A7-CF61-46CB-A5C7-9A0C92F2450F}"/>
    <cellStyle name="Currency 3 4" xfId="1065" xr:uid="{70835F95-BE15-4BA2-B3A6-9540784D2383}"/>
    <cellStyle name="Currency 3 5" xfId="1741" xr:uid="{15C27A6D-5618-40DC-8CEC-AB3E8278D8E6}"/>
    <cellStyle name="Currency 4" xfId="267" xr:uid="{8E0CEDFD-C5CE-46CF-AB86-D6ADE03401F5}"/>
    <cellStyle name="Currency 4 2" xfId="802" xr:uid="{9B8CE791-EF4E-4631-A93C-43B662056862}"/>
    <cellStyle name="Currency 4 2 2" xfId="851" xr:uid="{C521710E-0F75-4822-9090-1EC3DD78B1C3}"/>
    <cellStyle name="Currency 4 2 3" xfId="1449" xr:uid="{4A8FAACB-645A-4D21-BCA0-5F036627B17C}"/>
    <cellStyle name="Currency 4 2 4" xfId="2123" xr:uid="{1E0BC2AC-AD3D-481E-9041-374A7F25E9B9}"/>
    <cellStyle name="Currency 4 3" xfId="826" xr:uid="{14F9A76A-7713-4AD9-B3F4-C6926AC4B591}"/>
    <cellStyle name="Currency 4 4" xfId="1152" xr:uid="{BAD91738-4493-4998-A738-2F8AC0F31222}"/>
    <cellStyle name="Currency 4 5" xfId="1828" xr:uid="{FFA0BEDB-1E2A-42E3-9126-1E5A6F08AEA5}"/>
    <cellStyle name="Currency 5" xfId="268" xr:uid="{E7766489-2329-4EB7-808B-09395A0505B3}"/>
    <cellStyle name="Currency 5 2" xfId="803" xr:uid="{A29C2933-EDE5-4E28-A617-542A1E01C8C0}"/>
    <cellStyle name="Currency 5 2 2" xfId="852" xr:uid="{10731686-FB5D-4D98-B38D-E16A6198CCFC}"/>
    <cellStyle name="Currency 5 2 3" xfId="1412" xr:uid="{F3903361-8DEE-429B-BA79-F7DEC2C0630C}"/>
    <cellStyle name="Currency 5 2 4" xfId="2086" xr:uid="{9D2B5C69-411D-4691-ABA3-5E9751C5D42C}"/>
    <cellStyle name="Currency 5 3" xfId="827" xr:uid="{09DDF54B-1830-480D-A254-E27AE67E92E2}"/>
    <cellStyle name="Currency 5 4" xfId="1115" xr:uid="{2A192EF2-3D10-4A4B-895A-72EE931109A2}"/>
    <cellStyle name="Currency 5 5" xfId="1791" xr:uid="{BB4BFFCE-758C-4D5A-A864-85482B2A4BED}"/>
    <cellStyle name="Currency 6" xfId="269" xr:uid="{A4B93BAC-DAF3-41A3-AFF1-2D4E4EEFC5C8}"/>
    <cellStyle name="Currency 6 2" xfId="804" xr:uid="{F2A62A53-FA2A-45E5-BAFF-C0E2E7990E9A}"/>
    <cellStyle name="Currency 6 2 2" xfId="853" xr:uid="{84401CEB-6BC9-45A2-870B-1AB77F3C6F03}"/>
    <cellStyle name="Currency 6 2 3" xfId="1319" xr:uid="{15FB611E-39BF-4EC8-9997-5CCE6283B674}"/>
    <cellStyle name="Currency 6 2 4" xfId="1993" xr:uid="{C510DBD7-A639-46F1-A468-68E9C3879192}"/>
    <cellStyle name="Currency 6 3" xfId="828" xr:uid="{EEBB3EDE-0E4A-4A05-BF58-6D82081E4130}"/>
    <cellStyle name="Currency 6 4" xfId="971" xr:uid="{C1AEA00E-D450-41A6-A15F-09B4C0AD7280}"/>
    <cellStyle name="Currency 6 5" xfId="1695" xr:uid="{70713EE2-262D-4546-A259-10C63B3E6A10}"/>
    <cellStyle name="Currency 7" xfId="761" xr:uid="{97E5E831-E19B-4D81-84FB-A2BAAB1E8BC4}"/>
    <cellStyle name="Currency 7 2" xfId="805" xr:uid="{0A131AA7-4C8D-4482-8D39-0D0212BA1573}"/>
    <cellStyle name="Currency 7 2 2" xfId="854" xr:uid="{9DD835C1-F844-42B6-9B53-A5F6359B2959}"/>
    <cellStyle name="Currency 7 3" xfId="829" xr:uid="{9528E5DF-A735-4F65-B84D-793F10C09094}"/>
    <cellStyle name="Currency 8" xfId="862" xr:uid="{A89652D4-1C35-4997-A89C-D42D462EEA55}"/>
    <cellStyle name="Date Aligned_LBO2901- 1.4 - divi " xfId="902" xr:uid="{BF2EE3DF-7F95-43B4-BD6A-0DC951E91926}"/>
    <cellStyle name="Euro" xfId="1004" xr:uid="{043C3DFE-FBE1-4F7B-89E0-FD1CC965730E}"/>
    <cellStyle name="Explanatory Text" xfId="16" builtinId="53" customBuiltin="1"/>
    <cellStyle name="Explanatory Text 2" xfId="270" xr:uid="{B6930B5E-B482-42BF-A9B3-CD736057FA89}"/>
    <cellStyle name="Explanatory Text 2 2" xfId="1017" xr:uid="{09CACEE4-31D7-41E7-A391-402738119DB9}"/>
    <cellStyle name="Explanatory Text 3" xfId="271" xr:uid="{32D4070C-67B8-41D3-9A83-DF50CABF0B43}"/>
    <cellStyle name="Explanatory Text 4" xfId="57" xr:uid="{C1917E5E-C3F7-4B62-B718-0A52F3A02844}"/>
    <cellStyle name="Good" xfId="7" builtinId="26" customBuiltin="1"/>
    <cellStyle name="Good 2" xfId="272" xr:uid="{6F7E5F09-091E-45F7-AEB6-B46DC7906958}"/>
    <cellStyle name="Good 2 2" xfId="1023" xr:uid="{9B02AFB8-6808-4AB8-B47B-9EE0DE7A9965}"/>
    <cellStyle name="Good 3" xfId="273" xr:uid="{9090D96F-045C-402C-8F36-FF8247B270DF}"/>
    <cellStyle name="Good 4" xfId="48" xr:uid="{F68AF3D1-CBF4-4218-B59E-C4A4FFFFC04F}"/>
    <cellStyle name="Heading 1" xfId="3" builtinId="16" customBuiltin="1"/>
    <cellStyle name="Heading 1 2" xfId="274" xr:uid="{47562833-BB77-40E6-92F8-05338520BFE8}"/>
    <cellStyle name="Heading 1 2 2" xfId="1031" xr:uid="{B62159EA-0FF3-4295-94AE-608ED4A51AA5}"/>
    <cellStyle name="Heading 1 3" xfId="275" xr:uid="{FB25F9D9-4993-4DE6-8FA5-00A463898CFB}"/>
    <cellStyle name="Heading 1 4" xfId="44" xr:uid="{28084034-2320-4139-83AE-4B4BE5D09BF6}"/>
    <cellStyle name="Heading 2" xfId="4" builtinId="17" customBuiltin="1"/>
    <cellStyle name="Heading 2 2" xfId="276" xr:uid="{61BB8296-CA28-47D4-A588-925FAF24F298}"/>
    <cellStyle name="Heading 2 2 2" xfId="1018" xr:uid="{DF92C0E4-2C1E-4576-8E14-112EC5A9CFD6}"/>
    <cellStyle name="Heading 2 3" xfId="277" xr:uid="{EF83CDC7-06AD-4FDD-9C37-BB507886FC36}"/>
    <cellStyle name="Heading 2 4" xfId="45" xr:uid="{962889FF-801C-46B0-A49B-5A3192ADFC3F}"/>
    <cellStyle name="Heading 3" xfId="5" builtinId="18" customBuiltin="1"/>
    <cellStyle name="Heading 3 2" xfId="278" xr:uid="{9FA20092-164D-4AA0-88EB-B3EAF0BF900C}"/>
    <cellStyle name="Heading 3 2 2" xfId="1027" xr:uid="{206762B7-B30A-4F59-95F7-70B3E299B010}"/>
    <cellStyle name="Heading 3 3" xfId="279" xr:uid="{65E54390-824C-4C8C-A55E-EB409F4F8CB5}"/>
    <cellStyle name="Heading 3 4" xfId="46" xr:uid="{EF28109B-0D4B-49FF-99A3-D9140324F1B5}"/>
    <cellStyle name="Heading 4" xfId="6" builtinId="19" customBuiltin="1"/>
    <cellStyle name="Heading 4 2" xfId="280" xr:uid="{35235CDD-273C-4855-9E57-C9747E5B819C}"/>
    <cellStyle name="Heading 4 2 2" xfId="1028" xr:uid="{D9472974-CBA8-4BD2-A3DB-BD7311EA0E2D}"/>
    <cellStyle name="Heading 4 3" xfId="281" xr:uid="{8E90EE97-F43C-44DF-916C-A835735ADC07}"/>
    <cellStyle name="Heading 4 4" xfId="47" xr:uid="{25A6045D-448E-4A9B-A167-84E19441113E}"/>
    <cellStyle name="Hyperlink" xfId="2259" builtinId="8"/>
    <cellStyle name="Hyperlink 2" xfId="282" xr:uid="{0475222D-37D0-4F15-982D-DBA4D47AD9EA}"/>
    <cellStyle name="Hyperlink 2 2" xfId="283" xr:uid="{CE4DBB28-3635-442C-A8DC-D336028159D9}"/>
    <cellStyle name="Hyperlink 2 3" xfId="1583" xr:uid="{0E4ED65E-E1D0-4E93-8E19-620B3F5C8127}"/>
    <cellStyle name="Hyperlink 3" xfId="284" xr:uid="{78830EA8-C28C-429E-BE2C-29B1D3CF888C}"/>
    <cellStyle name="Hyperlink 3 2" xfId="285" xr:uid="{79894A1B-12D8-4F72-AF06-FD5D70D83B1D}"/>
    <cellStyle name="Hyperlink 4" xfId="286" xr:uid="{DA1ED2AD-7FAB-4F95-875A-E0A32BB158A6}"/>
    <cellStyle name="Hyperlink 5" xfId="768" xr:uid="{7707BF38-C902-40C0-913F-1E8A6AF3C24D}"/>
    <cellStyle name="Hyperlink 6" xfId="43" xr:uid="{E3B3B02D-99F8-4CAC-BD55-4D5D456A77B7}"/>
    <cellStyle name="Input" xfId="10" builtinId="20" customBuiltin="1"/>
    <cellStyle name="Input 2" xfId="287" xr:uid="{129A7C2D-E871-486D-96FA-DD97763D9E2B}"/>
    <cellStyle name="Input 2 2" xfId="1014" xr:uid="{9DD69D1A-8F4F-4FC0-A798-B41137517BD4}"/>
    <cellStyle name="Input 3" xfId="288" xr:uid="{A5C824C8-FA82-4513-B40D-7225C6216259}"/>
    <cellStyle name="Input 4" xfId="51" xr:uid="{43026140-BE10-4E97-A656-BE6FEACBEDEC}"/>
    <cellStyle name="Linked Cell" xfId="13" builtinId="24" customBuiltin="1"/>
    <cellStyle name="Linked Cell 2" xfId="289" xr:uid="{E0131BB7-EAA7-4AC3-8B66-C2A5A3509B59}"/>
    <cellStyle name="Linked Cell 2 2" xfId="1015" xr:uid="{2B1A5452-0635-496C-9D8D-C1C72092396A}"/>
    <cellStyle name="Linked Cell 3" xfId="290" xr:uid="{1DEB2E26-B271-45F5-991B-396385AAABB7}"/>
    <cellStyle name="Linked Cell 4" xfId="54" xr:uid="{61220415-D2E2-4012-9442-0CAE31BAA897}"/>
    <cellStyle name="Neutral" xfId="9" builtinId="28" customBuiltin="1"/>
    <cellStyle name="Neutral 2" xfId="291" xr:uid="{2DD5C333-6035-4374-8424-E659891EE874}"/>
    <cellStyle name="Neutral 2 2" xfId="1019" xr:uid="{51D181D7-AD52-4838-99DF-6F92C3596BBF}"/>
    <cellStyle name="Neutral 3" xfId="292" xr:uid="{639EC5AE-D00C-4DC1-AB1F-7B02698CFD7E}"/>
    <cellStyle name="Neutral 4" xfId="754" xr:uid="{1DD66295-93FE-4C61-A801-CE79B6EDDB3B}"/>
    <cellStyle name="Neutral 5" xfId="182" xr:uid="{0546DD70-05E8-445E-93BD-42CA81FC22B7}"/>
    <cellStyle name="Neutral 6" xfId="50" xr:uid="{473351C2-25EF-4272-B116-555E658BDA9E}"/>
    <cellStyle name="Normal" xfId="0" builtinId="0"/>
    <cellStyle name="Normal 10" xfId="100" xr:uid="{826CEB1E-DF27-47E6-8E00-C06C5D0DA32C}"/>
    <cellStyle name="Normal 10 2" xfId="133" xr:uid="{97E096D7-E4DD-4B20-BF64-EDE08A3694B5}"/>
    <cellStyle name="Normal 10 2 2" xfId="294" xr:uid="{950680F9-7230-4319-8D6C-1C6A7306820B}"/>
    <cellStyle name="Normal 10 2 2 3" xfId="1608" xr:uid="{FFBBE3E2-D753-4F53-B720-5D5171AB3689}"/>
    <cellStyle name="Normal 10 3" xfId="293" xr:uid="{71717CED-3226-4D1C-A760-8793EFB2A27A}"/>
    <cellStyle name="Normal 10 4" xfId="889" xr:uid="{320BC7C7-D1B4-4BAA-85D9-051EC9BA663D}"/>
    <cellStyle name="Normal 10 5" xfId="1638" xr:uid="{33D9F093-D19B-40CE-8B2B-3759A8C1D595}"/>
    <cellStyle name="Normal 105" xfId="2261" xr:uid="{B311B657-A6EB-4670-AC75-1E21DF271373}"/>
    <cellStyle name="Normal 11" xfId="101" xr:uid="{F9320175-69DF-415E-8549-6A6D1F2A701A}"/>
    <cellStyle name="Normal 11 2" xfId="136" xr:uid="{898CFD7A-E99B-43D8-AD78-E585B822D83A}"/>
    <cellStyle name="Normal 11 2 2" xfId="296" xr:uid="{5F0807B4-994F-4BE4-907A-BBF6513C8029}"/>
    <cellStyle name="Normal 11 3" xfId="295" xr:uid="{90C20006-6604-441E-969A-C1FCC720BD1A}"/>
    <cellStyle name="Normal 12" xfId="109" xr:uid="{EF52FDB1-C117-431D-AD60-EE8C09A47AE8}"/>
    <cellStyle name="Normal 12 2" xfId="143" xr:uid="{438A27DF-60C2-491A-AC58-7C0A0547D35A}"/>
    <cellStyle name="Normal 12 3" xfId="297" xr:uid="{C1EAF612-B537-45A1-AC18-A593D083F645}"/>
    <cellStyle name="Normal 13" xfId="113" xr:uid="{952A3777-A5C3-46D0-A364-F0CB1E64EE55}"/>
    <cellStyle name="Normal 13 2" xfId="116" xr:uid="{B33F7CBD-5106-4354-B86E-88B6E5C7A2A0}"/>
    <cellStyle name="Normal 13 2 2" xfId="149" xr:uid="{72331003-F110-4931-B8EB-5153CFA5DDB7}"/>
    <cellStyle name="Normal 13 3" xfId="118" xr:uid="{648AB4DA-0BDE-4294-982A-2DA64550D884}"/>
    <cellStyle name="Normal 13 3 2" xfId="151" xr:uid="{29841AE3-2707-4FCF-BB75-9F62B38044EA}"/>
    <cellStyle name="Normal 13 4" xfId="146" xr:uid="{CF9CA437-0793-40E6-A88C-5133AD8C38F7}"/>
    <cellStyle name="Normal 13 5" xfId="178" xr:uid="{FA17CAA0-11E2-4807-B0BF-95B9FA13487A}"/>
    <cellStyle name="Normal 13 6" xfId="298" xr:uid="{07747832-BCAC-48C9-B983-29F5A7B7C337}"/>
    <cellStyle name="Normal 138" xfId="916" xr:uid="{C72E7942-899A-40F8-B5E9-E385551B2E9F}"/>
    <cellStyle name="Normal 14" xfId="114" xr:uid="{FD02255A-52BE-4F2D-A079-A6F6B9059E29}"/>
    <cellStyle name="Normal 14 2" xfId="147" xr:uid="{4AF8379D-1DFD-4C95-8151-0E779CD3D47E}"/>
    <cellStyle name="Normal 14 2 2" xfId="300" xr:uid="{E58C1E51-C710-4CB9-AED8-B103CA420B7F}"/>
    <cellStyle name="Normal 14 3" xfId="299" xr:uid="{B0394CB9-513C-4689-913C-680BC268E2D0}"/>
    <cellStyle name="Normal 14 4" xfId="770" xr:uid="{73A62206-DF77-4E27-82B6-8E4ADF44A5F1}"/>
    <cellStyle name="Normal 15" xfId="115" xr:uid="{801496AD-C960-46D6-945F-A94C5BC6F53C}"/>
    <cellStyle name="Normal 15 2" xfId="148" xr:uid="{1287F535-1F4D-497C-A639-E328C3730F8A}"/>
    <cellStyle name="Normal 15 2 2" xfId="302" xr:uid="{25722F75-2B62-4D1C-8CB1-FC4BA006D8FB}"/>
    <cellStyle name="Normal 15 3" xfId="301" xr:uid="{399677BF-7589-407F-A81F-BB29AA0CDCEA}"/>
    <cellStyle name="Normal 16" xfId="117" xr:uid="{CEC1DB0F-F51D-40C9-A0BF-9D01FB2A9996}"/>
    <cellStyle name="Normal 16 2" xfId="150" xr:uid="{0E69078A-C9E6-4ED3-AC92-820875F7097F}"/>
    <cellStyle name="Normal 16 3" xfId="747" xr:uid="{1B1DE643-156E-4B1A-9A4F-55A4821B3524}"/>
    <cellStyle name="Normal 16 4" xfId="1581" xr:uid="{A1622490-6DB2-487E-B250-9D86613A0CED}"/>
    <cellStyle name="Normal 16 5" xfId="2253" xr:uid="{C7745B56-5ACC-463D-B5D2-5DB432EA541C}"/>
    <cellStyle name="Normal 17" xfId="120" xr:uid="{07DF7DED-C4A9-4F6F-B3F1-22D44F7D307B}"/>
    <cellStyle name="Normal 17 2" xfId="153" xr:uid="{D46FFA8A-8E1E-40AC-A1A9-71F4077329CF}"/>
    <cellStyle name="Normal 17 2 2" xfId="749" xr:uid="{E0C4AEDE-52A1-4D65-8D8B-E03B0CE20823}"/>
    <cellStyle name="Normal 17 3" xfId="748" xr:uid="{99C4FDCB-D924-4EE1-97FC-252AF4EDAA35}"/>
    <cellStyle name="Normal 17 4" xfId="771" xr:uid="{FBD54FE5-873A-4E7F-B7A5-DF161F0821AF}"/>
    <cellStyle name="Normal 18" xfId="123" xr:uid="{BF24B6D7-8A31-47FD-A726-0FE521347E97}"/>
    <cellStyle name="Normal 18 2" xfId="156" xr:uid="{6BD19DE7-E6BC-4B6B-AC0F-68D1A3741DBC}"/>
    <cellStyle name="Normal 18 3" xfId="752" xr:uid="{B806B8B9-5E7C-4A00-8698-F83BAED1A01B}"/>
    <cellStyle name="Normal 18 4" xfId="772" xr:uid="{70A2012D-D3C9-4973-B960-3F4B4FE33343}"/>
    <cellStyle name="Normal 19" xfId="119" xr:uid="{A9432069-9ADA-42C4-B900-33BBE484B870}"/>
    <cellStyle name="Normal 19 2" xfId="152" xr:uid="{7C2097D7-7FBE-47F1-A52F-2EE1A33AD60D}"/>
    <cellStyle name="Normal 2" xfId="86" xr:uid="{8BF1B535-71E4-46CA-A91A-0849A26C2DEF}"/>
    <cellStyle name="Normal 2 10" xfId="864" xr:uid="{8AC74CCF-FBD9-4BD0-B2C2-4D502D6499B7}"/>
    <cellStyle name="Normal 2 10 2" xfId="901" xr:uid="{C1F13F39-270E-4D29-9F01-AB8F2CFA07C1}"/>
    <cellStyle name="Normal 2 10 2 7" xfId="912" xr:uid="{D7B81470-148D-4FE2-A27C-0668DD267005}"/>
    <cellStyle name="Normal 2 10 2 7 2" xfId="1649" xr:uid="{E9F16CFC-06D6-4224-8E7B-6AEB2A6D5DA2}"/>
    <cellStyle name="Normal 2 11" xfId="865" xr:uid="{AC6380D2-20F4-4167-88FD-73A069BED9D8}"/>
    <cellStyle name="Normal 2 12" xfId="866" xr:uid="{FA4A2738-A863-44BB-8C4F-994A7458437B}"/>
    <cellStyle name="Normal 2 13" xfId="867" xr:uid="{F4A55E9F-7511-4519-917A-D1B296D99115}"/>
    <cellStyle name="Normal 2 14" xfId="869" xr:uid="{69804059-CACE-4EEE-AA22-6BD5E5783445}"/>
    <cellStyle name="Normal 2 15" xfId="870" xr:uid="{7C1D9673-0915-44FA-8E3D-1F393E358E84}"/>
    <cellStyle name="Normal 2 16" xfId="871" xr:uid="{E8BE883A-D202-4235-A581-176FF796722C}"/>
    <cellStyle name="Normal 2 17" xfId="872" xr:uid="{72FC48A3-F721-4285-A05F-1D0D02E45CB3}"/>
    <cellStyle name="Normal 2 18" xfId="873" xr:uid="{F820D828-7409-4750-A198-5D9CDF1A6047}"/>
    <cellStyle name="Normal 2 19" xfId="874" xr:uid="{DA2394A6-EF4E-4C80-8F33-3B72514AFFC0}"/>
    <cellStyle name="Normal 2 2" xfId="88" xr:uid="{5095388A-AF6A-47A9-BB2D-E0B38DD2E562}"/>
    <cellStyle name="Normal 2 2 10" xfId="1604" xr:uid="{AFA2CBF1-4E7F-4272-AAF1-C26659694B47}"/>
    <cellStyle name="Normal 2 2 11" xfId="1610" xr:uid="{3961EE49-193C-4ED8-AE3E-17828F125643}"/>
    <cellStyle name="Normal 2 2 2" xfId="104" xr:uid="{8399A782-445D-45E7-B9F0-D9E6F61BE300}"/>
    <cellStyle name="Normal 2 2 2 2" xfId="111" xr:uid="{B157FAD0-A468-4B00-971E-EED65331AD70}"/>
    <cellStyle name="Normal 2 2 2 2 2" xfId="144" xr:uid="{72845D58-10F1-4EDA-9975-A94A8CB71C1A}"/>
    <cellStyle name="Normal 2 2 2 3" xfId="139" xr:uid="{82FD3190-D2EA-4863-8000-C44880EA5D64}"/>
    <cellStyle name="Normal 2 2 2 4" xfId="305" xr:uid="{07520429-F7C9-4A92-80AE-EF770A79DB59}"/>
    <cellStyle name="Normal 2 2 2 5" xfId="933" xr:uid="{50FEED6A-750D-45DD-9FD5-A5378677942C}"/>
    <cellStyle name="Normal 2 2 3" xfId="108" xr:uid="{C659FB20-2797-4116-B517-5488E61FEDF4}"/>
    <cellStyle name="Normal 2 2 3 2" xfId="142" xr:uid="{890A5EF6-BFCB-4AB4-A9F7-FA12873264A8}"/>
    <cellStyle name="Normal 2 2 3 3" xfId="966" xr:uid="{32C2E20E-C888-4C18-BFED-E01902D4CC67}"/>
    <cellStyle name="Normal 2 2 4" xfId="121" xr:uid="{9C0E9AB4-CB53-401B-BB6E-1FDDD447E944}"/>
    <cellStyle name="Normal 2 2 4 2" xfId="154" xr:uid="{2EAE4B6C-019A-456E-B35E-3A966A549178}"/>
    <cellStyle name="Normal 2 2 5" xfId="128" xr:uid="{B6B1B74D-15E3-4336-B08E-A3E0853CEC88}"/>
    <cellStyle name="Normal 2 2 6" xfId="304" xr:uid="{A865E342-00AD-45F6-9314-7D1F697D0F77}"/>
    <cellStyle name="Normal 2 2 7" xfId="94" xr:uid="{1649C0C6-495A-4D52-8F8B-2BEF1FEC3F42}"/>
    <cellStyle name="Normal 2 2 8" xfId="914" xr:uid="{195DF671-BFAD-44FC-8466-BD613CDA3F21}"/>
    <cellStyle name="Normal 2 2 9" xfId="1592" xr:uid="{886A8BA0-CD5E-4C16-9DF4-3CA0C8BE5F7A}"/>
    <cellStyle name="Normal 2 20" xfId="876" xr:uid="{E0A1645B-77E2-47AC-ACD9-74FA6E17AB35}"/>
    <cellStyle name="Normal 2 21" xfId="877" xr:uid="{43DCD9F3-87DD-491D-9F67-38752E293E2F}"/>
    <cellStyle name="Normal 2 22" xfId="878" xr:uid="{821018DD-69E1-4825-9BA5-237AB7347672}"/>
    <cellStyle name="Normal 2 23" xfId="881" xr:uid="{66F8DBD1-D86F-47EB-B547-5D94811EBCE0}"/>
    <cellStyle name="Normal 2 24" xfId="882" xr:uid="{7CDA5B76-7F66-4222-9DD8-53984CC3BFBD}"/>
    <cellStyle name="Normal 2 25" xfId="885" xr:uid="{05784C3C-5C7A-4269-B471-183A44B4797C}"/>
    <cellStyle name="Normal 2 26" xfId="887" xr:uid="{DE1D5653-A484-40BC-8C57-DEF2F3D17E3C}"/>
    <cellStyle name="Normal 2 27" xfId="1588" xr:uid="{7219F86C-298F-4FAF-B141-359D52AE3783}"/>
    <cellStyle name="Normal 2 28" xfId="1589" xr:uid="{7931DBCB-1001-4814-AE52-58BA44331B43}"/>
    <cellStyle name="Normal 2 29" xfId="1595" xr:uid="{CF166C20-2431-4E07-BF89-2E1B5FF9FDF3}"/>
    <cellStyle name="Normal 2 3" xfId="90" xr:uid="{F1A1E534-F2C2-4C99-AC43-4DEFD1715132}"/>
    <cellStyle name="Normal 2 3 2" xfId="138" xr:uid="{37514244-4AE1-45FD-966E-7EF3F43C76DC}"/>
    <cellStyle name="Normal 2 3 3" xfId="306" xr:uid="{A23AAC90-DA41-4A1C-9479-93DC63415779}"/>
    <cellStyle name="Normal 2 3 4" xfId="103" xr:uid="{67B28569-4CD0-454B-A527-75E3B20FE868}"/>
    <cellStyle name="Normal 2 3 5" xfId="976" xr:uid="{945BB67F-1AD8-4545-B39D-4FF35A8EA13D}"/>
    <cellStyle name="Normal 2 30" xfId="1596" xr:uid="{44FB5DFE-4110-4706-A7D1-BEA17BF2126E}"/>
    <cellStyle name="Normal 2 31" xfId="1618" xr:uid="{83306358-0BFA-44A4-AF4E-94DFCCB8E281}"/>
    <cellStyle name="Normal 2 32" xfId="2257" xr:uid="{FB2E83A0-5134-4D9B-B514-092F293FF0E3}"/>
    <cellStyle name="Normal 2 4" xfId="105" xr:uid="{45F00F5C-8392-41FE-BB53-27BB0FDBB6C2}"/>
    <cellStyle name="Normal 2 4 2" xfId="140" xr:uid="{7C71D26B-0215-4EA6-8551-E9711214145D}"/>
    <cellStyle name="Normal 2 4 3" xfId="307" xr:uid="{5AB15E05-8E56-498B-8B81-CF5F6ECB26A5}"/>
    <cellStyle name="Normal 2 4 4" xfId="975" xr:uid="{1C5D0E97-DFB9-4ED7-9167-610ADB453E6A}"/>
    <cellStyle name="Normal 2 5" xfId="107" xr:uid="{5AE67E6B-22BC-4E85-A26E-894AEA23B91F}"/>
    <cellStyle name="Normal 2 5 2" xfId="308" xr:uid="{3B2C95C7-3308-4196-B691-5A0EEC951A4D}"/>
    <cellStyle name="Normal 2 5 3" xfId="992" xr:uid="{442AB52B-74BF-4B34-9FCF-592CE35AEB67}"/>
    <cellStyle name="Normal 2 5 4" xfId="1612" xr:uid="{CBC2AEBE-39F0-4608-AAE5-3677576E711C}"/>
    <cellStyle name="Normal 2 5 5" xfId="1712" xr:uid="{CAB968EB-183A-462A-B772-A5A3DE198755}"/>
    <cellStyle name="Normal 2 6" xfId="309" xr:uid="{1D423D88-1292-4516-879F-363917689869}"/>
    <cellStyle name="Normal 2 6 2" xfId="910" xr:uid="{D95CA27E-4255-42D5-B158-E92842224955}"/>
    <cellStyle name="Normal 2 69" xfId="956" xr:uid="{AC42AFA6-0ADA-4AE4-A1CB-15C380761585}"/>
    <cellStyle name="Normal 2 7" xfId="303" xr:uid="{D0F95BB5-2DBA-4C20-BA32-D95F2CF68285}"/>
    <cellStyle name="Normal 2 8" xfId="778" xr:uid="{D89F2CA8-3E0B-4CF4-8BF7-66ABD22410A9}"/>
    <cellStyle name="Normal 2 9" xfId="92" xr:uid="{B4753689-AD5F-47EE-BBF4-5AE575108CC4}"/>
    <cellStyle name="Normal 20" xfId="124" xr:uid="{1B341DEE-C444-40F0-B3D3-276711344CB5}"/>
    <cellStyle name="Normal 20 2" xfId="157" xr:uid="{6B435D3E-866F-4CB2-A2DE-234B0AA405D8}"/>
    <cellStyle name="Normal 21" xfId="125" xr:uid="{A7EB096E-AED4-4C96-9229-81DD259A6DAB}"/>
    <cellStyle name="Normal 21 2" xfId="158" xr:uid="{E2F612B7-553A-42E2-97A8-1A9992F2D469}"/>
    <cellStyle name="Normal 21 3" xfId="773" xr:uid="{42AC5167-466E-4997-97F6-D219FEA3914C}"/>
    <cellStyle name="Normal 22" xfId="126" xr:uid="{1650D953-A6A4-4902-BD5C-81CAC34D7497}"/>
    <cellStyle name="Normal 23" xfId="159" xr:uid="{FED674BC-ABB7-4D5C-B985-34DEB1233FEC}"/>
    <cellStyle name="Normal 24" xfId="160" xr:uid="{AC5A8A52-1C57-4A0E-9584-CBA67E1ED3DF}"/>
    <cellStyle name="Normal 25" xfId="161" xr:uid="{94A3D671-DED4-4E2C-B719-5E2B63426EFE}"/>
    <cellStyle name="Normal 26" xfId="162" xr:uid="{D42D4D1F-212A-4704-91E2-4E9ACB587CAB}"/>
    <cellStyle name="Normal 27" xfId="163" xr:uid="{2D7688A0-28E2-46F2-9F8E-D26A6138F66B}"/>
    <cellStyle name="Normal 27 2" xfId="750" xr:uid="{FA94CB12-404A-46BD-9594-47F693E51380}"/>
    <cellStyle name="Normal 27 3" xfId="774" xr:uid="{1A8815BA-CDBE-4992-A959-1E8DC2CAD1E4}"/>
    <cellStyle name="Normal 28" xfId="164" xr:uid="{6B2DA53C-4874-46F1-A436-7F3627BF815C}"/>
    <cellStyle name="Normal 29" xfId="166" xr:uid="{C509DCD0-4FCD-46ED-B6DC-065CCE9FA166}"/>
    <cellStyle name="Normal 3" xfId="87" xr:uid="{9A444752-55E4-4AC8-B983-B7D13BF221FE}"/>
    <cellStyle name="Normal 3 10" xfId="311" xr:uid="{05B8E810-D1E8-4AB3-8750-FE3EB09E0779}"/>
    <cellStyle name="Normal 3 11" xfId="312" xr:uid="{150701F5-8FF9-4CF8-8635-E2E66564B6A9}"/>
    <cellStyle name="Normal 3 12" xfId="313" xr:uid="{83211827-30DD-4326-BE74-5D51EA4FE765}"/>
    <cellStyle name="Normal 3 13" xfId="314" xr:uid="{39F3F9B9-C04B-49D5-A487-3191FC035721}"/>
    <cellStyle name="Normal 3 14" xfId="315" xr:uid="{CBF7722D-9F50-444D-B995-089E24101115}"/>
    <cellStyle name="Normal 3 15" xfId="316" xr:uid="{5EAD105C-F504-4CEE-B7F1-D811E74E4CB4}"/>
    <cellStyle name="Normal 3 16" xfId="317" xr:uid="{12615325-4D1D-40B5-B316-714CFD62D4C8}"/>
    <cellStyle name="Normal 3 17" xfId="318" xr:uid="{FE11354F-3BD1-4802-AC15-85673260C1D9}"/>
    <cellStyle name="Normal 3 18" xfId="319" xr:uid="{2722F82E-427D-4555-B145-F66754319759}"/>
    <cellStyle name="Normal 3 19" xfId="320" xr:uid="{3B725A8A-03D9-48A9-B877-E96DD8DCD6A7}"/>
    <cellStyle name="Normal 3 2" xfId="106" xr:uid="{A843FA30-F0CD-4C06-AB29-980C3F580A21}"/>
    <cellStyle name="Normal 3 2 2" xfId="141" xr:uid="{7F799F52-7D15-4CE7-9F03-1050059B40D2}"/>
    <cellStyle name="Normal 3 2 2 2" xfId="322" xr:uid="{291B12AC-C2AB-4F98-B274-0712EA385CD3}"/>
    <cellStyle name="Normal 3 2 2 3" xfId="1273" xr:uid="{66717805-976B-4EE5-9602-8E6F42AEF6AC}"/>
    <cellStyle name="Normal 3 2 3" xfId="321" xr:uid="{03251FA9-2BE6-4E7C-B6D1-FFF24BCD50F5}"/>
    <cellStyle name="Normal 3 2 4" xfId="977" xr:uid="{7B62AECD-0308-4D52-9932-6816FEEE053C}"/>
    <cellStyle name="Normal 3 2 5" xfId="1700" xr:uid="{FD95A265-9012-4A77-A9B1-B50C9F0B620C}"/>
    <cellStyle name="Normal 3 20" xfId="323" xr:uid="{9AA58D78-E13B-437F-908B-9BCF76107DF3}"/>
    <cellStyle name="Normal 3 21" xfId="324" xr:uid="{19A6CA50-297B-4727-81D6-7F04D2F667B4}"/>
    <cellStyle name="Normal 3 22" xfId="325" xr:uid="{FC9E5B6A-8E51-4701-9414-4B57B3B95D74}"/>
    <cellStyle name="Normal 3 23" xfId="326" xr:uid="{828BD485-348F-4A34-9A82-28B298F7346A}"/>
    <cellStyle name="Normal 3 24" xfId="310" xr:uid="{7A407EF6-F3B4-48AA-B292-14B179CB1A93}"/>
    <cellStyle name="Normal 3 25" xfId="93" xr:uid="{EA8D850C-A6DB-44B6-9DEF-ECA979588756}"/>
    <cellStyle name="Normal 3 26" xfId="951" xr:uid="{F84165D2-9F5B-4F1F-B95A-51EF05133455}"/>
    <cellStyle name="Normal 3 27" xfId="1606" xr:uid="{9E173ACD-1019-420A-BBFC-78E8D3E817B9}"/>
    <cellStyle name="Normal 3 3" xfId="110" xr:uid="{F4212DB9-4A4E-48EF-92DE-1A0872413D44}"/>
    <cellStyle name="Normal 3 3 2" xfId="327" xr:uid="{7166BADE-2D3C-42B9-9D8D-8BE465474D58}"/>
    <cellStyle name="Normal 3 4" xfId="132" xr:uid="{D0FB10CC-2911-4CF3-A7FF-C5ECA9DCEB26}"/>
    <cellStyle name="Normal 3 4 2" xfId="328" xr:uid="{2295D2E6-00EF-4713-BEAA-0235174F8A41}"/>
    <cellStyle name="Normal 3 4 3" xfId="969" xr:uid="{E672BEDC-48B5-4C2E-9543-57F6BCAB7A1D}"/>
    <cellStyle name="Normal 3 4 4" xfId="1693" xr:uid="{3245391F-5D81-47A8-AFCD-5C2B86C0A381}"/>
    <cellStyle name="Normal 3 5" xfId="329" xr:uid="{8EE3AA76-4B92-4FE4-9599-8CA6600368EA}"/>
    <cellStyle name="Normal 3 6" xfId="330" xr:uid="{4FA797A2-D4BF-42A1-A726-817D98836716}"/>
    <cellStyle name="Normal 3 7" xfId="331" xr:uid="{59F1BAD4-B116-4502-84B7-71B3064C21B3}"/>
    <cellStyle name="Normal 3 7 2" xfId="332" xr:uid="{D8893B36-B051-497D-91FB-723E1FEA7950}"/>
    <cellStyle name="Normal 3 7 2 10" xfId="333" xr:uid="{666FE975-53CA-4EB2-A9BD-A74B2251512E}"/>
    <cellStyle name="Normal 3 7 2 11" xfId="334" xr:uid="{045CE492-BD0D-47EE-81EE-CF3207F5D819}"/>
    <cellStyle name="Normal 3 7 2 12" xfId="335" xr:uid="{6C8F96A8-D9DB-4CC0-84FB-DA4715BF08DD}"/>
    <cellStyle name="Normal 3 7 2 13" xfId="336" xr:uid="{7863575E-FC73-494A-9D20-001F0F043B4B}"/>
    <cellStyle name="Normal 3 7 2 14" xfId="337" xr:uid="{2C4B347F-D098-4235-A28E-E10FDEE9F2F5}"/>
    <cellStyle name="Normal 3 7 2 15" xfId="338" xr:uid="{A3C55271-8FFE-4AE4-ACB0-60F71AC709C2}"/>
    <cellStyle name="Normal 3 7 2 16" xfId="339" xr:uid="{9D75D140-A4BF-4273-A1C6-1066851CF445}"/>
    <cellStyle name="Normal 3 7 2 17" xfId="340" xr:uid="{299A1202-EEEA-405F-8EFB-1FC9CF061DB7}"/>
    <cellStyle name="Normal 3 7 2 18" xfId="341" xr:uid="{258C3664-8E22-4EA7-AE3F-F2E3E93CA736}"/>
    <cellStyle name="Normal 3 7 2 19" xfId="342" xr:uid="{99444E47-0E31-49A5-B345-7AF78EE5D6ED}"/>
    <cellStyle name="Normal 3 7 2 2" xfId="343" xr:uid="{D2AAB073-833A-45CD-A534-C2F70BC839B3}"/>
    <cellStyle name="Normal 3 7 2 20" xfId="344" xr:uid="{47930AB5-BE0B-49A3-A448-3F71A2BDABE5}"/>
    <cellStyle name="Normal 3 7 2 3" xfId="345" xr:uid="{84904E04-E2D0-4359-A01D-A0500FF53D3D}"/>
    <cellStyle name="Normal 3 7 2 3 2" xfId="346" xr:uid="{E87CC13F-3854-4899-8B53-FBCA0FABFFF9}"/>
    <cellStyle name="Normal 3 7 2 4" xfId="347" xr:uid="{3EB3DF1B-E933-4C16-B6FE-BD33615460C7}"/>
    <cellStyle name="Normal 3 7 2 4 2" xfId="348" xr:uid="{39247BF3-E469-458D-B76C-DE254B82EEE1}"/>
    <cellStyle name="Normal 3 7 2 4 2 10" xfId="349" xr:uid="{30F332A5-2AB6-4E14-AB4B-5DD74257F2B5}"/>
    <cellStyle name="Normal 3 7 2 4 2 11" xfId="350" xr:uid="{0276133A-BFEB-47DC-A004-98599F1D72BA}"/>
    <cellStyle name="Normal 3 7 2 4 2 12" xfId="351" xr:uid="{1EF34D9E-B84D-493B-A149-B675D91F2A84}"/>
    <cellStyle name="Normal 3 7 2 4 2 13" xfId="352" xr:uid="{EC23E7A0-FA0D-443E-8E83-F9C2DD332CED}"/>
    <cellStyle name="Normal 3 7 2 4 2 14" xfId="353" xr:uid="{B3F986DA-1314-4B1B-8BFD-DDBF30778FD4}"/>
    <cellStyle name="Normal 3 7 2 4 2 15" xfId="354" xr:uid="{ED52F199-C970-4B1A-A8D4-C7580B23E34B}"/>
    <cellStyle name="Normal 3 7 2 4 2 16" xfId="355" xr:uid="{137D2441-4353-43D3-B864-5CB07EB1701F}"/>
    <cellStyle name="Normal 3 7 2 4 2 17" xfId="356" xr:uid="{DF4D7180-EECA-4E02-AC48-016AB08B4646}"/>
    <cellStyle name="Normal 3 7 2 4 2 18" xfId="357" xr:uid="{F872E69E-6144-400E-A926-34D01EEFA4F5}"/>
    <cellStyle name="Normal 3 7 2 4 2 2" xfId="358" xr:uid="{E2F22D0F-0966-4B68-9E12-109160030A3D}"/>
    <cellStyle name="Normal 3 7 2 4 2 3" xfId="359" xr:uid="{6F62EF43-AFBA-4D2D-A957-33B245C6B3E9}"/>
    <cellStyle name="Normal 3 7 2 4 2 3 2" xfId="360" xr:uid="{FDC54A7D-5761-4E1C-AC29-51F0AEDDA3C4}"/>
    <cellStyle name="Normal 3 7 2 4 2 3 3" xfId="361" xr:uid="{16D61183-DA07-4EAF-A939-B1B25CCED829}"/>
    <cellStyle name="Normal 3 7 2 4 2 3 3 10" xfId="362" xr:uid="{1E102E82-7437-4FEC-91C3-1A6B2C8A4D04}"/>
    <cellStyle name="Normal 3 7 2 4 2 3 3 11" xfId="363" xr:uid="{B3F7A385-B9DD-4B65-B9DE-644127145CB7}"/>
    <cellStyle name="Normal 3 7 2 4 2 3 3 12" xfId="364" xr:uid="{01EB5326-7885-456A-910A-877E537C77AC}"/>
    <cellStyle name="Normal 3 7 2 4 2 3 3 13" xfId="365" xr:uid="{1BEA98CE-0432-4068-832B-76CC01283BB3}"/>
    <cellStyle name="Normal 3 7 2 4 2 3 3 14" xfId="366" xr:uid="{2D574546-CC78-4EB4-85DE-BAC4690DFABB}"/>
    <cellStyle name="Normal 3 7 2 4 2 3 3 15" xfId="367" xr:uid="{D0ED64FF-C86A-47E3-8CAC-91CC9D133DD9}"/>
    <cellStyle name="Normal 3 7 2 4 2 3 3 16" xfId="368" xr:uid="{111570E8-47F4-4713-8B99-C717E0CB4D47}"/>
    <cellStyle name="Normal 3 7 2 4 2 3 3 17" xfId="369" xr:uid="{8D442846-5000-4725-AECD-F473DF04CE9F}"/>
    <cellStyle name="Normal 3 7 2 4 2 3 3 18" xfId="370" xr:uid="{D676AB0A-5171-4874-94EC-14619790ABD5}"/>
    <cellStyle name="Normal 3 7 2 4 2 3 3 2" xfId="371" xr:uid="{B536A84F-8A0A-4376-854C-F9D24B95E141}"/>
    <cellStyle name="Normal 3 7 2 4 2 3 3 3" xfId="372" xr:uid="{88559E78-9A12-4873-AE07-03E937E4029B}"/>
    <cellStyle name="Normal 3 7 2 4 2 3 3 4" xfId="373" xr:uid="{03ED260D-1AE3-4805-9BB0-F51B59F3B614}"/>
    <cellStyle name="Normal 3 7 2 4 2 3 3 5" xfId="374" xr:uid="{3124016B-1F12-48B8-958C-37F4C337C7F3}"/>
    <cellStyle name="Normal 3 7 2 4 2 3 3 6" xfId="375" xr:uid="{27CED535-81B5-4832-82FD-1AC25943F91A}"/>
    <cellStyle name="Normal 3 7 2 4 2 3 3 7" xfId="376" xr:uid="{996598BB-65A4-4707-A487-604B6BB0DB04}"/>
    <cellStyle name="Normal 3 7 2 4 2 3 3 8" xfId="377" xr:uid="{C6FF3AA9-5268-49ED-A0A3-DB4C343A203D}"/>
    <cellStyle name="Normal 3 7 2 4 2 3 3 9" xfId="378" xr:uid="{123D0B49-2B72-46C1-A27C-00D4FA521073}"/>
    <cellStyle name="Normal 3 7 2 4 2 3 4" xfId="379" xr:uid="{61F08F38-6907-4C92-AC0F-647B163FDA81}"/>
    <cellStyle name="Normal 3 7 2 4 2 4" xfId="380" xr:uid="{FC3B7E87-7068-4B65-807A-85D99702A17D}"/>
    <cellStyle name="Normal 3 7 2 4 2 5" xfId="381" xr:uid="{8EEBA854-6E5C-414F-B0CF-38BA5CC52FE4}"/>
    <cellStyle name="Normal 3 7 2 4 2 6" xfId="382" xr:uid="{2DF920F7-9D87-4FDE-B119-106AD99C328C}"/>
    <cellStyle name="Normal 3 7 2 4 2 7" xfId="383" xr:uid="{F4EB5126-FA55-4DC7-BBAC-8DB26CA5862D}"/>
    <cellStyle name="Normal 3 7 2 4 2 8" xfId="384" xr:uid="{EF4FC32C-D7A7-4364-A08F-16DF88D452AE}"/>
    <cellStyle name="Normal 3 7 2 4 2 9" xfId="385" xr:uid="{62ABBF63-1470-43B9-8429-591BFEAFC2BF}"/>
    <cellStyle name="Normal 3 7 2 4 3" xfId="386" xr:uid="{20F0D0D9-5A93-48DC-89C3-6DAFB846CCA4}"/>
    <cellStyle name="Normal 3 7 2 5" xfId="387" xr:uid="{C54D1299-DE1C-434F-8994-24DC16D59F3F}"/>
    <cellStyle name="Normal 3 7 2 5 2" xfId="388" xr:uid="{50ABA842-AF70-4827-933C-57943E5B2440}"/>
    <cellStyle name="Normal 3 7 2 5 3" xfId="389" xr:uid="{18074A79-DE40-40AA-989A-75EA2FF76D6D}"/>
    <cellStyle name="Normal 3 7 2 5 3 10" xfId="390" xr:uid="{B8A3E5EE-0906-478C-99A5-614DD187E27D}"/>
    <cellStyle name="Normal 3 7 2 5 3 11" xfId="391" xr:uid="{414118D2-D0EE-4C27-B020-5A7A26C9DBAA}"/>
    <cellStyle name="Normal 3 7 2 5 3 12" xfId="392" xr:uid="{7F97F318-9DAA-4FB9-BB72-47CBF35B871E}"/>
    <cellStyle name="Normal 3 7 2 5 3 13" xfId="393" xr:uid="{A13D7ABD-25E8-4D86-9204-EAAB174B7FA4}"/>
    <cellStyle name="Normal 3 7 2 5 3 14" xfId="394" xr:uid="{F54B366A-77AA-4EEB-AD81-C0C90734A6DF}"/>
    <cellStyle name="Normal 3 7 2 5 3 15" xfId="395" xr:uid="{E5475AA9-C25B-4835-84D3-46B6F272669D}"/>
    <cellStyle name="Normal 3 7 2 5 3 16" xfId="396" xr:uid="{22ED70BF-3BDF-4AD5-AF58-F15DCBD64CBC}"/>
    <cellStyle name="Normal 3 7 2 5 3 17" xfId="397" xr:uid="{8251A04A-0C75-4797-9705-99B651BBBD25}"/>
    <cellStyle name="Normal 3 7 2 5 3 18" xfId="398" xr:uid="{DD716640-9096-456C-889B-D23EF6D9C772}"/>
    <cellStyle name="Normal 3 7 2 5 3 2" xfId="399" xr:uid="{D05EFA57-9BE8-4FA8-AB43-1C1CC7A18850}"/>
    <cellStyle name="Normal 3 7 2 5 3 3" xfId="400" xr:uid="{5E2D3630-AD1D-40C0-9032-21764FAAFED5}"/>
    <cellStyle name="Normal 3 7 2 5 3 4" xfId="401" xr:uid="{FE162907-2AF9-43DF-AE4E-904980633235}"/>
    <cellStyle name="Normal 3 7 2 5 3 5" xfId="402" xr:uid="{88F2A0E7-CE38-4004-98AB-623460B38E4A}"/>
    <cellStyle name="Normal 3 7 2 5 3 6" xfId="403" xr:uid="{6085A08B-330D-4E3B-9CEB-FE29081F5B72}"/>
    <cellStyle name="Normal 3 7 2 5 3 7" xfId="404" xr:uid="{32E0D1E7-3011-4384-A7D7-B1E2E0B9E93D}"/>
    <cellStyle name="Normal 3 7 2 5 3 8" xfId="405" xr:uid="{D2370CE6-A81C-4F00-8563-D9A92B10609A}"/>
    <cellStyle name="Normal 3 7 2 5 3 9" xfId="406" xr:uid="{EDC32F91-080D-4B14-A293-9785D492F6CE}"/>
    <cellStyle name="Normal 3 7 2 5 4" xfId="407" xr:uid="{5AA670E5-53F5-4D28-AB39-E422FB3AD703}"/>
    <cellStyle name="Normal 3 7 2 6" xfId="408" xr:uid="{89D5C4ED-148F-4A21-890A-C3E2EFED63DC}"/>
    <cellStyle name="Normal 3 7 2 7" xfId="409" xr:uid="{535F9B67-CB54-4F4F-BE12-5F4D44277190}"/>
    <cellStyle name="Normal 3 7 2 8" xfId="410" xr:uid="{882151F6-4E27-4E9B-9FD4-B7AADBD3AEAF}"/>
    <cellStyle name="Normal 3 7 2 9" xfId="411" xr:uid="{0B2E8249-8C1D-4431-ABE8-4F0CF78C651A}"/>
    <cellStyle name="Normal 3 7 3" xfId="412" xr:uid="{A10DBC8A-7EB5-4148-8DD8-61D58F26B646}"/>
    <cellStyle name="Normal 3 7 4" xfId="413" xr:uid="{9D80677C-72CD-42E9-A326-FA4B6F1BD471}"/>
    <cellStyle name="Normal 3 7 4 2" xfId="414" xr:uid="{FB555327-9752-4D90-A986-B0187F816308}"/>
    <cellStyle name="Normal 3 7 4 2 10" xfId="415" xr:uid="{F7C1FB17-3353-4072-BAB5-69FB11B35F38}"/>
    <cellStyle name="Normal 3 7 4 2 11" xfId="416" xr:uid="{EF373A16-A0FB-4FAC-93F4-E628184C5802}"/>
    <cellStyle name="Normal 3 7 4 2 12" xfId="417" xr:uid="{775B663F-14AE-4176-AD60-A05B61A3E17A}"/>
    <cellStyle name="Normal 3 7 4 2 13" xfId="418" xr:uid="{589082BE-861D-4BE3-BF65-D29A1BAAE9C4}"/>
    <cellStyle name="Normal 3 7 4 2 14" xfId="419" xr:uid="{254DE42A-377E-4B45-B55D-9B48EA05AF5A}"/>
    <cellStyle name="Normal 3 7 4 2 15" xfId="420" xr:uid="{26F89430-D109-41F5-BEF0-B91A1230FB90}"/>
    <cellStyle name="Normal 3 7 4 2 16" xfId="421" xr:uid="{E54DC9D5-17A6-4941-9B43-B38A2D874C9F}"/>
    <cellStyle name="Normal 3 7 4 2 17" xfId="422" xr:uid="{4BCBA519-59A5-4DE8-BA05-70996303878A}"/>
    <cellStyle name="Normal 3 7 4 2 18" xfId="423" xr:uid="{607E0483-60E1-4912-B67D-882F907B4B85}"/>
    <cellStyle name="Normal 3 7 4 2 2" xfId="424" xr:uid="{2CB0A407-91EE-4D71-BE30-527A01A35E93}"/>
    <cellStyle name="Normal 3 7 4 2 3" xfId="425" xr:uid="{573DBEC4-0F71-47E3-AF49-2D55F5CB3E95}"/>
    <cellStyle name="Normal 3 7 4 2 3 2" xfId="426" xr:uid="{E37F6F7F-471B-4F0B-88F5-D24EA29C2254}"/>
    <cellStyle name="Normal 3 7 4 2 3 3" xfId="427" xr:uid="{1FBB8623-CD3E-4644-B36D-8E4CA3159C15}"/>
    <cellStyle name="Normal 3 7 4 2 3 3 10" xfId="428" xr:uid="{0AC19DDC-535D-4D2A-91A4-839D7CBC0097}"/>
    <cellStyle name="Normal 3 7 4 2 3 3 11" xfId="429" xr:uid="{E0215E15-DB5E-4CE9-91B7-743CF3A5CA39}"/>
    <cellStyle name="Normal 3 7 4 2 3 3 12" xfId="430" xr:uid="{794BA7B5-66C9-4715-9C89-333E636A24AD}"/>
    <cellStyle name="Normal 3 7 4 2 3 3 13" xfId="431" xr:uid="{1586CDF7-1A2C-4375-8FD3-286839F5D0A8}"/>
    <cellStyle name="Normal 3 7 4 2 3 3 14" xfId="432" xr:uid="{E0F6FE0D-BE06-4576-B68D-7F5CEE2AA1D2}"/>
    <cellStyle name="Normal 3 7 4 2 3 3 15" xfId="433" xr:uid="{DC4457E1-4750-4A6B-AC06-563596CBAC4E}"/>
    <cellStyle name="Normal 3 7 4 2 3 3 16" xfId="434" xr:uid="{835956BC-26A6-432C-AD19-23CF1DA40C87}"/>
    <cellStyle name="Normal 3 7 4 2 3 3 17" xfId="435" xr:uid="{DB20C4D1-3DA3-43E0-86FE-3007C1E61671}"/>
    <cellStyle name="Normal 3 7 4 2 3 3 18" xfId="436" xr:uid="{DE1BDCC0-6D09-48D9-9197-7593B2CFD39B}"/>
    <cellStyle name="Normal 3 7 4 2 3 3 2" xfId="437" xr:uid="{4E826E6B-D457-4A91-B02D-047FB4624DF1}"/>
    <cellStyle name="Normal 3 7 4 2 3 3 3" xfId="438" xr:uid="{FCC1FF0F-203E-4DC8-990E-BFDCCF81504F}"/>
    <cellStyle name="Normal 3 7 4 2 3 3 4" xfId="439" xr:uid="{E55E2F37-4F14-4722-AD68-D5435B19F2FF}"/>
    <cellStyle name="Normal 3 7 4 2 3 3 5" xfId="440" xr:uid="{02562347-1C39-4279-BC0B-58D8C158E0CE}"/>
    <cellStyle name="Normal 3 7 4 2 3 3 6" xfId="441" xr:uid="{4894B930-259B-4B12-9202-AA46BBD26919}"/>
    <cellStyle name="Normal 3 7 4 2 3 3 7" xfId="442" xr:uid="{67386668-1756-4817-A2E8-7934D64C579E}"/>
    <cellStyle name="Normal 3 7 4 2 3 3 8" xfId="443" xr:uid="{A86BA8C5-5B09-4596-8B26-AA486BFFD3E5}"/>
    <cellStyle name="Normal 3 7 4 2 3 3 9" xfId="444" xr:uid="{3C30C440-DE5C-4F09-BF1B-7148234DB72D}"/>
    <cellStyle name="Normal 3 7 4 2 3 4" xfId="445" xr:uid="{B5DDF84C-20AB-423F-992E-9E2A87057C23}"/>
    <cellStyle name="Normal 3 7 4 2 4" xfId="446" xr:uid="{E7E9F8C6-9DD7-48A5-9A98-38872502F9F8}"/>
    <cellStyle name="Normal 3 7 4 2 5" xfId="447" xr:uid="{68C9A2F1-D231-441C-A3F7-6F09F162C4A1}"/>
    <cellStyle name="Normal 3 7 4 2 6" xfId="448" xr:uid="{45481138-E52A-48E0-8036-2ED96FA48E69}"/>
    <cellStyle name="Normal 3 7 4 2 7" xfId="449" xr:uid="{71B23228-FEDA-4A5E-9372-05011D695A79}"/>
    <cellStyle name="Normal 3 7 4 2 8" xfId="450" xr:uid="{51DD2943-3EE3-4E2E-8902-5E219EA1584A}"/>
    <cellStyle name="Normal 3 7 4 2 9" xfId="451" xr:uid="{8BF6455E-5E18-4CCC-B389-99885EA5BBF2}"/>
    <cellStyle name="Normal 3 7 4 3" xfId="452" xr:uid="{65B78B46-2429-4C6B-B46D-316034356A8D}"/>
    <cellStyle name="Normal 3 8" xfId="453" xr:uid="{56B8A13D-C3D2-4163-B953-DDE2457FD114}"/>
    <cellStyle name="Normal 3 8 2" xfId="454" xr:uid="{FE202C1E-DC18-46E0-B264-F04C95ED7CB9}"/>
    <cellStyle name="Normal 3 8 2 2" xfId="455" xr:uid="{6EF767F8-B81A-4B07-9135-655AB2DE50E9}"/>
    <cellStyle name="Normal 3 8 3" xfId="456" xr:uid="{A93B57D6-8989-404B-A91C-36A3B42C20DD}"/>
    <cellStyle name="Normal 3 8 3 2" xfId="457" xr:uid="{59F9B26B-543B-4012-B4B1-69C456FBF8F5}"/>
    <cellStyle name="Normal 3 8 3 2 10" xfId="458" xr:uid="{D3AAF760-E684-4EC0-80E7-42B8803BE385}"/>
    <cellStyle name="Normal 3 8 3 2 11" xfId="459" xr:uid="{B6E9CB76-F724-4CB7-A6D9-0E320F01ABB7}"/>
    <cellStyle name="Normal 3 8 3 2 12" xfId="460" xr:uid="{0F85094B-775F-4AD7-AF1C-08A300E539A7}"/>
    <cellStyle name="Normal 3 8 3 2 13" xfId="461" xr:uid="{202A756A-B5B7-42CB-B063-202E83473B7F}"/>
    <cellStyle name="Normal 3 8 3 2 14" xfId="462" xr:uid="{0548CD51-57BB-4D96-8150-8284B478E08B}"/>
    <cellStyle name="Normal 3 8 3 2 15" xfId="463" xr:uid="{4461ABC7-DABB-49F8-9DA2-E0EAA03EE1B6}"/>
    <cellStyle name="Normal 3 8 3 2 16" xfId="464" xr:uid="{40A26E90-E841-45FD-863C-2A5F919051BD}"/>
    <cellStyle name="Normal 3 8 3 2 17" xfId="465" xr:uid="{B94B62AA-6AE7-4D62-A626-1C33290F901A}"/>
    <cellStyle name="Normal 3 8 3 2 18" xfId="466" xr:uid="{717631FD-7D07-4B01-9EAC-349D234C82D6}"/>
    <cellStyle name="Normal 3 8 3 2 2" xfId="467" xr:uid="{131F17D6-8E90-4551-8DC1-AB156A7C7EF6}"/>
    <cellStyle name="Normal 3 8 3 2 3" xfId="468" xr:uid="{E286AE30-A4BF-4A63-9577-B0CB0B37AB48}"/>
    <cellStyle name="Normal 3 8 3 2 3 2" xfId="469" xr:uid="{8B02FCE1-9E1C-483E-A2EB-B4E43E23EF90}"/>
    <cellStyle name="Normal 3 8 3 2 3 3" xfId="470" xr:uid="{8DC97DD4-58A4-434D-BE91-84E5C3A49C38}"/>
    <cellStyle name="Normal 3 8 3 2 3 3 10" xfId="471" xr:uid="{AD04A278-8F27-4AA1-A417-CC4034F96129}"/>
    <cellStyle name="Normal 3 8 3 2 3 3 11" xfId="472" xr:uid="{29EA5B25-3ACB-4F2F-AA39-A2DC6D525928}"/>
    <cellStyle name="Normal 3 8 3 2 3 3 12" xfId="473" xr:uid="{214FA032-B10A-462B-8093-5A6F75A89DB8}"/>
    <cellStyle name="Normal 3 8 3 2 3 3 13" xfId="474" xr:uid="{D95165E1-C291-4B33-96D4-71D1CD020DA6}"/>
    <cellStyle name="Normal 3 8 3 2 3 3 14" xfId="475" xr:uid="{9E42775A-9EDD-40AC-9666-6E3FFBB6C758}"/>
    <cellStyle name="Normal 3 8 3 2 3 3 15" xfId="476" xr:uid="{68297BE7-590C-4386-87E2-FED52B6B987C}"/>
    <cellStyle name="Normal 3 8 3 2 3 3 16" xfId="477" xr:uid="{14990453-427A-427E-9F01-BE780312303A}"/>
    <cellStyle name="Normal 3 8 3 2 3 3 17" xfId="478" xr:uid="{19AE85C6-5A81-48A1-89C0-09B5FA75C553}"/>
    <cellStyle name="Normal 3 8 3 2 3 3 18" xfId="479" xr:uid="{8A069827-0CD1-48D0-B06B-67504CFF6592}"/>
    <cellStyle name="Normal 3 8 3 2 3 3 2" xfId="480" xr:uid="{EC018480-843A-4D49-98C1-0BA4B8BA5792}"/>
    <cellStyle name="Normal 3 8 3 2 3 3 3" xfId="481" xr:uid="{0058FD2F-C579-43C8-BDD9-43749B5CB519}"/>
    <cellStyle name="Normal 3 8 3 2 3 3 4" xfId="482" xr:uid="{D2D1DD65-11A4-4536-846B-E8FCF9DDB593}"/>
    <cellStyle name="Normal 3 8 3 2 3 3 5" xfId="483" xr:uid="{431E48AD-F468-490F-80F5-71524E8339D1}"/>
    <cellStyle name="Normal 3 8 3 2 3 3 6" xfId="484" xr:uid="{B286305F-A9BF-4745-8757-38C62E2D5370}"/>
    <cellStyle name="Normal 3 8 3 2 3 3 7" xfId="485" xr:uid="{84A78402-5F74-425A-B153-118151EF861E}"/>
    <cellStyle name="Normal 3 8 3 2 3 3 8" xfId="486" xr:uid="{D9EB6AD0-194E-4437-81C5-483CBAA37BB7}"/>
    <cellStyle name="Normal 3 8 3 2 3 3 9" xfId="487" xr:uid="{A5D6761A-8295-4416-98F6-FD704F766652}"/>
    <cellStyle name="Normal 3 8 3 2 3 4" xfId="488" xr:uid="{EC80C814-A0D3-4EAE-9E9A-A6920A7FB834}"/>
    <cellStyle name="Normal 3 8 3 2 4" xfId="489" xr:uid="{973ED4B6-8151-44E7-B044-DC7AE85F5F0E}"/>
    <cellStyle name="Normal 3 8 3 2 5" xfId="490" xr:uid="{CBF57440-FEA1-4EF5-B159-8FE9403F55AF}"/>
    <cellStyle name="Normal 3 8 3 2 6" xfId="491" xr:uid="{188FD027-04FE-4D1E-BA4B-B3707858A1D4}"/>
    <cellStyle name="Normal 3 8 3 2 7" xfId="492" xr:uid="{E399A7A8-F20E-47EF-9D1A-BB1EEFC821AC}"/>
    <cellStyle name="Normal 3 8 3 2 8" xfId="493" xr:uid="{BC3C685E-F13F-4485-BDC1-974573A7A6D7}"/>
    <cellStyle name="Normal 3 8 3 2 9" xfId="494" xr:uid="{F170FC86-0671-414B-9FD7-1E1FAF38D290}"/>
    <cellStyle name="Normal 3 8 3 3" xfId="495" xr:uid="{863E2666-10DE-4DE4-87D2-FCB34678D125}"/>
    <cellStyle name="Normal 3 8 4" xfId="496" xr:uid="{C30AF866-6897-4BB7-90FC-31E053A1EEE2}"/>
    <cellStyle name="Normal 3 9" xfId="497" xr:uid="{7E2D6A20-C487-4A99-B8C2-1D7A11326576}"/>
    <cellStyle name="Normal 3 9 2" xfId="498" xr:uid="{52661CE6-174A-4DA1-9495-E37A9A902CA7}"/>
    <cellStyle name="Normal 3 9 3" xfId="499" xr:uid="{48EB970D-69E5-4404-9578-34C1D30D2488}"/>
    <cellStyle name="Normal 30" xfId="168" xr:uid="{6CCD3A00-59CA-40EB-B31D-E48006364144}"/>
    <cellStyle name="Normal 31" xfId="170" xr:uid="{D5FF739A-49AA-4182-A259-C1188487719F}"/>
    <cellStyle name="Normal 32" xfId="171" xr:uid="{E4542170-1E0E-475A-8095-C29E508ADB34}"/>
    <cellStyle name="Normal 33" xfId="173" xr:uid="{86800DA0-C92C-4944-B186-5308EAFC3EF2}"/>
    <cellStyle name="Normal 34" xfId="174" xr:uid="{CA6720E6-A595-4C69-A122-EFA8D3A3F705}"/>
    <cellStyle name="Normal 34 2" xfId="775" xr:uid="{6FDE5DE0-A7E4-47E1-AAE0-0464E1D882A2}"/>
    <cellStyle name="Normal 35" xfId="175" xr:uid="{9C5F6D42-FF82-422C-831C-738299178D11}"/>
    <cellStyle name="Normal 35 2" xfId="776" xr:uid="{2440448C-02F1-4EEA-A0DD-045B1F669B2B}"/>
    <cellStyle name="Normal 36" xfId="176" xr:uid="{723755E9-CC3B-4C77-A728-8CACAB8BEC64}"/>
    <cellStyle name="Normal 36 2" xfId="751" xr:uid="{0004D2CF-FBC9-4A00-829C-C04471922C0B}"/>
    <cellStyle name="Normal 36 3" xfId="777" xr:uid="{9A9AEDE3-357E-4CB4-B1F6-A23B4B64CBF6}"/>
    <cellStyle name="Normal 37" xfId="177" xr:uid="{C341DA72-2BAE-4B01-807D-954BF49961AF}"/>
    <cellStyle name="Normal 38" xfId="179" xr:uid="{4CB51C7D-6515-4A15-B42D-02D0A015A97B}"/>
    <cellStyle name="Normal 39" xfId="762" xr:uid="{8009AC82-4B9F-46AF-91DE-43C4C14AFAC9}"/>
    <cellStyle name="Normal 4" xfId="89" xr:uid="{CFE87850-1F58-49CC-9ABA-ECD15B6116CA}"/>
    <cellStyle name="Normal 4 10" xfId="501" xr:uid="{9FBC043C-B431-46B2-844A-FF5BF046346B}"/>
    <cellStyle name="Normal 4 11" xfId="502" xr:uid="{3DDF1F36-CBAA-4DFB-BA23-478868071B5C}"/>
    <cellStyle name="Normal 4 12" xfId="503" xr:uid="{7D7AFAB4-B391-4132-B910-5E5F15860D98}"/>
    <cellStyle name="Normal 4 13" xfId="504" xr:uid="{54D64DE0-16ED-4097-913C-1AC3EA59CEE0}"/>
    <cellStyle name="Normal 4 14" xfId="505" xr:uid="{93FF2D2C-385E-4052-9B79-6C85B471F3BD}"/>
    <cellStyle name="Normal 4 15" xfId="506" xr:uid="{E7633A31-7199-40E2-B652-710F60F74B4F}"/>
    <cellStyle name="Normal 4 16" xfId="507" xr:uid="{CEB2E157-2975-43C8-81F4-B5AEAAC86368}"/>
    <cellStyle name="Normal 4 17" xfId="508" xr:uid="{D6ACE718-9342-433D-82EB-B73F76218A72}"/>
    <cellStyle name="Normal 4 18" xfId="509" xr:uid="{82AEBC99-C4BF-4B03-822F-77AFAFD06C19}"/>
    <cellStyle name="Normal 4 19" xfId="510" xr:uid="{2148AC6C-BC0F-4507-8F61-61CCD9AA7018}"/>
    <cellStyle name="Normal 4 2" xfId="511" xr:uid="{3C0EDDA5-E3DD-42EC-B0E1-68608060CA0C}"/>
    <cellStyle name="Normal 4 2 2" xfId="1272" xr:uid="{D5127D4F-5B40-4A9B-A5A4-868CBDC2F3D5}"/>
    <cellStyle name="Normal 4 2 3" xfId="1947" xr:uid="{9F581EC4-752E-48C1-A377-85378369A2BC}"/>
    <cellStyle name="Normal 4 20" xfId="512" xr:uid="{DCAB6B19-1694-480F-9E97-E1C1D77A7E77}"/>
    <cellStyle name="Normal 4 21" xfId="513" xr:uid="{16AFB6AC-9394-4166-BA5A-04FC83DA1CEB}"/>
    <cellStyle name="Normal 4 22" xfId="514" xr:uid="{07C59545-77D9-422D-8D86-2F8ADD9D8009}"/>
    <cellStyle name="Normal 4 23" xfId="500" xr:uid="{AAEB632E-2039-4AAA-BAE2-E24E256A4658}"/>
    <cellStyle name="Normal 4 24" xfId="863" xr:uid="{B2D002F6-FE89-422D-850D-BB237FE45D99}"/>
    <cellStyle name="Normal 4 25" xfId="970" xr:uid="{80422ABB-3E1E-4475-AD61-4E58C8B0709D}"/>
    <cellStyle name="Normal 4 26" xfId="1694" xr:uid="{8D9BC175-E810-44A6-BF17-A1D004E5099A}"/>
    <cellStyle name="Normal 4 3" xfId="515" xr:uid="{DBEF82C3-BFA5-4295-8CD2-27BEBC29D713}"/>
    <cellStyle name="Normal 4 3 2" xfId="1584" xr:uid="{482D670A-AA31-4D6C-958E-A944EF77F60A}"/>
    <cellStyle name="Normal 4 3 3" xfId="2255" xr:uid="{9DB71CFE-3C9C-4F65-927B-C60E408E49A1}"/>
    <cellStyle name="Normal 4 4" xfId="516" xr:uid="{018FA5DD-04B7-4231-AED7-2F07CACFEC62}"/>
    <cellStyle name="Normal 4 5" xfId="517" xr:uid="{1D2D88B4-D1D6-477C-AC0D-F210977737FD}"/>
    <cellStyle name="Normal 4 6" xfId="518" xr:uid="{CDE02C4E-789E-4B07-BA85-20A254FAEBAB}"/>
    <cellStyle name="Normal 4 6 2" xfId="519" xr:uid="{B891AFA7-3472-4A4D-8159-963E6473B644}"/>
    <cellStyle name="Normal 4 6 2 10" xfId="520" xr:uid="{9DAE59C4-2291-4ACA-B752-827BED51C860}"/>
    <cellStyle name="Normal 4 6 2 11" xfId="521" xr:uid="{47BF2AB2-975A-496C-9C2B-889BB914D94F}"/>
    <cellStyle name="Normal 4 6 2 12" xfId="522" xr:uid="{BAA5B0C6-864C-49A3-BD4F-0D6567E02202}"/>
    <cellStyle name="Normal 4 6 2 13" xfId="523" xr:uid="{B999E73B-CDE8-4DB1-97DC-0D5463F398DA}"/>
    <cellStyle name="Normal 4 6 2 14" xfId="524" xr:uid="{C826A26B-99D2-4395-8D47-892AE4A59F3A}"/>
    <cellStyle name="Normal 4 6 2 15" xfId="525" xr:uid="{E48CDBFB-469F-41B2-8B71-236BCBD0C699}"/>
    <cellStyle name="Normal 4 6 2 16" xfId="526" xr:uid="{27A30F24-DA42-467C-AB36-062EB49A01F7}"/>
    <cellStyle name="Normal 4 6 2 17" xfId="527" xr:uid="{A36F4E04-8469-446A-B3FD-D784AFE9DFA5}"/>
    <cellStyle name="Normal 4 6 2 18" xfId="528" xr:uid="{C1E96B2E-2B32-4C77-9BAA-06A5FFE21494}"/>
    <cellStyle name="Normal 4 6 2 19" xfId="529" xr:uid="{243D89B2-C32E-4168-A8E5-3E503A41AEF9}"/>
    <cellStyle name="Normal 4 6 2 2" xfId="530" xr:uid="{A33CF0FE-BED4-4972-ADD6-39E8C633EB45}"/>
    <cellStyle name="Normal 4 6 2 20" xfId="531" xr:uid="{7A58C97D-9F8F-42FA-B05B-E10165887F4A}"/>
    <cellStyle name="Normal 4 6 2 3" xfId="532" xr:uid="{386697B6-0BDE-4909-A693-D568A607CD99}"/>
    <cellStyle name="Normal 4 6 2 3 2" xfId="533" xr:uid="{492B91BB-C117-4070-AAE4-5761FF2BED8A}"/>
    <cellStyle name="Normal 4 6 2 4" xfId="534" xr:uid="{F7BE4085-4590-46DE-9553-69BFA7AF5B1F}"/>
    <cellStyle name="Normal 4 6 2 4 2" xfId="535" xr:uid="{A08C7A0B-4614-4BB9-8D92-32F29B8425CA}"/>
    <cellStyle name="Normal 4 6 2 4 2 10" xfId="536" xr:uid="{A7B3A55C-4280-4CD9-B97F-1E964DA74F96}"/>
    <cellStyle name="Normal 4 6 2 4 2 11" xfId="537" xr:uid="{9BFEB604-6EED-4B3A-A111-25084F09CB9B}"/>
    <cellStyle name="Normal 4 6 2 4 2 12" xfId="538" xr:uid="{8E745161-79D2-436B-80C8-6933AD448EED}"/>
    <cellStyle name="Normal 4 6 2 4 2 13" xfId="539" xr:uid="{51B98D8A-78A1-4027-8A59-B0D73C484D43}"/>
    <cellStyle name="Normal 4 6 2 4 2 14" xfId="540" xr:uid="{ECD69182-EE3B-4C0D-813B-00AB24A2FA9A}"/>
    <cellStyle name="Normal 4 6 2 4 2 15" xfId="541" xr:uid="{A2071B8E-749D-43D8-9332-41AECA60E01D}"/>
    <cellStyle name="Normal 4 6 2 4 2 16" xfId="542" xr:uid="{FFB2D602-152E-483A-A94E-EAD894D87808}"/>
    <cellStyle name="Normal 4 6 2 4 2 17" xfId="543" xr:uid="{C409BAD9-6726-476A-A029-DD0A88CABF8B}"/>
    <cellStyle name="Normal 4 6 2 4 2 18" xfId="544" xr:uid="{D5CCC352-A405-4C38-AEAD-080776E6378E}"/>
    <cellStyle name="Normal 4 6 2 4 2 2" xfId="545" xr:uid="{3C05AD99-6B1B-46E8-B22B-B6C82208BDFA}"/>
    <cellStyle name="Normal 4 6 2 4 2 3" xfId="546" xr:uid="{0459B364-500E-423C-A947-8E70EA6FD2D1}"/>
    <cellStyle name="Normal 4 6 2 4 2 3 2" xfId="547" xr:uid="{EDF476CA-9BF5-4E1E-A48D-BE7B6D9481E2}"/>
    <cellStyle name="Normal 4 6 2 4 2 3 3" xfId="548" xr:uid="{A0CC58C4-A4BA-44DA-AA69-876D86309A15}"/>
    <cellStyle name="Normal 4 6 2 4 2 3 3 10" xfId="549" xr:uid="{7184845F-7310-4E45-8CFD-AC977F8EEF9D}"/>
    <cellStyle name="Normal 4 6 2 4 2 3 3 11" xfId="550" xr:uid="{AD23B9B5-6D0F-4890-BF55-B5F2D4119511}"/>
    <cellStyle name="Normal 4 6 2 4 2 3 3 12" xfId="551" xr:uid="{3C3D241E-D04C-490F-BBC3-6CB563877902}"/>
    <cellStyle name="Normal 4 6 2 4 2 3 3 13" xfId="552" xr:uid="{1D72CA78-4C32-4561-9F0F-414F30A9ACB5}"/>
    <cellStyle name="Normal 4 6 2 4 2 3 3 14" xfId="553" xr:uid="{4D902DF0-7894-4A1F-9F69-FC9E76AD926B}"/>
    <cellStyle name="Normal 4 6 2 4 2 3 3 15" xfId="554" xr:uid="{98998BF1-3B84-40F7-A442-50154E038D87}"/>
    <cellStyle name="Normal 4 6 2 4 2 3 3 16" xfId="555" xr:uid="{40A3114D-4084-43FC-A7B8-40203D2603FB}"/>
    <cellStyle name="Normal 4 6 2 4 2 3 3 17" xfId="556" xr:uid="{5FC4C581-B613-4B63-AA71-BE81746AC533}"/>
    <cellStyle name="Normal 4 6 2 4 2 3 3 18" xfId="557" xr:uid="{39A3C01E-F86E-4682-A5E8-0250851E5B3A}"/>
    <cellStyle name="Normal 4 6 2 4 2 3 3 2" xfId="558" xr:uid="{D4731822-9E6C-4F36-B7FB-0B8F81765D4B}"/>
    <cellStyle name="Normal 4 6 2 4 2 3 3 3" xfId="559" xr:uid="{5756D03D-73C5-4BB4-85D7-2C48A1097C8F}"/>
    <cellStyle name="Normal 4 6 2 4 2 3 3 4" xfId="560" xr:uid="{8DBC6938-5C6D-4973-8B00-3FD3AB6934EC}"/>
    <cellStyle name="Normal 4 6 2 4 2 3 3 5" xfId="561" xr:uid="{05F5F274-4BA9-4088-B284-D8D4EB5E7EF8}"/>
    <cellStyle name="Normal 4 6 2 4 2 3 3 6" xfId="562" xr:uid="{7013B8B5-1DDA-4EDD-94E4-60BD794A086F}"/>
    <cellStyle name="Normal 4 6 2 4 2 3 3 7" xfId="563" xr:uid="{0D8601BB-A891-487E-AC5C-2E0525D8C0C2}"/>
    <cellStyle name="Normal 4 6 2 4 2 3 3 8" xfId="564" xr:uid="{9A06EA94-6954-470B-9837-235CBE58A08F}"/>
    <cellStyle name="Normal 4 6 2 4 2 3 3 9" xfId="565" xr:uid="{76101A23-27BA-40C2-9EC5-062AA7A931D5}"/>
    <cellStyle name="Normal 4 6 2 4 2 3 4" xfId="566" xr:uid="{C7F6F207-0212-4798-A55F-61A77A8E3201}"/>
    <cellStyle name="Normal 4 6 2 4 2 4" xfId="567" xr:uid="{3D11E81D-5678-40F1-9451-F49048D47B3A}"/>
    <cellStyle name="Normal 4 6 2 4 2 5" xfId="568" xr:uid="{3951291E-81DC-4E12-9785-AD14FA746436}"/>
    <cellStyle name="Normal 4 6 2 4 2 6" xfId="569" xr:uid="{833BDB39-9AD0-4D70-8B5F-D71AD95BEA74}"/>
    <cellStyle name="Normal 4 6 2 4 2 7" xfId="570" xr:uid="{31B03ACB-AABA-4A19-BCCF-7C2D17C79BD5}"/>
    <cellStyle name="Normal 4 6 2 4 2 8" xfId="571" xr:uid="{CEF65953-F7EC-44D7-8ED5-F6AE832E8ADC}"/>
    <cellStyle name="Normal 4 6 2 4 2 9" xfId="572" xr:uid="{855B3204-88BF-4FC2-B4ED-87583BDAA8F3}"/>
    <cellStyle name="Normal 4 6 2 4 3" xfId="573" xr:uid="{ABDAC636-8BFE-42F1-A42A-26197E8A027A}"/>
    <cellStyle name="Normal 4 6 2 5" xfId="574" xr:uid="{0948B23C-4718-470B-A9F3-3BB5F63B8C7B}"/>
    <cellStyle name="Normal 4 6 2 5 2" xfId="575" xr:uid="{43176601-C5C4-4E74-BF3E-45F19283F360}"/>
    <cellStyle name="Normal 4 6 2 5 3" xfId="576" xr:uid="{4AC904BE-DBA9-4595-A57F-0A5F63A0849F}"/>
    <cellStyle name="Normal 4 6 2 5 3 10" xfId="577" xr:uid="{FE61B5A8-0EC2-465C-AC55-FA7E18834E0C}"/>
    <cellStyle name="Normal 4 6 2 5 3 11" xfId="578" xr:uid="{D9096827-CC21-4AB2-A5F8-889D6FB6C512}"/>
    <cellStyle name="Normal 4 6 2 5 3 12" xfId="579" xr:uid="{FD95C11D-7182-409A-ACE7-05E02CFB84BC}"/>
    <cellStyle name="Normal 4 6 2 5 3 13" xfId="580" xr:uid="{AE090872-C016-4847-B983-1204E213C7EE}"/>
    <cellStyle name="Normal 4 6 2 5 3 14" xfId="581" xr:uid="{B0340B54-71EA-409D-BE44-99B308B65B9C}"/>
    <cellStyle name="Normal 4 6 2 5 3 15" xfId="582" xr:uid="{8452EE9A-6667-4441-83E5-ED48FA68AB3A}"/>
    <cellStyle name="Normal 4 6 2 5 3 16" xfId="583" xr:uid="{CE7044A2-3F8B-41B0-ACFD-C20D695BA08F}"/>
    <cellStyle name="Normal 4 6 2 5 3 17" xfId="584" xr:uid="{6A703E45-C145-40C9-8399-BB37A37E2334}"/>
    <cellStyle name="Normal 4 6 2 5 3 18" xfId="585" xr:uid="{40C89AE5-28E0-47B2-97B4-996D8831311A}"/>
    <cellStyle name="Normal 4 6 2 5 3 2" xfId="586" xr:uid="{13EBC80A-73EB-4FE7-9CFC-8A4D754B5E96}"/>
    <cellStyle name="Normal 4 6 2 5 3 3" xfId="587" xr:uid="{0B8C8990-7D51-4F26-A664-2B1C737256D2}"/>
    <cellStyle name="Normal 4 6 2 5 3 4" xfId="588" xr:uid="{A818822C-54EE-4F3F-8D6E-FF8F5B3E81D1}"/>
    <cellStyle name="Normal 4 6 2 5 3 5" xfId="589" xr:uid="{CEA9E3BB-5ACB-476D-AE89-F19A5F7CF1AD}"/>
    <cellStyle name="Normal 4 6 2 5 3 6" xfId="590" xr:uid="{5E8E4421-AB54-4340-8EE2-24C5ED56E231}"/>
    <cellStyle name="Normal 4 6 2 5 3 7" xfId="591" xr:uid="{D3785AD2-0750-4BD3-AC12-4883282CCD3A}"/>
    <cellStyle name="Normal 4 6 2 5 3 8" xfId="592" xr:uid="{01EB0B9F-132D-4732-8D15-77DB8D7A9D73}"/>
    <cellStyle name="Normal 4 6 2 5 3 9" xfId="593" xr:uid="{42F53729-9CE0-4AC4-8720-F665FC1F1BBD}"/>
    <cellStyle name="Normal 4 6 2 5 4" xfId="594" xr:uid="{B8B79EDF-B16E-47D6-8388-67178EF38631}"/>
    <cellStyle name="Normal 4 6 2 6" xfId="595" xr:uid="{FD5F0113-08A5-4DA3-91FD-0F61A8DD291C}"/>
    <cellStyle name="Normal 4 6 2 7" xfId="596" xr:uid="{5FE07B41-F9A6-4FA2-9FDB-E9388E68EE5E}"/>
    <cellStyle name="Normal 4 6 2 8" xfId="597" xr:uid="{45FC9F53-00A4-4104-AE6A-F7A43558CA27}"/>
    <cellStyle name="Normal 4 6 2 9" xfId="598" xr:uid="{5D92C2D1-9ED7-4DD4-A28C-130ABAE67F28}"/>
    <cellStyle name="Normal 4 6 3" xfId="599" xr:uid="{C11D949E-3E62-4FA3-ADA9-E1FF6697425E}"/>
    <cellStyle name="Normal 4 6 4" xfId="600" xr:uid="{B7484CB7-F849-4BC5-83F9-F7CA361F0832}"/>
    <cellStyle name="Normal 4 6 4 2" xfId="601" xr:uid="{3DA58668-AA87-48D7-82FA-CF49E7426B9A}"/>
    <cellStyle name="Normal 4 6 4 2 10" xfId="602" xr:uid="{56B6198D-23AA-48FF-853B-77A5DE4CADB6}"/>
    <cellStyle name="Normal 4 6 4 2 11" xfId="603" xr:uid="{7C4919C9-FE3F-426E-8881-7702457C2B9C}"/>
    <cellStyle name="Normal 4 6 4 2 12" xfId="604" xr:uid="{AFE36BA1-BFC4-43B0-87BF-3A8D761F1618}"/>
    <cellStyle name="Normal 4 6 4 2 13" xfId="605" xr:uid="{3BB846AD-E994-4E44-8FEF-7E1112257B45}"/>
    <cellStyle name="Normal 4 6 4 2 14" xfId="606" xr:uid="{FAC6A1E2-F6B7-4302-A89F-D7880F5FA642}"/>
    <cellStyle name="Normal 4 6 4 2 15" xfId="607" xr:uid="{0E3CDA96-BCDF-472D-95D5-C818CBC5FD9D}"/>
    <cellStyle name="Normal 4 6 4 2 16" xfId="608" xr:uid="{102DE4F9-78F6-41B1-8299-50405D830341}"/>
    <cellStyle name="Normal 4 6 4 2 17" xfId="609" xr:uid="{8F9000CA-A05D-4054-89DA-2204378ADD66}"/>
    <cellStyle name="Normal 4 6 4 2 18" xfId="610" xr:uid="{677E2C32-36A1-42B2-9258-D82BB8C7993E}"/>
    <cellStyle name="Normal 4 6 4 2 2" xfId="611" xr:uid="{4447A379-6090-4B2D-967A-A4BDFE27732D}"/>
    <cellStyle name="Normal 4 6 4 2 3" xfId="612" xr:uid="{45511CA4-7E64-404F-8FD5-242C52838713}"/>
    <cellStyle name="Normal 4 6 4 2 3 2" xfId="613" xr:uid="{0A7A0F3B-BDF3-4382-8A35-A18C5020DD27}"/>
    <cellStyle name="Normal 4 6 4 2 3 3" xfId="614" xr:uid="{B0DF4B93-9203-4D86-9646-6EE7A852D187}"/>
    <cellStyle name="Normal 4 6 4 2 3 3 10" xfId="615" xr:uid="{D8CE08CE-FA71-4520-AAEE-07CF44E41E8D}"/>
    <cellStyle name="Normal 4 6 4 2 3 3 11" xfId="616" xr:uid="{477CE4F5-59D1-4ACE-85A9-36D3181A4794}"/>
    <cellStyle name="Normal 4 6 4 2 3 3 12" xfId="617" xr:uid="{308D961A-EA07-4385-84DD-FDA1176B2E1E}"/>
    <cellStyle name="Normal 4 6 4 2 3 3 13" xfId="618" xr:uid="{9DD53F11-33EC-4B1B-B10E-C081604AF11D}"/>
    <cellStyle name="Normal 4 6 4 2 3 3 14" xfId="619" xr:uid="{33CE627B-1A47-46BE-9641-B93B0C7FCCA9}"/>
    <cellStyle name="Normal 4 6 4 2 3 3 15" xfId="620" xr:uid="{5E1B732F-D6B1-4B41-B8E9-1EC4046F0B0A}"/>
    <cellStyle name="Normal 4 6 4 2 3 3 16" xfId="621" xr:uid="{9D8D5B23-7241-443F-82C4-5FF86326D11A}"/>
    <cellStyle name="Normal 4 6 4 2 3 3 17" xfId="622" xr:uid="{6B20D534-315D-4F0B-BDC5-F54DB1877EB3}"/>
    <cellStyle name="Normal 4 6 4 2 3 3 18" xfId="623" xr:uid="{CB7D6B08-9414-4AC0-BFF1-FCC8AD0BF6C4}"/>
    <cellStyle name="Normal 4 6 4 2 3 3 2" xfId="624" xr:uid="{40000AEA-FE1E-414F-B3D2-B20EE6A5F44C}"/>
    <cellStyle name="Normal 4 6 4 2 3 3 3" xfId="625" xr:uid="{674C0479-5A71-44CE-97E3-2DF61087F596}"/>
    <cellStyle name="Normal 4 6 4 2 3 3 4" xfId="626" xr:uid="{6458FFA3-7D5F-4290-9F2E-625D97D1FEEF}"/>
    <cellStyle name="Normal 4 6 4 2 3 3 5" xfId="627" xr:uid="{DFE66E1D-4055-472C-8591-084155D25A1A}"/>
    <cellStyle name="Normal 4 6 4 2 3 3 6" xfId="628" xr:uid="{AED85D36-E615-4A01-9D2C-13AB9BD9AE0E}"/>
    <cellStyle name="Normal 4 6 4 2 3 3 7" xfId="629" xr:uid="{7DAC5063-FFE7-4C1F-904F-3E9AEB6EC3B2}"/>
    <cellStyle name="Normal 4 6 4 2 3 3 8" xfId="630" xr:uid="{7250441D-2FED-4FA0-A3D8-B87FEA2A9753}"/>
    <cellStyle name="Normal 4 6 4 2 3 3 9" xfId="631" xr:uid="{B231E9AD-025F-4E9A-A741-6A7730EA7963}"/>
    <cellStyle name="Normal 4 6 4 2 3 4" xfId="632" xr:uid="{D428D672-459D-42A0-9E3F-CBCECA8FB3F2}"/>
    <cellStyle name="Normal 4 6 4 2 4" xfId="633" xr:uid="{CB18B613-95C8-43F9-965B-6EC84AED99CA}"/>
    <cellStyle name="Normal 4 6 4 2 5" xfId="634" xr:uid="{3F0AE6DE-D65A-48E8-8A18-CC31E6C2E5BB}"/>
    <cellStyle name="Normal 4 6 4 2 6" xfId="635" xr:uid="{C2654968-D6CF-4DA9-9C87-34F38CFB7BD3}"/>
    <cellStyle name="Normal 4 6 4 2 7" xfId="636" xr:uid="{088C8C8E-06AC-48F9-A098-0215E7D5B90B}"/>
    <cellStyle name="Normal 4 6 4 2 8" xfId="637" xr:uid="{802CF4AA-2BEF-46C9-BD56-19440E3DD988}"/>
    <cellStyle name="Normal 4 6 4 2 9" xfId="638" xr:uid="{F3D343D5-433B-4B8C-B775-A84B94BE8C2B}"/>
    <cellStyle name="Normal 4 6 4 3" xfId="639" xr:uid="{63999E32-2B03-4A86-BC5B-28F86BA211AB}"/>
    <cellStyle name="Normal 4 7" xfId="640" xr:uid="{90B71B7E-72E1-49B5-94DC-899A078A91D4}"/>
    <cellStyle name="Normal 4 7 2" xfId="641" xr:uid="{F09F52DA-AA3E-4C87-B4B1-A5031FA6BCD8}"/>
    <cellStyle name="Normal 4 7 2 10" xfId="642" xr:uid="{7609CAE3-716D-48E6-ABB4-3F1E96228E08}"/>
    <cellStyle name="Normal 4 7 2 11" xfId="643" xr:uid="{2300091E-E34E-400A-A73D-AC17A4A3F3C5}"/>
    <cellStyle name="Normal 4 7 2 12" xfId="644" xr:uid="{705ADD47-4A57-40C2-988A-811E8AC8C5D1}"/>
    <cellStyle name="Normal 4 7 2 13" xfId="645" xr:uid="{5BD41789-4817-47B8-8DA3-D2EC2A5379C0}"/>
    <cellStyle name="Normal 4 7 2 14" xfId="646" xr:uid="{3A64E0CD-02F3-435B-B371-0CE079C6B908}"/>
    <cellStyle name="Normal 4 7 2 15" xfId="647" xr:uid="{0B8C4AA5-F339-4660-94E6-871B89BA4597}"/>
    <cellStyle name="Normal 4 7 2 16" xfId="648" xr:uid="{93CBF30C-24F2-40E3-AB9E-6429F10463F4}"/>
    <cellStyle name="Normal 4 7 2 17" xfId="649" xr:uid="{4BDF6E33-DBFA-43C5-AA06-BCC0A6335CCD}"/>
    <cellStyle name="Normal 4 7 2 18" xfId="650" xr:uid="{A84CBB5F-7E75-4013-B90A-136A27F17DA0}"/>
    <cellStyle name="Normal 4 7 2 2" xfId="651" xr:uid="{E1E4C2AA-EAB3-4B17-88F7-3CF6FEDF5C45}"/>
    <cellStyle name="Normal 4 7 2 3" xfId="652" xr:uid="{142CECAA-239F-439D-B19A-3FF407DDD9D7}"/>
    <cellStyle name="Normal 4 7 2 3 2" xfId="653" xr:uid="{42EDBA4F-98C4-434C-9F2B-274A5D28A64E}"/>
    <cellStyle name="Normal 4 7 2 3 3" xfId="654" xr:uid="{0707886F-B2B2-4C8F-B06E-55882107C736}"/>
    <cellStyle name="Normal 4 7 2 3 3 10" xfId="655" xr:uid="{A0B7CBAD-7EAE-441C-829F-320C82DD8B24}"/>
    <cellStyle name="Normal 4 7 2 3 3 11" xfId="656" xr:uid="{C27A148D-74BB-471C-862E-7FC9337D3537}"/>
    <cellStyle name="Normal 4 7 2 3 3 12" xfId="657" xr:uid="{426B7864-6011-4055-A2F2-7A86E9FEB456}"/>
    <cellStyle name="Normal 4 7 2 3 3 13" xfId="658" xr:uid="{81AB9634-5543-4A5C-B265-328CC0FFB320}"/>
    <cellStyle name="Normal 4 7 2 3 3 14" xfId="659" xr:uid="{3632D78B-975A-4047-BE2B-7883F06DAD07}"/>
    <cellStyle name="Normal 4 7 2 3 3 15" xfId="660" xr:uid="{033D3EB2-24B2-44E4-920E-0E2BED4ADEF2}"/>
    <cellStyle name="Normal 4 7 2 3 3 16" xfId="661" xr:uid="{14900D26-FDEA-418D-BDA6-3861E6B62EE7}"/>
    <cellStyle name="Normal 4 7 2 3 3 17" xfId="662" xr:uid="{FA7D4938-5EC3-44C2-B6CD-45280F005B59}"/>
    <cellStyle name="Normal 4 7 2 3 3 18" xfId="663" xr:uid="{1D6BF51E-63F5-47D7-A167-B947872D7851}"/>
    <cellStyle name="Normal 4 7 2 3 3 2" xfId="664" xr:uid="{2B4C05C9-BF0C-4F17-AD46-7340F31748E5}"/>
    <cellStyle name="Normal 4 7 2 3 3 3" xfId="665" xr:uid="{5A179A38-6E17-4F64-A1AD-317DD5805A33}"/>
    <cellStyle name="Normal 4 7 2 3 3 4" xfId="666" xr:uid="{01A3B883-D82F-4492-A9F3-4B00B3DD0FE7}"/>
    <cellStyle name="Normal 4 7 2 3 3 5" xfId="667" xr:uid="{6DF1BC68-CD5E-43C0-A889-A2A7F4AD4E14}"/>
    <cellStyle name="Normal 4 7 2 3 3 6" xfId="668" xr:uid="{ECA88EC2-30FC-49AA-B579-8D990E1FD387}"/>
    <cellStyle name="Normal 4 7 2 3 3 7" xfId="669" xr:uid="{4A3F1ECE-F66C-4B00-B582-3428408F3232}"/>
    <cellStyle name="Normal 4 7 2 3 3 8" xfId="670" xr:uid="{7EA0E7D0-8860-4711-8CB8-1C372ECEDE3E}"/>
    <cellStyle name="Normal 4 7 2 3 3 9" xfId="671" xr:uid="{DFF0A42B-B4E4-4FCF-AA85-2639494D08B7}"/>
    <cellStyle name="Normal 4 7 2 3 4" xfId="672" xr:uid="{888C5025-0919-445F-BCA9-89FD19AD69A6}"/>
    <cellStyle name="Normal 4 7 2 4" xfId="673" xr:uid="{F74D491F-8276-40DB-950E-86BAB7354541}"/>
    <cellStyle name="Normal 4 7 2 5" xfId="674" xr:uid="{849B30B6-072A-43A9-BAD5-2D004DAD7981}"/>
    <cellStyle name="Normal 4 7 2 6" xfId="675" xr:uid="{1295DD5F-5A3B-448A-9889-E862EF7FA41A}"/>
    <cellStyle name="Normal 4 7 2 7" xfId="676" xr:uid="{370DD76D-69C0-4735-86A1-BBA87BFB2915}"/>
    <cellStyle name="Normal 4 7 2 8" xfId="677" xr:uid="{714EDCDD-B8C7-4269-850D-7D0998B9DA9D}"/>
    <cellStyle name="Normal 4 7 2 9" xfId="678" xr:uid="{BCA686E6-C0DE-4A47-B636-7DBD5183B522}"/>
    <cellStyle name="Normal 4 7 3" xfId="679" xr:uid="{1D6F13E3-2115-42D9-B30A-FA5FE3ACC237}"/>
    <cellStyle name="Normal 4 8" xfId="680" xr:uid="{685E8347-606A-4FC5-A7BB-FB869634E7DB}"/>
    <cellStyle name="Normal 4 9" xfId="681" xr:uid="{4129C384-E519-4990-944E-B0D37C8EE444}"/>
    <cellStyle name="Normal 40" xfId="763" xr:uid="{B592550C-02B3-4B94-8AD6-9C6149A8602D}"/>
    <cellStyle name="Normal 41" xfId="764" xr:uid="{FE413A04-E783-4FEF-B3C3-301BD8CE94AF}"/>
    <cellStyle name="Normal 42" xfId="765" xr:uid="{0AD2C087-1FC0-496C-8241-B1A777BA23E3}"/>
    <cellStyle name="Normal 43" xfId="766" xr:uid="{3E78CBD2-57FB-4E00-B962-C2F7C6AA4BBA}"/>
    <cellStyle name="Normal 44" xfId="779" xr:uid="{80F533A5-41FF-4A76-AAB7-50AFEFB247BD}"/>
    <cellStyle name="Normal 45" xfId="83" xr:uid="{DD8CC2AA-3373-4D26-A7BA-70EFD3992F24}"/>
    <cellStyle name="Normal 46" xfId="807" xr:uid="{EC1941DA-45A3-4851-AC0F-E0E3A78699FF}"/>
    <cellStyle name="Normal 46 2" xfId="856" xr:uid="{3B8A4955-D40D-4245-B5A4-1332431F03CE}"/>
    <cellStyle name="Normal 47" xfId="860" xr:uid="{109E4E7A-E169-465F-9A3E-C211F986830F}"/>
    <cellStyle name="Normal 48" xfId="861" xr:uid="{CA9EC1E7-A6BB-4C98-9BC6-1FDAD451780A}"/>
    <cellStyle name="Normal 49" xfId="42" xr:uid="{BD2DCAD9-AC41-484A-B4B2-ECB7B989FC2A}"/>
    <cellStyle name="Normal 5" xfId="91" xr:uid="{D3D67138-AEAF-40D8-9D44-16F964DFEE22}"/>
    <cellStyle name="Normal 5 2" xfId="112" xr:uid="{227E980C-0CCB-4E94-BFDD-312EBE8566DA}"/>
    <cellStyle name="Normal 5 2 2" xfId="145" xr:uid="{B85DEAEC-D803-4D7C-9117-BFB8226FD3B8}"/>
    <cellStyle name="Normal 5 2 3" xfId="683" xr:uid="{4E245DF1-F2E6-4BA6-8F16-F8829268FFC8}"/>
    <cellStyle name="Normal 5 2 4" xfId="1030" xr:uid="{62054059-6E37-4FEE-BF92-C0A2E6EAEA05}"/>
    <cellStyle name="Normal 5 3" xfId="129" xr:uid="{B5769C02-4CFF-41B8-93E0-C15DE7515763}"/>
    <cellStyle name="Normal 5 3 2" xfId="684" xr:uid="{36632FD5-3326-4D43-9656-3DA11DCE7DC6}"/>
    <cellStyle name="Normal 5 4" xfId="685" xr:uid="{F95BD54E-B405-43D1-9A86-2174A026A6E1}"/>
    <cellStyle name="Normal 5 5" xfId="686" xr:uid="{70D17CAC-E7FD-4A9B-9049-F5AD32D74332}"/>
    <cellStyle name="Normal 5 6" xfId="682" xr:uid="{B695F5B0-3C1F-4E65-8A3C-F2F472BF2194}"/>
    <cellStyle name="Normal 5 7" xfId="95" xr:uid="{467BD227-1264-40F6-8613-73A3AFF49EC9}"/>
    <cellStyle name="Normal 5 8" xfId="947" xr:uid="{C38E9BAD-63D9-43FE-A207-D4EA92EF5B2F}"/>
    <cellStyle name="Normal 50" xfId="880" xr:uid="{AF6D8CB0-1CF5-48CE-BC09-C722592EDFDE}"/>
    <cellStyle name="Normal 51" xfId="884" xr:uid="{C55F27AF-0FA0-4430-AFAA-0FA69F53F152}"/>
    <cellStyle name="Normal 510" xfId="957" xr:uid="{73FE1AFA-700C-4788-9B0D-E1FC871AED9C}"/>
    <cellStyle name="Normal 510 2" xfId="1683" xr:uid="{985C3B60-BBF3-4034-92BF-29AEE24DC8E6}"/>
    <cellStyle name="Normal 512" xfId="961" xr:uid="{65FCB55A-A5E5-4E5F-8B30-77A398EFA2F6}"/>
    <cellStyle name="Normal 512 2" xfId="1687" xr:uid="{1445B508-96D0-48D4-88E2-1CB43CFD6D03}"/>
    <cellStyle name="Normal 514" xfId="962" xr:uid="{639D2129-750E-41CB-9439-A1A2B737B178}"/>
    <cellStyle name="Normal 514 2" xfId="1688" xr:uid="{39483813-3252-4D6B-B700-2637DF822288}"/>
    <cellStyle name="Normal 52" xfId="1615" xr:uid="{A377499B-C165-4C16-A750-A2BCF098E667}"/>
    <cellStyle name="Normal 6" xfId="96" xr:uid="{E1AA4672-FB15-47F4-BED9-F0107094A120}"/>
    <cellStyle name="Normal 6 2" xfId="131" xr:uid="{6A9DAF5F-E97F-48BF-B665-664B94C0E373}"/>
    <cellStyle name="Normal 6 2 2" xfId="688" xr:uid="{173BEABB-B088-4C44-8330-DD0946E9FB96}"/>
    <cellStyle name="Normal 6 2 3" xfId="963" xr:uid="{4BE1348B-BA12-4421-8A9A-E3E502853D54}"/>
    <cellStyle name="Normal 6 2 4" xfId="1689" xr:uid="{69F1EB48-62C2-453E-BBE2-7B5BF84D0115}"/>
    <cellStyle name="Normal 6 3" xfId="172" xr:uid="{49A6E62B-F942-4C87-8AED-A0394070453B}"/>
    <cellStyle name="Normal 6 3 2" xfId="689" xr:uid="{8AE55A51-ABAF-48E6-8571-54014082F85D}"/>
    <cellStyle name="Normal 6 4" xfId="687" xr:uid="{9A285A66-7868-4E3F-AD2A-BD1E68CB4848}"/>
    <cellStyle name="Normal 6 5" xfId="948" xr:uid="{D640BAF3-F371-423C-9C4E-A81D38D36D66}"/>
    <cellStyle name="Normal 7" xfId="97" xr:uid="{1ADDBF89-5055-46C4-8601-2CDFAAD0461F}"/>
    <cellStyle name="Normal 7 2" xfId="130" xr:uid="{47E6D9F8-F36F-41ED-90AF-58DF4E5020F3}"/>
    <cellStyle name="Normal 7 2 2" xfId="691" xr:uid="{CC24E919-3548-450A-A8AB-38E581573C28}"/>
    <cellStyle name="Normal 7 3" xfId="690" xr:uid="{DBBD97D8-EC49-432C-90A3-740643D8C01D}"/>
    <cellStyle name="Normal 8" xfId="98" xr:uid="{A45ED4C9-2B49-490D-8FBE-64BDE702B5D8}"/>
    <cellStyle name="Normal 8 2" xfId="134" xr:uid="{69EFB284-2C5B-4E9A-BE4E-BEFB48A9C329}"/>
    <cellStyle name="Normal 8 2 2" xfId="693" xr:uid="{A4205922-7074-4613-9EF7-3BBBE73611E8}"/>
    <cellStyle name="Normal 8 3" xfId="692" xr:uid="{2779F199-498C-4291-AA69-64689F7BC7F3}"/>
    <cellStyle name="Normal 8 4" xfId="769" xr:uid="{52EC7029-2D0A-4AF3-95C6-6F6D4558AEBE}"/>
    <cellStyle name="Normal 8 5" xfId="1271" xr:uid="{02743198-F552-4786-A59F-E79629E1E969}"/>
    <cellStyle name="Normal 9" xfId="99" xr:uid="{86146792-E701-4B0D-95C9-9090F6C56DB7}"/>
    <cellStyle name="Normal 9 2" xfId="135" xr:uid="{22281254-93D3-48EF-8D3A-CEB7725EC8AE}"/>
    <cellStyle name="Normal 9 2 2" xfId="695" xr:uid="{7FBDA132-2876-4D86-9ED7-DCE56490F908}"/>
    <cellStyle name="Normal 9 3" xfId="694" xr:uid="{A297E0AD-7F52-4EFB-B5B9-82CC9211BF4B}"/>
    <cellStyle name="Normal 9 4" xfId="1568" xr:uid="{F05D476D-8613-4180-BD8F-6B5B08240C45}"/>
    <cellStyle name="Note 10" xfId="697" xr:uid="{24E0AB70-4A5B-4D13-8464-CA2F6EE96206}"/>
    <cellStyle name="Note 11" xfId="698" xr:uid="{D4F4A84E-01DA-4A4B-B841-03B03C54D335}"/>
    <cellStyle name="Note 12" xfId="696" xr:uid="{B5E9456F-CA96-4ACC-B96A-01798565F394}"/>
    <cellStyle name="Note 13" xfId="180" xr:uid="{A7A7412E-1801-4715-AB80-A1D30296D70C}"/>
    <cellStyle name="Note 2" xfId="699" xr:uid="{66ABFAF9-DF47-4ACD-B766-13DAAAF86D82}"/>
    <cellStyle name="Note 2 2" xfId="700" xr:uid="{87BACB6E-0C22-41B6-9FB3-B1EEEE65605E}"/>
    <cellStyle name="Note 2 2 2" xfId="701" xr:uid="{916B05F6-3947-4D32-B2DD-C2D43E16B069}"/>
    <cellStyle name="Note 2 2 3" xfId="702" xr:uid="{A4DA5A28-5979-4741-ADB3-022EA6EC5C46}"/>
    <cellStyle name="Note 2 3" xfId="703" xr:uid="{418809E6-EB24-4BDA-9B63-82DA5E658AC7}"/>
    <cellStyle name="Note 2 3 2" xfId="704" xr:uid="{7B398F13-0DF3-43C7-9333-7D0E874A6CE9}"/>
    <cellStyle name="Note 2 3 2 2" xfId="705" xr:uid="{249DA503-3100-48F0-9EB5-80AD93ED4163}"/>
    <cellStyle name="Note 2 3 3" xfId="706" xr:uid="{4386E193-77E8-42E8-A70B-1C60B5DFC46E}"/>
    <cellStyle name="Note 2 4" xfId="707" xr:uid="{1E1B8156-24CE-4E93-883A-50F1F16D3EB0}"/>
    <cellStyle name="Note 2 5" xfId="1020" xr:uid="{AC52C5C1-339E-4DD9-B4D1-CC412C0525FF}"/>
    <cellStyle name="Note 3" xfId="708" xr:uid="{131A0B64-D750-4EFE-8DD4-87B2DDBA094C}"/>
    <cellStyle name="Note 3 2" xfId="709" xr:uid="{9D2EAAEA-F43A-445D-94DA-29B476028417}"/>
    <cellStyle name="Note 3 3" xfId="710" xr:uid="{C6A2166B-B8FB-4B39-A931-4380A76FC16D}"/>
    <cellStyle name="Note 3 4" xfId="954" xr:uid="{E72E7518-D5DC-4FBA-A8FA-DB89DB25A16E}"/>
    <cellStyle name="Note 3 5" xfId="1681" xr:uid="{64216CE1-C887-4ACC-BD5E-05AA4628092C}"/>
    <cellStyle name="Note 4" xfId="711" xr:uid="{B4AD1F1D-327A-4CE8-8D16-0971E5A6B0E8}"/>
    <cellStyle name="Note 4 2" xfId="712" xr:uid="{E27E2440-D718-4EA8-A9A7-56CF0177F60D}"/>
    <cellStyle name="Note 4 2 2" xfId="713" xr:uid="{049978D1-BCAE-496B-AF73-31D26C4C2C44}"/>
    <cellStyle name="Note 4 3" xfId="714" xr:uid="{E3255387-6736-4186-B95F-06539F33608A}"/>
    <cellStyle name="Note 5" xfId="715" xr:uid="{44B04C83-4EE0-4100-AD35-0665D7440A52}"/>
    <cellStyle name="Note 5 2" xfId="716" xr:uid="{B0AD57BF-6C73-4740-80E3-BF5ED1A3D7B5}"/>
    <cellStyle name="Note 6" xfId="717" xr:uid="{8051501E-1C92-46A9-B1B9-F498CED8CA28}"/>
    <cellStyle name="Note 6 2" xfId="718" xr:uid="{765DC95D-ABC2-459D-85BF-7F1AF90FBB4F}"/>
    <cellStyle name="Note 7" xfId="719" xr:uid="{3858B15E-B302-43CB-B82D-FD14BDA3E0B4}"/>
    <cellStyle name="Note 7 2" xfId="720" xr:uid="{6BE85BE8-D5AA-4068-8972-CDB9FFC03F68}"/>
    <cellStyle name="Note 8" xfId="721" xr:uid="{45A2D2AC-D5F9-45CA-A938-39933C502CBB}"/>
    <cellStyle name="Note 8 2" xfId="722" xr:uid="{5E1374C5-4A7F-438C-8258-B5AD3B64CC72}"/>
    <cellStyle name="Note 9" xfId="723" xr:uid="{92D7495F-86B8-424E-B56B-18BA19B7A1E0}"/>
    <cellStyle name="Output" xfId="11" builtinId="21" customBuiltin="1"/>
    <cellStyle name="Output 2" xfId="724" xr:uid="{6B109D06-BCFF-40F4-B64A-D91AE1DBF9E0}"/>
    <cellStyle name="Output 2 2" xfId="1029" xr:uid="{9F8664DF-C013-4AA7-8D7F-6860171D6D47}"/>
    <cellStyle name="Output 3" xfId="725" xr:uid="{DDF22357-20B9-467C-A19A-988EC0E7EF98}"/>
    <cellStyle name="Output 4" xfId="52" xr:uid="{60A6D84B-E302-456C-B9D7-FA56F0BF319C}"/>
    <cellStyle name="Percent" xfId="2258" builtinId="5"/>
    <cellStyle name="Percent 2" xfId="726" xr:uid="{E6E96205-94A4-458F-99EF-89549CFAA659}"/>
    <cellStyle name="Percent 2 2" xfId="782" xr:uid="{6D8C15F1-180D-4115-8707-2D9C1AE4FBFE}"/>
    <cellStyle name="Percent 2 2 2" xfId="913" xr:uid="{461319A4-27D0-4155-8A13-7231EA198EF4}"/>
    <cellStyle name="Percent 2 3" xfId="991" xr:uid="{B451BD37-4962-4CA3-8412-D003C5E517F3}"/>
    <cellStyle name="Percent 2 4" xfId="905" xr:uid="{5D82C2A7-6AF9-4AA1-B5EF-3BD5660EDB69}"/>
    <cellStyle name="Percent 2 5" xfId="1609" xr:uid="{91E33773-893B-49B3-8C1F-5D199F85C171}"/>
    <cellStyle name="Percent 2 6" xfId="1643" xr:uid="{D4DC5F6A-FB31-4D49-8004-EF2FD080B7DB}"/>
    <cellStyle name="Percent 3" xfId="727" xr:uid="{C6A171AE-1824-4126-BD9F-A6792E80F4ED}"/>
    <cellStyle name="Percent 3 14" xfId="964" xr:uid="{A48CD412-51E6-4CDD-B85A-3122C20AFA32}"/>
    <cellStyle name="Percent 3 2" xfId="728" xr:uid="{09CC123F-568C-491C-BC8A-26B1E39A0E2E}"/>
    <cellStyle name="Percent 3 3" xfId="953" xr:uid="{E54161FE-FDCC-4557-A056-F13D0859819B}"/>
    <cellStyle name="Percent 4" xfId="784" xr:uid="{E19BC79C-68CC-4B5C-BBD8-DA446F74876A}"/>
    <cellStyle name="Percent 4 2" xfId="1586" xr:uid="{823414F1-4C18-4FCF-BBDC-98C20992BAEB}"/>
    <cellStyle name="Percent 5" xfId="891" xr:uid="{09659A3D-CA2B-4477-9DA0-A53CDBD918C1}"/>
    <cellStyle name="Percent 6" xfId="1582" xr:uid="{DA647E34-26E1-4342-B38B-AFCF0726E3F1}"/>
    <cellStyle name="Percent 6 2" xfId="2254" xr:uid="{1658B447-BFE3-4717-B941-7E10A7639818}"/>
    <cellStyle name="Standard 2" xfId="859" xr:uid="{257087F4-B59F-4C91-AC4B-733712B4A309}"/>
    <cellStyle name="Style 1" xfId="729" xr:uid="{C49EEB9E-54ED-4C66-B101-A18107A7E856}"/>
    <cellStyle name="Style 1 2" xfId="730" xr:uid="{04CFF0D9-8C15-4340-8624-7820BE46A72A}"/>
    <cellStyle name="Style 1 2 2" xfId="731" xr:uid="{A6BB8FFD-7CA1-4331-803D-B23D01969D03}"/>
    <cellStyle name="Style 1 2 3" xfId="732" xr:uid="{E55B7ED8-7788-422F-859A-0C660846EB61}"/>
    <cellStyle name="Style 1 3" xfId="733" xr:uid="{88CFDAD0-68A8-4BF6-B285-F652E572963F}"/>
    <cellStyle name="Style 1 4" xfId="734" xr:uid="{46C5C9D6-56C8-4C2B-A4FE-7A8C18B94B3B}"/>
    <cellStyle name="Style 1 4 2" xfId="735" xr:uid="{8096AB78-A216-44AA-9CE5-160A3F421D07}"/>
    <cellStyle name="Style 1 4 3" xfId="736" xr:uid="{AAC8C2FF-9A7F-4C35-9278-506B84166F4F}"/>
    <cellStyle name="Style 1 4 4" xfId="737" xr:uid="{B7D6AC90-D856-4C63-954A-0CCD7C394E23}"/>
    <cellStyle name="Style 1 5" xfId="738" xr:uid="{EF62A4D3-7614-4697-9488-C3793A6F6258}"/>
    <cellStyle name="Style 1 5 2" xfId="739" xr:uid="{1CDEF129-A3E3-4EF2-8CD3-B103898D2A9E}"/>
    <cellStyle name="Style 1 5 3" xfId="740" xr:uid="{22A40413-A734-4F56-9FC2-9802ABAE912A}"/>
    <cellStyle name="Title" xfId="2" builtinId="15" customBuiltin="1"/>
    <cellStyle name="Title 2" xfId="741" xr:uid="{4785602F-EFBB-4AC0-982A-AA84A6FA4499}"/>
    <cellStyle name="Title 2 2" xfId="1021" xr:uid="{7E1E13FB-A696-441D-B734-5E5108FF7F71}"/>
    <cellStyle name="Title 3" xfId="742" xr:uid="{644736B6-58EA-4BAA-AD0C-9DC4412F62D3}"/>
    <cellStyle name="Title 4" xfId="753" xr:uid="{FAACFAEA-0D95-4208-B42D-8FCC60132659}"/>
    <cellStyle name="Title 5" xfId="181" xr:uid="{7A22EB37-8CC3-4217-A402-1F3E740B858E}"/>
    <cellStyle name="Total" xfId="17" builtinId="25" customBuiltin="1"/>
    <cellStyle name="Total 2" xfId="743" xr:uid="{A73968FB-42AA-4CF8-95C9-676B5A094A68}"/>
    <cellStyle name="Total 2 2" xfId="1026" xr:uid="{9B98EF0E-B1DE-43BE-A9AE-E941CCEEC7CF}"/>
    <cellStyle name="Total 3" xfId="744" xr:uid="{E4133A4A-1DA7-4583-AB7C-DFB8AF510164}"/>
    <cellStyle name="Total 4" xfId="58" xr:uid="{DE4B6920-34B5-49B9-AC33-2FE33888A1FA}"/>
    <cellStyle name="Warning Text" xfId="15" builtinId="11" customBuiltin="1"/>
    <cellStyle name="Warning Text 2" xfId="745" xr:uid="{0DB21AA9-2850-471A-8942-D79ACA158F94}"/>
    <cellStyle name="Warning Text 2 2" xfId="1025" xr:uid="{1EA645E4-BC98-455A-8F20-AB435249E8C6}"/>
    <cellStyle name="Warning Text 3" xfId="746" xr:uid="{451C7234-90E7-4F72-8D94-FF45C3B8D921}"/>
    <cellStyle name="Warning Text 4" xfId="56" xr:uid="{23A1577C-4963-4A01-A8D2-BB69682E5CF2}"/>
    <cellStyle name="WorkingF" xfId="907" xr:uid="{01B7AE96-47B2-4D9B-9595-5AA21B911FB1}"/>
    <cellStyle name="WorkingF 2" xfId="1645" xr:uid="{732348A3-7D05-403B-BC6F-E28FCCE219D3}"/>
    <cellStyle name="標準 2" xfId="960" xr:uid="{096CDA9E-CE11-4EA0-8596-7E12F7953C3A}"/>
    <cellStyle name="標準 30 3" xfId="949" xr:uid="{8EB57A38-03B9-42D8-A0BE-0FD68B0E70C5}"/>
    <cellStyle name="標準 81" xfId="1585" xr:uid="{6FDCBB65-5910-4E67-9B44-34A7606F43B3}"/>
    <cellStyle name="標準_新付表28イメージ" xfId="950" xr:uid="{EB09BB0F-9537-479C-A18E-BD9090AB701E}"/>
  </cellStyles>
  <dxfs count="2">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A9D18E"/>
      <color rgb="FFFFE699"/>
      <color rgb="FFDBE6F5"/>
      <color rgb="FFECF2FA"/>
      <color rgb="FFDC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Average tariffs'!A1"/><Relationship Id="rId13" Type="http://schemas.openxmlformats.org/officeDocument/2006/relationships/hyperlink" Target="#'Distributional Weights'!A1"/><Relationship Id="rId18" Type="http://schemas.openxmlformats.org/officeDocument/2006/relationships/hyperlink" Target="#'Gross Credit Balances'!A1"/><Relationship Id="rId3" Type="http://schemas.openxmlformats.org/officeDocument/2006/relationships/hyperlink" Target="#'Historical Hedging'!A1"/><Relationship Id="rId21" Type="http://schemas.openxmlformats.org/officeDocument/2006/relationships/hyperlink" Target="#'Customer Groups'!A1"/><Relationship Id="rId7" Type="http://schemas.openxmlformats.org/officeDocument/2006/relationships/hyperlink" Target="#'Price cap Scalar'!A1"/><Relationship Id="rId12" Type="http://schemas.openxmlformats.org/officeDocument/2006/relationships/hyperlink" Target="#'Default Rates'!A1"/><Relationship Id="rId17" Type="http://schemas.openxmlformats.org/officeDocument/2006/relationships/hyperlink" Target="#'Total CBs'!A1"/><Relationship Id="rId2" Type="http://schemas.openxmlformats.org/officeDocument/2006/relationships/hyperlink" Target="#'Central Inputs'!A1"/><Relationship Id="rId16" Type="http://schemas.openxmlformats.org/officeDocument/2006/relationships/hyperlink" Target="#'SVT% Transition'!A1"/><Relationship Id="rId20" Type="http://schemas.openxmlformats.org/officeDocument/2006/relationships/hyperlink" Target="#'CBs Unbilled Proportion'!A1"/><Relationship Id="rId1" Type="http://schemas.openxmlformats.org/officeDocument/2006/relationships/hyperlink" Target="#'Price Cap Forecasts'!A1"/><Relationship Id="rId6" Type="http://schemas.openxmlformats.org/officeDocument/2006/relationships/hyperlink" Target="#'WACC Forecast'!A1"/><Relationship Id="rId11" Type="http://schemas.openxmlformats.org/officeDocument/2006/relationships/hyperlink" Target="#'Policy Requirements'!A1"/><Relationship Id="rId24" Type="http://schemas.openxmlformats.org/officeDocument/2006/relationships/hyperlink" Target="#CPIH!A1"/><Relationship Id="rId5" Type="http://schemas.openxmlformats.org/officeDocument/2006/relationships/hyperlink" Target="#'Administration Cost'!A1"/><Relationship Id="rId15" Type="http://schemas.openxmlformats.org/officeDocument/2006/relationships/hyperlink" Target="#'Credit Rating Analysis'!A1"/><Relationship Id="rId23" Type="http://schemas.openxmlformats.org/officeDocument/2006/relationships/hyperlink" Target="#'RO obligation rate'!A1"/><Relationship Id="rId10" Type="http://schemas.openxmlformats.org/officeDocument/2006/relationships/hyperlink" Target="#'Consolidated Model'!A1"/><Relationship Id="rId19" Type="http://schemas.openxmlformats.org/officeDocument/2006/relationships/hyperlink" Target="#'Customer Debit Balances'!A1"/><Relationship Id="rId4" Type="http://schemas.openxmlformats.org/officeDocument/2006/relationships/hyperlink" Target="#'Ofgem SOLR'!A1"/><Relationship Id="rId9" Type="http://schemas.openxmlformats.org/officeDocument/2006/relationships/hyperlink" Target="#'Benefits and NPV Tables'!A1"/><Relationship Id="rId14" Type="http://schemas.openxmlformats.org/officeDocument/2006/relationships/hyperlink" Target="#Failures!A1"/><Relationship Id="rId22" Type="http://schemas.openxmlformats.org/officeDocument/2006/relationships/hyperlink" Target="#'Distributional Weighting'!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1044575</xdr:colOff>
      <xdr:row>3</xdr:row>
      <xdr:rowOff>154584</xdr:rowOff>
    </xdr:to>
    <xdr:pic>
      <xdr:nvPicPr>
        <xdr:cNvPr id="4" name="Picture 1">
          <a:extLst>
            <a:ext uri="{FF2B5EF4-FFF2-40B4-BE49-F238E27FC236}">
              <a16:creationId xmlns:a16="http://schemas.microsoft.com/office/drawing/2014/main" id="{E0C9D031-4A8F-49A6-95E5-442518F1F1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68600" cy="72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5562600</xdr:colOff>
      <xdr:row>60</xdr:row>
      <xdr:rowOff>120650</xdr:rowOff>
    </xdr:from>
    <xdr:to>
      <xdr:col>5</xdr:col>
      <xdr:colOff>5466</xdr:colOff>
      <xdr:row>64</xdr:row>
      <xdr:rowOff>60080</xdr:rowOff>
    </xdr:to>
    <xdr:sp macro="" textlink="">
      <xdr:nvSpPr>
        <xdr:cNvPr id="114" name="Rectangle 21">
          <a:hlinkClick xmlns:r="http://schemas.openxmlformats.org/officeDocument/2006/relationships" r:id="rId1"/>
          <a:extLst>
            <a:ext uri="{FF2B5EF4-FFF2-40B4-BE49-F238E27FC236}">
              <a16:creationId xmlns:a16="http://schemas.microsoft.com/office/drawing/2014/main" id="{41730897-B5F2-4C59-B270-042AC9DF19AE}"/>
            </a:ext>
          </a:extLst>
        </xdr:cNvPr>
        <xdr:cNvSpPr/>
      </xdr:nvSpPr>
      <xdr:spPr>
        <a:xfrm>
          <a:off x="9766300" y="10013950"/>
          <a:ext cx="4291716" cy="625230"/>
        </a:xfrm>
        <a:prstGeom prst="rect">
          <a:avLst/>
        </a:prstGeom>
        <a:solidFill>
          <a:schemeClr val="accent5">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Price Cap Forecasts</a:t>
          </a:r>
        </a:p>
      </xdr:txBody>
    </xdr:sp>
    <xdr:clientData/>
  </xdr:twoCellAnchor>
  <xdr:twoCellAnchor>
    <xdr:from>
      <xdr:col>4</xdr:col>
      <xdr:colOff>1101346</xdr:colOff>
      <xdr:row>64</xdr:row>
      <xdr:rowOff>144895</xdr:rowOff>
    </xdr:from>
    <xdr:to>
      <xdr:col>4</xdr:col>
      <xdr:colOff>1300019</xdr:colOff>
      <xdr:row>66</xdr:row>
      <xdr:rowOff>73946</xdr:rowOff>
    </xdr:to>
    <xdr:sp macro="" textlink="">
      <xdr:nvSpPr>
        <xdr:cNvPr id="121" name="Left Arrow 28">
          <a:extLst>
            <a:ext uri="{FF2B5EF4-FFF2-40B4-BE49-F238E27FC236}">
              <a16:creationId xmlns:a16="http://schemas.microsoft.com/office/drawing/2014/main" id="{8E48BA8E-47D3-48FF-BAA8-35EBF8AA889C}"/>
            </a:ext>
          </a:extLst>
        </xdr:cNvPr>
        <xdr:cNvSpPr/>
      </xdr:nvSpPr>
      <xdr:spPr>
        <a:xfrm rot="16200000">
          <a:off x="11764457" y="10760634"/>
          <a:ext cx="271951" cy="198673"/>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952501</xdr:colOff>
      <xdr:row>41</xdr:row>
      <xdr:rowOff>83850</xdr:rowOff>
    </xdr:from>
    <xdr:to>
      <xdr:col>3</xdr:col>
      <xdr:colOff>1971099</xdr:colOff>
      <xdr:row>43</xdr:row>
      <xdr:rowOff>69272</xdr:rowOff>
    </xdr:to>
    <xdr:sp macro="" textlink="">
      <xdr:nvSpPr>
        <xdr:cNvPr id="3" name="Left Arrow 28">
          <a:extLst>
            <a:ext uri="{FF2B5EF4-FFF2-40B4-BE49-F238E27FC236}">
              <a16:creationId xmlns:a16="http://schemas.microsoft.com/office/drawing/2014/main" id="{73653117-111A-4C9F-8E25-276248D7404F}"/>
            </a:ext>
          </a:extLst>
        </xdr:cNvPr>
        <xdr:cNvSpPr/>
      </xdr:nvSpPr>
      <xdr:spPr>
        <a:xfrm>
          <a:off x="5160819" y="8569759"/>
          <a:ext cx="1018598" cy="33178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702830</xdr:colOff>
      <xdr:row>35</xdr:row>
      <xdr:rowOff>55129</xdr:rowOff>
    </xdr:from>
    <xdr:to>
      <xdr:col>3</xdr:col>
      <xdr:colOff>900546</xdr:colOff>
      <xdr:row>81</xdr:row>
      <xdr:rowOff>83415</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268E48D6-0B0C-4236-A49E-76EC8EBE42E1}"/>
            </a:ext>
          </a:extLst>
        </xdr:cNvPr>
        <xdr:cNvSpPr/>
      </xdr:nvSpPr>
      <xdr:spPr>
        <a:xfrm>
          <a:off x="3369830" y="7501947"/>
          <a:ext cx="1739034" cy="7994650"/>
        </a:xfrm>
        <a:prstGeom prst="rect">
          <a:avLst/>
        </a:prstGeom>
        <a:solidFill>
          <a:srgbClr val="A9D18E"/>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Central</a:t>
          </a:r>
          <a:r>
            <a:rPr lang="en-GB" sz="1000" baseline="0">
              <a:latin typeface="Verdana" panose="020B0604030504040204" pitchFamily="34" charset="0"/>
              <a:ea typeface="Verdana" panose="020B0604030504040204" pitchFamily="34" charset="0"/>
              <a:cs typeface="Verdana" panose="020B0604030504040204" pitchFamily="34" charset="0"/>
            </a:rPr>
            <a:t> Inputs</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2069228</xdr:colOff>
      <xdr:row>20</xdr:row>
      <xdr:rowOff>110548</xdr:rowOff>
    </xdr:from>
    <xdr:to>
      <xdr:col>3</xdr:col>
      <xdr:colOff>3822700</xdr:colOff>
      <xdr:row>28</xdr:row>
      <xdr:rowOff>82261</xdr:rowOff>
    </xdr:to>
    <xdr:sp macro="" textlink="">
      <xdr:nvSpPr>
        <xdr:cNvPr id="320" name="Rectangle 14">
          <a:hlinkClick xmlns:r="http://schemas.openxmlformats.org/officeDocument/2006/relationships" r:id="rId3"/>
          <a:extLst>
            <a:ext uri="{FF2B5EF4-FFF2-40B4-BE49-F238E27FC236}">
              <a16:creationId xmlns:a16="http://schemas.microsoft.com/office/drawing/2014/main" id="{9BF76D01-AE6E-4358-826F-41ADB23D1B3A}"/>
            </a:ext>
          </a:extLst>
        </xdr:cNvPr>
        <xdr:cNvSpPr/>
      </xdr:nvSpPr>
      <xdr:spPr>
        <a:xfrm>
          <a:off x="6285628" y="3158548"/>
          <a:ext cx="1753472" cy="1394113"/>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chemeClr val="bg1"/>
              </a:solidFill>
              <a:latin typeface="Verdana" panose="020B0604030504040204" pitchFamily="34" charset="0"/>
              <a:ea typeface="Verdana" panose="020B0604030504040204" pitchFamily="34" charset="0"/>
              <a:cs typeface="Verdana" panose="020B0604030504040204" pitchFamily="34" charset="0"/>
            </a:rPr>
            <a:t>Historical hedging</a:t>
          </a:r>
        </a:p>
      </xdr:txBody>
    </xdr:sp>
    <xdr:clientData/>
  </xdr:twoCellAnchor>
  <xdr:twoCellAnchor>
    <xdr:from>
      <xdr:col>7</xdr:col>
      <xdr:colOff>505704</xdr:colOff>
      <xdr:row>22</xdr:row>
      <xdr:rowOff>131193</xdr:rowOff>
    </xdr:from>
    <xdr:to>
      <xdr:col>10</xdr:col>
      <xdr:colOff>59748</xdr:colOff>
      <xdr:row>25</xdr:row>
      <xdr:rowOff>110259</xdr:rowOff>
    </xdr:to>
    <xdr:sp macro="" textlink="">
      <xdr:nvSpPr>
        <xdr:cNvPr id="347" name="Rectangle 15">
          <a:hlinkClick xmlns:r="http://schemas.openxmlformats.org/officeDocument/2006/relationships" r:id="rId4"/>
          <a:extLst>
            <a:ext uri="{FF2B5EF4-FFF2-40B4-BE49-F238E27FC236}">
              <a16:creationId xmlns:a16="http://schemas.microsoft.com/office/drawing/2014/main" id="{7FF902B2-882E-457D-9E15-D643405B6284}"/>
            </a:ext>
          </a:extLst>
        </xdr:cNvPr>
        <xdr:cNvSpPr/>
      </xdr:nvSpPr>
      <xdr:spPr>
        <a:xfrm>
          <a:off x="16075904" y="3534793"/>
          <a:ext cx="1801944" cy="512466"/>
        </a:xfrm>
        <a:prstGeom prst="rect">
          <a:avLst/>
        </a:prstGeom>
        <a:solidFill>
          <a:schemeClr val="accent4">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Ofgem SOLR</a:t>
          </a:r>
        </a:p>
      </xdr:txBody>
    </xdr:sp>
    <xdr:clientData/>
  </xdr:twoCellAnchor>
  <xdr:twoCellAnchor>
    <xdr:from>
      <xdr:col>3</xdr:col>
      <xdr:colOff>2053352</xdr:colOff>
      <xdr:row>30</xdr:row>
      <xdr:rowOff>349115</xdr:rowOff>
    </xdr:from>
    <xdr:to>
      <xdr:col>3</xdr:col>
      <xdr:colOff>3823277</xdr:colOff>
      <xdr:row>33</xdr:row>
      <xdr:rowOff>159037</xdr:rowOff>
    </xdr:to>
    <xdr:sp macro="" textlink="">
      <xdr:nvSpPr>
        <xdr:cNvPr id="127" name="Rectangle 16">
          <a:hlinkClick xmlns:r="http://schemas.openxmlformats.org/officeDocument/2006/relationships" r:id="rId5"/>
          <a:extLst>
            <a:ext uri="{FF2B5EF4-FFF2-40B4-BE49-F238E27FC236}">
              <a16:creationId xmlns:a16="http://schemas.microsoft.com/office/drawing/2014/main" id="{D98F6D38-5F7A-4C3B-A09E-28353E11F84B}"/>
            </a:ext>
          </a:extLst>
        </xdr:cNvPr>
        <xdr:cNvSpPr/>
      </xdr:nvSpPr>
      <xdr:spPr>
        <a:xfrm>
          <a:off x="6261670" y="6739524"/>
          <a:ext cx="1769925" cy="519968"/>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chemeClr val="bg1"/>
              </a:solidFill>
              <a:latin typeface="Verdana" panose="020B0604030504040204" pitchFamily="34" charset="0"/>
              <a:ea typeface="Verdana" panose="020B0604030504040204" pitchFamily="34" charset="0"/>
              <a:cs typeface="Verdana" panose="020B0604030504040204" pitchFamily="34" charset="0"/>
            </a:rPr>
            <a:t>Administration cost</a:t>
          </a:r>
        </a:p>
      </xdr:txBody>
    </xdr:sp>
    <xdr:clientData/>
  </xdr:twoCellAnchor>
  <xdr:twoCellAnchor>
    <xdr:from>
      <xdr:col>3</xdr:col>
      <xdr:colOff>2059702</xdr:colOff>
      <xdr:row>36</xdr:row>
      <xdr:rowOff>121957</xdr:rowOff>
    </xdr:from>
    <xdr:to>
      <xdr:col>3</xdr:col>
      <xdr:colOff>3861955</xdr:colOff>
      <xdr:row>39</xdr:row>
      <xdr:rowOff>170007</xdr:rowOff>
    </xdr:to>
    <xdr:sp macro="" textlink="">
      <xdr:nvSpPr>
        <xdr:cNvPr id="126" name="Rectangle 20">
          <a:hlinkClick xmlns:r="http://schemas.openxmlformats.org/officeDocument/2006/relationships" r:id="rId6"/>
          <a:extLst>
            <a:ext uri="{FF2B5EF4-FFF2-40B4-BE49-F238E27FC236}">
              <a16:creationId xmlns:a16="http://schemas.microsoft.com/office/drawing/2014/main" id="{353E0A72-4931-40A3-90F7-272C71A3E2D1}"/>
            </a:ext>
          </a:extLst>
        </xdr:cNvPr>
        <xdr:cNvSpPr/>
      </xdr:nvSpPr>
      <xdr:spPr>
        <a:xfrm>
          <a:off x="6268020" y="7741957"/>
          <a:ext cx="1802253" cy="567595"/>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chemeClr val="bg1"/>
              </a:solidFill>
              <a:latin typeface="Verdana" panose="020B0604030504040204" pitchFamily="34" charset="0"/>
              <a:ea typeface="Verdana" panose="020B0604030504040204" pitchFamily="34" charset="0"/>
              <a:cs typeface="Verdana" panose="020B0604030504040204" pitchFamily="34" charset="0"/>
            </a:rPr>
            <a:t>WACC Forecast</a:t>
          </a:r>
        </a:p>
      </xdr:txBody>
    </xdr:sp>
    <xdr:clientData/>
  </xdr:twoCellAnchor>
  <xdr:twoCellAnchor>
    <xdr:from>
      <xdr:col>3</xdr:col>
      <xdr:colOff>5617293</xdr:colOff>
      <xdr:row>66</xdr:row>
      <xdr:rowOff>135813</xdr:rowOff>
    </xdr:from>
    <xdr:to>
      <xdr:col>5</xdr:col>
      <xdr:colOff>60159</xdr:colOff>
      <xdr:row>70</xdr:row>
      <xdr:rowOff>75243</xdr:rowOff>
    </xdr:to>
    <xdr:sp macro="" textlink="">
      <xdr:nvSpPr>
        <xdr:cNvPr id="16" name="Rectangle 21">
          <a:hlinkClick xmlns:r="http://schemas.openxmlformats.org/officeDocument/2006/relationships" r:id="rId7"/>
          <a:extLst>
            <a:ext uri="{FF2B5EF4-FFF2-40B4-BE49-F238E27FC236}">
              <a16:creationId xmlns:a16="http://schemas.microsoft.com/office/drawing/2014/main" id="{3CDC7B6D-A316-4DD4-B749-4DB1AD8684EB}"/>
            </a:ext>
          </a:extLst>
        </xdr:cNvPr>
        <xdr:cNvSpPr/>
      </xdr:nvSpPr>
      <xdr:spPr>
        <a:xfrm>
          <a:off x="9817364" y="11230170"/>
          <a:ext cx="4294438" cy="628859"/>
        </a:xfrm>
        <a:prstGeom prst="rect">
          <a:avLst/>
        </a:prstGeom>
        <a:solidFill>
          <a:schemeClr val="accent5">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Price Cap Scalar</a:t>
          </a:r>
        </a:p>
      </xdr:txBody>
    </xdr:sp>
    <xdr:clientData/>
  </xdr:twoCellAnchor>
  <xdr:twoCellAnchor>
    <xdr:from>
      <xdr:col>3</xdr:col>
      <xdr:colOff>5612190</xdr:colOff>
      <xdr:row>72</xdr:row>
      <xdr:rowOff>105797</xdr:rowOff>
    </xdr:from>
    <xdr:to>
      <xdr:col>5</xdr:col>
      <xdr:colOff>59168</xdr:colOff>
      <xdr:row>76</xdr:row>
      <xdr:rowOff>75623</xdr:rowOff>
    </xdr:to>
    <xdr:sp macro="" textlink="">
      <xdr:nvSpPr>
        <xdr:cNvPr id="24" name="Rectangle 23">
          <a:hlinkClick xmlns:r="http://schemas.openxmlformats.org/officeDocument/2006/relationships" r:id="rId8"/>
          <a:extLst>
            <a:ext uri="{FF2B5EF4-FFF2-40B4-BE49-F238E27FC236}">
              <a16:creationId xmlns:a16="http://schemas.microsoft.com/office/drawing/2014/main" id="{7514539C-AC3C-40B8-92EE-0641CF4D8190}"/>
            </a:ext>
          </a:extLst>
        </xdr:cNvPr>
        <xdr:cNvSpPr/>
      </xdr:nvSpPr>
      <xdr:spPr>
        <a:xfrm>
          <a:off x="9820508" y="13960342"/>
          <a:ext cx="1685978" cy="662554"/>
        </a:xfrm>
        <a:prstGeom prst="rect">
          <a:avLst/>
        </a:prstGeom>
        <a:solidFill>
          <a:schemeClr val="accent5">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Average Tariffs</a:t>
          </a:r>
        </a:p>
      </xdr:txBody>
    </xdr:sp>
    <xdr:clientData/>
  </xdr:twoCellAnchor>
  <xdr:twoCellAnchor>
    <xdr:from>
      <xdr:col>0</xdr:col>
      <xdr:colOff>239714</xdr:colOff>
      <xdr:row>99</xdr:row>
      <xdr:rowOff>38101</xdr:rowOff>
    </xdr:from>
    <xdr:to>
      <xdr:col>1</xdr:col>
      <xdr:colOff>1454727</xdr:colOff>
      <xdr:row>104</xdr:row>
      <xdr:rowOff>19051</xdr:rowOff>
    </xdr:to>
    <xdr:sp macro="" textlink="">
      <xdr:nvSpPr>
        <xdr:cNvPr id="323" name="Rectangle 24">
          <a:hlinkClick xmlns:r="http://schemas.openxmlformats.org/officeDocument/2006/relationships" r:id="rId9"/>
          <a:extLst>
            <a:ext uri="{FF2B5EF4-FFF2-40B4-BE49-F238E27FC236}">
              <a16:creationId xmlns:a16="http://schemas.microsoft.com/office/drawing/2014/main" id="{38B92B3E-9350-4661-AB9F-2F453BC70C05}"/>
            </a:ext>
          </a:extLst>
        </xdr:cNvPr>
        <xdr:cNvSpPr/>
      </xdr:nvSpPr>
      <xdr:spPr>
        <a:xfrm>
          <a:off x="239714" y="16735426"/>
          <a:ext cx="1957963" cy="838200"/>
        </a:xfrm>
        <a:prstGeom prst="rect">
          <a:avLst/>
        </a:prstGeom>
        <a:solidFill>
          <a:srgbClr val="7030A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1">
              <a:latin typeface="Verdana" panose="020B0604030504040204" pitchFamily="34" charset="0"/>
              <a:ea typeface="Verdana" panose="020B0604030504040204" pitchFamily="34" charset="0"/>
              <a:cs typeface="Verdana" panose="020B0604030504040204" pitchFamily="34" charset="0"/>
            </a:rPr>
            <a:t>Benefits and NPV</a:t>
          </a:r>
          <a:r>
            <a:rPr lang="en-GB" sz="1000" b="1" baseline="0">
              <a:latin typeface="Verdana" panose="020B0604030504040204" pitchFamily="34" charset="0"/>
              <a:ea typeface="Verdana" panose="020B0604030504040204" pitchFamily="34" charset="0"/>
              <a:cs typeface="Verdana" panose="020B0604030504040204" pitchFamily="34" charset="0"/>
            </a:rPr>
            <a:t> Tables</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229037</xdr:colOff>
      <xdr:row>93</xdr:row>
      <xdr:rowOff>10972</xdr:rowOff>
    </xdr:from>
    <xdr:to>
      <xdr:col>1</xdr:col>
      <xdr:colOff>664443</xdr:colOff>
      <xdr:row>97</xdr:row>
      <xdr:rowOff>28292</xdr:rowOff>
    </xdr:to>
    <xdr:sp macro="" textlink="">
      <xdr:nvSpPr>
        <xdr:cNvPr id="26" name="Left Arrow 31">
          <a:extLst>
            <a:ext uri="{FF2B5EF4-FFF2-40B4-BE49-F238E27FC236}">
              <a16:creationId xmlns:a16="http://schemas.microsoft.com/office/drawing/2014/main" id="{786673D2-7B13-4D6F-AD6C-B76587E8EBC5}"/>
            </a:ext>
          </a:extLst>
        </xdr:cNvPr>
        <xdr:cNvSpPr/>
      </xdr:nvSpPr>
      <xdr:spPr>
        <a:xfrm rot="16200000">
          <a:off x="836398" y="17639657"/>
          <a:ext cx="710047" cy="43540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292099</xdr:colOff>
      <xdr:row>17</xdr:row>
      <xdr:rowOff>19051</xdr:rowOff>
    </xdr:from>
    <xdr:to>
      <xdr:col>1</xdr:col>
      <xdr:colOff>1437408</xdr:colOff>
      <xdr:row>91</xdr:row>
      <xdr:rowOff>0</xdr:rowOff>
    </xdr:to>
    <xdr:sp macro="" textlink="">
      <xdr:nvSpPr>
        <xdr:cNvPr id="30" name="Rectangle 29">
          <a:hlinkClick xmlns:r="http://schemas.openxmlformats.org/officeDocument/2006/relationships" r:id="rId10"/>
          <a:extLst>
            <a:ext uri="{FF2B5EF4-FFF2-40B4-BE49-F238E27FC236}">
              <a16:creationId xmlns:a16="http://schemas.microsoft.com/office/drawing/2014/main" id="{E55DBAA5-2BB1-42D8-92E5-80978373DE74}"/>
            </a:ext>
          </a:extLst>
        </xdr:cNvPr>
        <xdr:cNvSpPr/>
      </xdr:nvSpPr>
      <xdr:spPr>
        <a:xfrm>
          <a:off x="292099" y="4158096"/>
          <a:ext cx="1889991" cy="12986904"/>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Consolidated</a:t>
          </a:r>
          <a:r>
            <a:rPr lang="en-GB" sz="1000" baseline="0">
              <a:latin typeface="Verdana" panose="020B0604030504040204" pitchFamily="34" charset="0"/>
              <a:ea typeface="Verdana" panose="020B0604030504040204" pitchFamily="34" charset="0"/>
              <a:cs typeface="Verdana" panose="020B0604030504040204" pitchFamily="34" charset="0"/>
            </a:rPr>
            <a:t> Model</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812797</xdr:colOff>
      <xdr:row>84</xdr:row>
      <xdr:rowOff>124403</xdr:rowOff>
    </xdr:from>
    <xdr:to>
      <xdr:col>3</xdr:col>
      <xdr:colOff>900546</xdr:colOff>
      <xdr:row>90</xdr:row>
      <xdr:rowOff>170585</xdr:rowOff>
    </xdr:to>
    <xdr:sp macro="" textlink="">
      <xdr:nvSpPr>
        <xdr:cNvPr id="31" name="Rectangle 30">
          <a:hlinkClick xmlns:r="http://schemas.openxmlformats.org/officeDocument/2006/relationships" r:id="rId11"/>
          <a:extLst>
            <a:ext uri="{FF2B5EF4-FFF2-40B4-BE49-F238E27FC236}">
              <a16:creationId xmlns:a16="http://schemas.microsoft.com/office/drawing/2014/main" id="{DA27BB71-F109-4012-A1A2-109EB021A4D1}"/>
            </a:ext>
          </a:extLst>
        </xdr:cNvPr>
        <xdr:cNvSpPr/>
      </xdr:nvSpPr>
      <xdr:spPr>
        <a:xfrm>
          <a:off x="3479797" y="16057130"/>
          <a:ext cx="1629067" cy="1085273"/>
        </a:xfrm>
        <a:prstGeom prst="rect">
          <a:avLst/>
        </a:prstGeom>
        <a:solidFill>
          <a:srgbClr val="A9D18E"/>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latin typeface="Verdana" panose="020B0604030504040204" pitchFamily="34" charset="0"/>
              <a:ea typeface="Verdana" panose="020B0604030504040204" pitchFamily="34" charset="0"/>
              <a:cs typeface="Verdana" panose="020B0604030504040204" pitchFamily="34" charset="0"/>
            </a:rPr>
            <a:t>Policy Requirements</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5533736</xdr:colOff>
      <xdr:row>17</xdr:row>
      <xdr:rowOff>152979</xdr:rowOff>
    </xdr:from>
    <xdr:to>
      <xdr:col>5</xdr:col>
      <xdr:colOff>86591</xdr:colOff>
      <xdr:row>22</xdr:row>
      <xdr:rowOff>115743</xdr:rowOff>
    </xdr:to>
    <xdr:sp macro="" textlink="">
      <xdr:nvSpPr>
        <xdr:cNvPr id="344" name="Rectangle 31">
          <a:hlinkClick xmlns:r="http://schemas.openxmlformats.org/officeDocument/2006/relationships" r:id="rId12"/>
          <a:extLst>
            <a:ext uri="{FF2B5EF4-FFF2-40B4-BE49-F238E27FC236}">
              <a16:creationId xmlns:a16="http://schemas.microsoft.com/office/drawing/2014/main" id="{AC57396B-87CE-4D92-820A-4E916390D2F8}"/>
            </a:ext>
          </a:extLst>
        </xdr:cNvPr>
        <xdr:cNvSpPr/>
      </xdr:nvSpPr>
      <xdr:spPr>
        <a:xfrm>
          <a:off x="9750136" y="2667579"/>
          <a:ext cx="4408055" cy="851764"/>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Rates </a:t>
          </a:r>
        </a:p>
      </xdr:txBody>
    </xdr:sp>
    <xdr:clientData/>
  </xdr:twoCellAnchor>
  <xdr:twoCellAnchor>
    <xdr:from>
      <xdr:col>7</xdr:col>
      <xdr:colOff>313795</xdr:colOff>
      <xdr:row>99</xdr:row>
      <xdr:rowOff>136072</xdr:rowOff>
    </xdr:from>
    <xdr:to>
      <xdr:col>9</xdr:col>
      <xdr:colOff>609600</xdr:colOff>
      <xdr:row>103</xdr:row>
      <xdr:rowOff>76200</xdr:rowOff>
    </xdr:to>
    <xdr:sp macro="" textlink="">
      <xdr:nvSpPr>
        <xdr:cNvPr id="325" name="Rectangle 36">
          <a:hlinkClick xmlns:r="http://schemas.openxmlformats.org/officeDocument/2006/relationships" r:id="rId13"/>
          <a:extLst>
            <a:ext uri="{FF2B5EF4-FFF2-40B4-BE49-F238E27FC236}">
              <a16:creationId xmlns:a16="http://schemas.microsoft.com/office/drawing/2014/main" id="{4A951DE2-8595-44A5-B0CE-BB8E2E002BC2}"/>
            </a:ext>
          </a:extLst>
        </xdr:cNvPr>
        <xdr:cNvSpPr/>
      </xdr:nvSpPr>
      <xdr:spPr>
        <a:xfrm>
          <a:off x="15858595" y="17408072"/>
          <a:ext cx="1769005" cy="651328"/>
        </a:xfrm>
        <a:prstGeom prst="rect">
          <a:avLst/>
        </a:prstGeom>
        <a:solidFill>
          <a:schemeClr val="accent4">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Distributional weights</a:t>
          </a:r>
        </a:p>
      </xdr:txBody>
    </xdr:sp>
    <xdr:clientData/>
  </xdr:twoCellAnchor>
  <xdr:twoCellAnchor>
    <xdr:from>
      <xdr:col>3</xdr:col>
      <xdr:colOff>5493615</xdr:colOff>
      <xdr:row>25</xdr:row>
      <xdr:rowOff>48065</xdr:rowOff>
    </xdr:from>
    <xdr:to>
      <xdr:col>5</xdr:col>
      <xdr:colOff>48490</xdr:colOff>
      <xdr:row>30</xdr:row>
      <xdr:rowOff>152400</xdr:rowOff>
    </xdr:to>
    <xdr:sp macro="" textlink="">
      <xdr:nvSpPr>
        <xdr:cNvPr id="357" name="Rectangle 37">
          <a:hlinkClick xmlns:r="http://schemas.openxmlformats.org/officeDocument/2006/relationships" r:id="rId14"/>
          <a:extLst>
            <a:ext uri="{FF2B5EF4-FFF2-40B4-BE49-F238E27FC236}">
              <a16:creationId xmlns:a16="http://schemas.microsoft.com/office/drawing/2014/main" id="{74B1F583-C569-480B-ABF2-B9859ACCDA7E}"/>
            </a:ext>
          </a:extLst>
        </xdr:cNvPr>
        <xdr:cNvSpPr/>
      </xdr:nvSpPr>
      <xdr:spPr>
        <a:xfrm>
          <a:off x="9710015" y="3985065"/>
          <a:ext cx="4410075" cy="993335"/>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Failures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1572779</xdr:colOff>
      <xdr:row>18</xdr:row>
      <xdr:rowOff>80528</xdr:rowOff>
    </xdr:from>
    <xdr:to>
      <xdr:col>3</xdr:col>
      <xdr:colOff>5368637</xdr:colOff>
      <xdr:row>20</xdr:row>
      <xdr:rowOff>38100</xdr:rowOff>
    </xdr:to>
    <xdr:sp macro="" textlink="">
      <xdr:nvSpPr>
        <xdr:cNvPr id="359" name="Left Arrow 6">
          <a:extLst>
            <a:ext uri="{FF2B5EF4-FFF2-40B4-BE49-F238E27FC236}">
              <a16:creationId xmlns:a16="http://schemas.microsoft.com/office/drawing/2014/main" id="{67055550-72BB-4526-87E4-CEFC7D1DEFAB}"/>
            </a:ext>
          </a:extLst>
        </xdr:cNvPr>
        <xdr:cNvSpPr/>
      </xdr:nvSpPr>
      <xdr:spPr>
        <a:xfrm>
          <a:off x="2322079" y="2772928"/>
          <a:ext cx="7262958" cy="31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1986967</xdr:colOff>
      <xdr:row>81</xdr:row>
      <xdr:rowOff>106373</xdr:rowOff>
    </xdr:from>
    <xdr:to>
      <xdr:col>3</xdr:col>
      <xdr:colOff>3743904</xdr:colOff>
      <xdr:row>91</xdr:row>
      <xdr:rowOff>141720</xdr:rowOff>
    </xdr:to>
    <xdr:sp macro="" textlink="">
      <xdr:nvSpPr>
        <xdr:cNvPr id="122" name="Rectangle 39">
          <a:hlinkClick xmlns:r="http://schemas.openxmlformats.org/officeDocument/2006/relationships" r:id="rId15"/>
          <a:extLst>
            <a:ext uri="{FF2B5EF4-FFF2-40B4-BE49-F238E27FC236}">
              <a16:creationId xmlns:a16="http://schemas.microsoft.com/office/drawing/2014/main" id="{6D94B8D7-7CEB-40B2-85CE-7374D16AE71D}"/>
            </a:ext>
          </a:extLst>
        </xdr:cNvPr>
        <xdr:cNvSpPr/>
      </xdr:nvSpPr>
      <xdr:spPr>
        <a:xfrm>
          <a:off x="6195285" y="15519555"/>
          <a:ext cx="1756937" cy="1767165"/>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chemeClr val="bg1"/>
              </a:solidFill>
              <a:latin typeface="Verdana" panose="020B0604030504040204" pitchFamily="34" charset="0"/>
              <a:ea typeface="Verdana" panose="020B0604030504040204" pitchFamily="34" charset="0"/>
              <a:cs typeface="Verdana" panose="020B0604030504040204" pitchFamily="34" charset="0"/>
            </a:rPr>
            <a:t>Credit rating analysis</a:t>
          </a:r>
        </a:p>
      </xdr:txBody>
    </xdr:sp>
    <xdr:clientData/>
  </xdr:twoCellAnchor>
  <xdr:twoCellAnchor>
    <xdr:from>
      <xdr:col>1</xdr:col>
      <xdr:colOff>1503507</xdr:colOff>
      <xdr:row>23</xdr:row>
      <xdr:rowOff>55418</xdr:rowOff>
    </xdr:from>
    <xdr:to>
      <xdr:col>3</xdr:col>
      <xdr:colOff>1881333</xdr:colOff>
      <xdr:row>25</xdr:row>
      <xdr:rowOff>5196</xdr:rowOff>
    </xdr:to>
    <xdr:sp macro="" textlink="">
      <xdr:nvSpPr>
        <xdr:cNvPr id="351" name="Left Arrow 6">
          <a:extLst>
            <a:ext uri="{FF2B5EF4-FFF2-40B4-BE49-F238E27FC236}">
              <a16:creationId xmlns:a16="http://schemas.microsoft.com/office/drawing/2014/main" id="{443BE324-B922-45AC-8655-7342776635AC}"/>
            </a:ext>
          </a:extLst>
        </xdr:cNvPr>
        <xdr:cNvSpPr/>
      </xdr:nvSpPr>
      <xdr:spPr>
        <a:xfrm>
          <a:off x="2252807" y="3636818"/>
          <a:ext cx="3844926" cy="305378"/>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1610591</xdr:colOff>
      <xdr:row>31</xdr:row>
      <xdr:rowOff>97560</xdr:rowOff>
    </xdr:from>
    <xdr:to>
      <xdr:col>3</xdr:col>
      <xdr:colOff>1856221</xdr:colOff>
      <xdr:row>33</xdr:row>
      <xdr:rowOff>69271</xdr:rowOff>
    </xdr:to>
    <xdr:sp macro="" textlink="">
      <xdr:nvSpPr>
        <xdr:cNvPr id="42" name="Left Arrow 6">
          <a:extLst>
            <a:ext uri="{FF2B5EF4-FFF2-40B4-BE49-F238E27FC236}">
              <a16:creationId xmlns:a16="http://schemas.microsoft.com/office/drawing/2014/main" id="{5EFC61FC-7CDE-4820-B71C-F3F5266A8942}"/>
            </a:ext>
          </a:extLst>
        </xdr:cNvPr>
        <xdr:cNvSpPr/>
      </xdr:nvSpPr>
      <xdr:spPr>
        <a:xfrm>
          <a:off x="2355273" y="6851651"/>
          <a:ext cx="3709266" cy="31807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2065762</xdr:colOff>
      <xdr:row>40</xdr:row>
      <xdr:rowOff>159769</xdr:rowOff>
    </xdr:from>
    <xdr:to>
      <xdr:col>3</xdr:col>
      <xdr:colOff>3844637</xdr:colOff>
      <xdr:row>44</xdr:row>
      <xdr:rowOff>31461</xdr:rowOff>
    </xdr:to>
    <xdr:sp macro="" textlink="">
      <xdr:nvSpPr>
        <xdr:cNvPr id="125" name="Rectangle 45">
          <a:hlinkClick xmlns:r="http://schemas.openxmlformats.org/officeDocument/2006/relationships" r:id="rId16"/>
          <a:extLst>
            <a:ext uri="{FF2B5EF4-FFF2-40B4-BE49-F238E27FC236}">
              <a16:creationId xmlns:a16="http://schemas.microsoft.com/office/drawing/2014/main" id="{0D7FB18B-F2AD-439E-871A-30F869437B43}"/>
            </a:ext>
          </a:extLst>
        </xdr:cNvPr>
        <xdr:cNvSpPr/>
      </xdr:nvSpPr>
      <xdr:spPr>
        <a:xfrm>
          <a:off x="6274080" y="8472496"/>
          <a:ext cx="1778875" cy="564420"/>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chemeClr val="bg1"/>
              </a:solidFill>
              <a:latin typeface="Verdana" panose="020B0604030504040204" pitchFamily="34" charset="0"/>
              <a:ea typeface="Verdana" panose="020B0604030504040204" pitchFamily="34" charset="0"/>
              <a:cs typeface="Verdana" panose="020B0604030504040204" pitchFamily="34" charset="0"/>
            </a:rPr>
            <a:t>SVT% Transition</a:t>
          </a:r>
        </a:p>
      </xdr:txBody>
    </xdr:sp>
    <xdr:clientData/>
  </xdr:twoCellAnchor>
  <xdr:twoCellAnchor>
    <xdr:from>
      <xdr:col>3</xdr:col>
      <xdr:colOff>2060864</xdr:colOff>
      <xdr:row>49</xdr:row>
      <xdr:rowOff>107083</xdr:rowOff>
    </xdr:from>
    <xdr:to>
      <xdr:col>3</xdr:col>
      <xdr:colOff>3854450</xdr:colOff>
      <xdr:row>61</xdr:row>
      <xdr:rowOff>144896</xdr:rowOff>
    </xdr:to>
    <xdr:sp macro="" textlink="">
      <xdr:nvSpPr>
        <xdr:cNvPr id="123" name="Rectangle 48">
          <a:hlinkClick xmlns:r="http://schemas.openxmlformats.org/officeDocument/2006/relationships" r:id="rId17"/>
          <a:extLst>
            <a:ext uri="{FF2B5EF4-FFF2-40B4-BE49-F238E27FC236}">
              <a16:creationId xmlns:a16="http://schemas.microsoft.com/office/drawing/2014/main" id="{80F3EF5B-CAA0-409B-9E02-12FC0E901804}"/>
            </a:ext>
          </a:extLst>
        </xdr:cNvPr>
        <xdr:cNvSpPr/>
      </xdr:nvSpPr>
      <xdr:spPr>
        <a:xfrm>
          <a:off x="6264564" y="8241433"/>
          <a:ext cx="1793586" cy="2095213"/>
        </a:xfrm>
        <a:prstGeom prst="rect">
          <a:avLst/>
        </a:prstGeom>
        <a:solidFill>
          <a:schemeClr val="accent6"/>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chemeClr val="bg1"/>
              </a:solidFill>
              <a:latin typeface="Verdana" panose="020B0604030504040204" pitchFamily="34" charset="0"/>
              <a:ea typeface="Verdana" panose="020B0604030504040204" pitchFamily="34" charset="0"/>
              <a:cs typeface="Verdana" panose="020B0604030504040204" pitchFamily="34" charset="0"/>
            </a:rPr>
            <a:t>Total CBs</a:t>
          </a:r>
        </a:p>
      </xdr:txBody>
    </xdr:sp>
    <xdr:clientData/>
  </xdr:twoCellAnchor>
  <xdr:twoCellAnchor>
    <xdr:from>
      <xdr:col>1</xdr:col>
      <xdr:colOff>1454728</xdr:colOff>
      <xdr:row>86</xdr:row>
      <xdr:rowOff>47822</xdr:rowOff>
    </xdr:from>
    <xdr:to>
      <xdr:col>2</xdr:col>
      <xdr:colOff>646448</xdr:colOff>
      <xdr:row>88</xdr:row>
      <xdr:rowOff>103909</xdr:rowOff>
    </xdr:to>
    <xdr:sp macro="" textlink="">
      <xdr:nvSpPr>
        <xdr:cNvPr id="50" name="Left Arrow 30">
          <a:extLst>
            <a:ext uri="{FF2B5EF4-FFF2-40B4-BE49-F238E27FC236}">
              <a16:creationId xmlns:a16="http://schemas.microsoft.com/office/drawing/2014/main" id="{1C7F7960-9DEE-4038-838B-717F508557DD}"/>
            </a:ext>
          </a:extLst>
        </xdr:cNvPr>
        <xdr:cNvSpPr/>
      </xdr:nvSpPr>
      <xdr:spPr>
        <a:xfrm>
          <a:off x="2199410" y="16326913"/>
          <a:ext cx="1114038" cy="40245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5572989</xdr:colOff>
      <xdr:row>49</xdr:row>
      <xdr:rowOff>18336</xdr:rowOff>
    </xdr:from>
    <xdr:to>
      <xdr:col>5</xdr:col>
      <xdr:colOff>54428</xdr:colOff>
      <xdr:row>52</xdr:row>
      <xdr:rowOff>121515</xdr:rowOff>
    </xdr:to>
    <xdr:sp macro="" textlink="">
      <xdr:nvSpPr>
        <xdr:cNvPr id="51" name="Rectangle 50">
          <a:hlinkClick xmlns:r="http://schemas.openxmlformats.org/officeDocument/2006/relationships" r:id="rId18"/>
          <a:extLst>
            <a:ext uri="{FF2B5EF4-FFF2-40B4-BE49-F238E27FC236}">
              <a16:creationId xmlns:a16="http://schemas.microsoft.com/office/drawing/2014/main" id="{8A77BE42-FF53-47DB-9B74-569C1CE9FF55}"/>
            </a:ext>
          </a:extLst>
        </xdr:cNvPr>
        <xdr:cNvSpPr/>
      </xdr:nvSpPr>
      <xdr:spPr>
        <a:xfrm>
          <a:off x="9773060" y="8182622"/>
          <a:ext cx="4333011" cy="620250"/>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Gross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Credit Balances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5566268</xdr:colOff>
      <xdr:row>52</xdr:row>
      <xdr:rowOff>167726</xdr:rowOff>
    </xdr:from>
    <xdr:to>
      <xdr:col>5</xdr:col>
      <xdr:colOff>76693</xdr:colOff>
      <xdr:row>56</xdr:row>
      <xdr:rowOff>108073</xdr:rowOff>
    </xdr:to>
    <xdr:sp macro="" textlink="">
      <xdr:nvSpPr>
        <xdr:cNvPr id="52" name="Rectangle 51">
          <a:hlinkClick xmlns:r="http://schemas.openxmlformats.org/officeDocument/2006/relationships" r:id="rId19"/>
          <a:extLst>
            <a:ext uri="{FF2B5EF4-FFF2-40B4-BE49-F238E27FC236}">
              <a16:creationId xmlns:a16="http://schemas.microsoft.com/office/drawing/2014/main" id="{8A527580-79D6-4FE7-94CE-69CF22277B73}"/>
            </a:ext>
          </a:extLst>
        </xdr:cNvPr>
        <xdr:cNvSpPr/>
      </xdr:nvSpPr>
      <xdr:spPr>
        <a:xfrm>
          <a:off x="9766339" y="8849083"/>
          <a:ext cx="4361997" cy="629776"/>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Customer Debit Balances</a:t>
          </a:r>
        </a:p>
      </xdr:txBody>
    </xdr:sp>
    <xdr:clientData/>
  </xdr:twoCellAnchor>
  <xdr:twoCellAnchor>
    <xdr:from>
      <xdr:col>3</xdr:col>
      <xdr:colOff>5566269</xdr:colOff>
      <xdr:row>56</xdr:row>
      <xdr:rowOff>157829</xdr:rowOff>
    </xdr:from>
    <xdr:to>
      <xdr:col>5</xdr:col>
      <xdr:colOff>76694</xdr:colOff>
      <xdr:row>60</xdr:row>
      <xdr:rowOff>97351</xdr:rowOff>
    </xdr:to>
    <xdr:sp macro="" textlink="">
      <xdr:nvSpPr>
        <xdr:cNvPr id="53" name="Rectangle 52">
          <a:hlinkClick xmlns:r="http://schemas.openxmlformats.org/officeDocument/2006/relationships" r:id="rId20"/>
          <a:extLst>
            <a:ext uri="{FF2B5EF4-FFF2-40B4-BE49-F238E27FC236}">
              <a16:creationId xmlns:a16="http://schemas.microsoft.com/office/drawing/2014/main" id="{21534756-DA54-490E-B26B-1FAEBCD5FFF1}"/>
            </a:ext>
          </a:extLst>
        </xdr:cNvPr>
        <xdr:cNvSpPr/>
      </xdr:nvSpPr>
      <xdr:spPr>
        <a:xfrm>
          <a:off x="9766340" y="9528615"/>
          <a:ext cx="4361997" cy="628950"/>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CBs Unbilled Proportion</a:t>
          </a:r>
        </a:p>
      </xdr:txBody>
    </xdr:sp>
    <xdr:clientData/>
  </xdr:twoCellAnchor>
  <xdr:twoCellAnchor>
    <xdr:from>
      <xdr:col>1</xdr:col>
      <xdr:colOff>1607414</xdr:colOff>
      <xdr:row>101</xdr:row>
      <xdr:rowOff>344</xdr:rowOff>
    </xdr:from>
    <xdr:to>
      <xdr:col>3</xdr:col>
      <xdr:colOff>5664199</xdr:colOff>
      <xdr:row>103</xdr:row>
      <xdr:rowOff>0</xdr:rowOff>
    </xdr:to>
    <xdr:sp macro="" textlink="">
      <xdr:nvSpPr>
        <xdr:cNvPr id="15" name="Left Arrow 30">
          <a:extLst>
            <a:ext uri="{FF2B5EF4-FFF2-40B4-BE49-F238E27FC236}">
              <a16:creationId xmlns:a16="http://schemas.microsoft.com/office/drawing/2014/main" id="{A19C6D33-27AF-4D36-BD8E-AC012B1B93EE}"/>
            </a:ext>
          </a:extLst>
        </xdr:cNvPr>
        <xdr:cNvSpPr/>
      </xdr:nvSpPr>
      <xdr:spPr>
        <a:xfrm>
          <a:off x="2344014" y="17627944"/>
          <a:ext cx="7536585" cy="35525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465280</xdr:colOff>
      <xdr:row>17</xdr:row>
      <xdr:rowOff>155726</xdr:rowOff>
    </xdr:from>
    <xdr:to>
      <xdr:col>10</xdr:col>
      <xdr:colOff>105640</xdr:colOff>
      <xdr:row>20</xdr:row>
      <xdr:rowOff>107372</xdr:rowOff>
    </xdr:to>
    <xdr:sp macro="" textlink="">
      <xdr:nvSpPr>
        <xdr:cNvPr id="346" name="Rectangle 60">
          <a:hlinkClick xmlns:r="http://schemas.openxmlformats.org/officeDocument/2006/relationships" r:id="rId21"/>
          <a:extLst>
            <a:ext uri="{FF2B5EF4-FFF2-40B4-BE49-F238E27FC236}">
              <a16:creationId xmlns:a16="http://schemas.microsoft.com/office/drawing/2014/main" id="{8422B549-6D26-4D93-8A37-1DD61C4C9903}"/>
            </a:ext>
          </a:extLst>
        </xdr:cNvPr>
        <xdr:cNvSpPr/>
      </xdr:nvSpPr>
      <xdr:spPr>
        <a:xfrm>
          <a:off x="16035480" y="2670326"/>
          <a:ext cx="1888260" cy="485046"/>
        </a:xfrm>
        <a:prstGeom prst="rect">
          <a:avLst/>
        </a:prstGeom>
        <a:solidFill>
          <a:schemeClr val="accent4">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Customer Groups</a:t>
          </a:r>
        </a:p>
      </xdr:txBody>
    </xdr:sp>
    <xdr:clientData/>
  </xdr:twoCellAnchor>
  <xdr:twoCellAnchor>
    <xdr:from>
      <xdr:col>5</xdr:col>
      <xdr:colOff>173182</xdr:colOff>
      <xdr:row>18</xdr:row>
      <xdr:rowOff>118056</xdr:rowOff>
    </xdr:from>
    <xdr:to>
      <xdr:col>7</xdr:col>
      <xdr:colOff>259772</xdr:colOff>
      <xdr:row>20</xdr:row>
      <xdr:rowOff>16164</xdr:rowOff>
    </xdr:to>
    <xdr:sp macro="" textlink="">
      <xdr:nvSpPr>
        <xdr:cNvPr id="345" name="Left Arrow 28">
          <a:extLst>
            <a:ext uri="{FF2B5EF4-FFF2-40B4-BE49-F238E27FC236}">
              <a16:creationId xmlns:a16="http://schemas.microsoft.com/office/drawing/2014/main" id="{71DB9E24-3597-4CD3-A835-F66BF59C9D09}"/>
            </a:ext>
          </a:extLst>
        </xdr:cNvPr>
        <xdr:cNvSpPr/>
      </xdr:nvSpPr>
      <xdr:spPr>
        <a:xfrm>
          <a:off x="14244782" y="2810456"/>
          <a:ext cx="1585190" cy="253708"/>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5853875</xdr:colOff>
      <xdr:row>99</xdr:row>
      <xdr:rowOff>102777</xdr:rowOff>
    </xdr:from>
    <xdr:to>
      <xdr:col>5</xdr:col>
      <xdr:colOff>272142</xdr:colOff>
      <xdr:row>103</xdr:row>
      <xdr:rowOff>143034</xdr:rowOff>
    </xdr:to>
    <xdr:sp macro="" textlink="">
      <xdr:nvSpPr>
        <xdr:cNvPr id="5" name="Rectangle 67">
          <a:hlinkClick xmlns:r="http://schemas.openxmlformats.org/officeDocument/2006/relationships" r:id="rId22"/>
          <a:extLst>
            <a:ext uri="{FF2B5EF4-FFF2-40B4-BE49-F238E27FC236}">
              <a16:creationId xmlns:a16="http://schemas.microsoft.com/office/drawing/2014/main" id="{4D9DDDBD-1C51-4C65-B44B-E44F34171B3B}"/>
            </a:ext>
          </a:extLst>
        </xdr:cNvPr>
        <xdr:cNvSpPr/>
      </xdr:nvSpPr>
      <xdr:spPr>
        <a:xfrm>
          <a:off x="10053946" y="16884920"/>
          <a:ext cx="4269839" cy="729685"/>
        </a:xfrm>
        <a:prstGeom prst="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Distributional weighting</a:t>
          </a:r>
        </a:p>
      </xdr:txBody>
    </xdr:sp>
    <xdr:clientData/>
  </xdr:twoCellAnchor>
  <xdr:twoCellAnchor>
    <xdr:from>
      <xdr:col>5</xdr:col>
      <xdr:colOff>457200</xdr:colOff>
      <xdr:row>101</xdr:row>
      <xdr:rowOff>25399</xdr:rowOff>
    </xdr:from>
    <xdr:to>
      <xdr:col>7</xdr:col>
      <xdr:colOff>22224</xdr:colOff>
      <xdr:row>102</xdr:row>
      <xdr:rowOff>104774</xdr:rowOff>
    </xdr:to>
    <xdr:sp macro="" textlink="">
      <xdr:nvSpPr>
        <xdr:cNvPr id="14" name="Left Arrow 30">
          <a:extLst>
            <a:ext uri="{FF2B5EF4-FFF2-40B4-BE49-F238E27FC236}">
              <a16:creationId xmlns:a16="http://schemas.microsoft.com/office/drawing/2014/main" id="{76329FCB-A20D-4BF4-84BF-BF308D82A5BF}"/>
            </a:ext>
          </a:extLst>
        </xdr:cNvPr>
        <xdr:cNvSpPr/>
      </xdr:nvSpPr>
      <xdr:spPr>
        <a:xfrm>
          <a:off x="14528800" y="17652999"/>
          <a:ext cx="1038224" cy="25717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1039091</xdr:colOff>
      <xdr:row>67</xdr:row>
      <xdr:rowOff>133497</xdr:rowOff>
    </xdr:from>
    <xdr:to>
      <xdr:col>3</xdr:col>
      <xdr:colOff>5437909</xdr:colOff>
      <xdr:row>69</xdr:row>
      <xdr:rowOff>103909</xdr:rowOff>
    </xdr:to>
    <xdr:sp macro="" textlink="">
      <xdr:nvSpPr>
        <xdr:cNvPr id="43" name="Left Arrow 30">
          <a:extLst>
            <a:ext uri="{FF2B5EF4-FFF2-40B4-BE49-F238E27FC236}">
              <a16:creationId xmlns:a16="http://schemas.microsoft.com/office/drawing/2014/main" id="{8FE9AC4A-F021-44A7-BCC8-6CD52C04BD13}"/>
            </a:ext>
          </a:extLst>
        </xdr:cNvPr>
        <xdr:cNvSpPr/>
      </xdr:nvSpPr>
      <xdr:spPr>
        <a:xfrm>
          <a:off x="5247409" y="13122133"/>
          <a:ext cx="4398818" cy="316776"/>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1126746</xdr:colOff>
      <xdr:row>70</xdr:row>
      <xdr:rowOff>138545</xdr:rowOff>
    </xdr:from>
    <xdr:to>
      <xdr:col>4</xdr:col>
      <xdr:colOff>1325419</xdr:colOff>
      <xdr:row>72</xdr:row>
      <xdr:rowOff>67596</xdr:rowOff>
    </xdr:to>
    <xdr:sp macro="" textlink="">
      <xdr:nvSpPr>
        <xdr:cNvPr id="119" name="Left Arrow 28">
          <a:extLst>
            <a:ext uri="{FF2B5EF4-FFF2-40B4-BE49-F238E27FC236}">
              <a16:creationId xmlns:a16="http://schemas.microsoft.com/office/drawing/2014/main" id="{7899AFD7-15D6-442B-99CB-5CF8B432489F}"/>
            </a:ext>
          </a:extLst>
        </xdr:cNvPr>
        <xdr:cNvSpPr/>
      </xdr:nvSpPr>
      <xdr:spPr>
        <a:xfrm rot="5400000">
          <a:off x="11789857" y="11782984"/>
          <a:ext cx="271951" cy="198673"/>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5612303</xdr:colOff>
      <xdr:row>77</xdr:row>
      <xdr:rowOff>3533</xdr:rowOff>
    </xdr:from>
    <xdr:to>
      <xdr:col>5</xdr:col>
      <xdr:colOff>81642</xdr:colOff>
      <xdr:row>80</xdr:row>
      <xdr:rowOff>134756</xdr:rowOff>
    </xdr:to>
    <xdr:sp macro="" textlink="">
      <xdr:nvSpPr>
        <xdr:cNvPr id="74" name="Rectangle 73">
          <a:hlinkClick xmlns:r="http://schemas.openxmlformats.org/officeDocument/2006/relationships" r:id="rId23"/>
          <a:extLst>
            <a:ext uri="{FF2B5EF4-FFF2-40B4-BE49-F238E27FC236}">
              <a16:creationId xmlns:a16="http://schemas.microsoft.com/office/drawing/2014/main" id="{BAC5F476-4DDC-43EC-827C-711D0ADD660E}"/>
            </a:ext>
          </a:extLst>
        </xdr:cNvPr>
        <xdr:cNvSpPr/>
      </xdr:nvSpPr>
      <xdr:spPr>
        <a:xfrm>
          <a:off x="9812374" y="12993819"/>
          <a:ext cx="4320911" cy="648294"/>
        </a:xfrm>
        <a:prstGeom prst="rect">
          <a:avLst/>
        </a:prstGeom>
        <a:solidFill>
          <a:schemeClr val="accent5">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RO Obligation Rate</a:t>
          </a:r>
        </a:p>
      </xdr:txBody>
    </xdr:sp>
    <xdr:clientData/>
  </xdr:twoCellAnchor>
  <xdr:twoCellAnchor>
    <xdr:from>
      <xdr:col>3</xdr:col>
      <xdr:colOff>963758</xdr:colOff>
      <xdr:row>77</xdr:row>
      <xdr:rowOff>86159</xdr:rowOff>
    </xdr:from>
    <xdr:to>
      <xdr:col>3</xdr:col>
      <xdr:colOff>5455227</xdr:colOff>
      <xdr:row>79</xdr:row>
      <xdr:rowOff>86591</xdr:rowOff>
    </xdr:to>
    <xdr:sp macro="" textlink="">
      <xdr:nvSpPr>
        <xdr:cNvPr id="75" name="Left Arrow 30">
          <a:extLst>
            <a:ext uri="{FF2B5EF4-FFF2-40B4-BE49-F238E27FC236}">
              <a16:creationId xmlns:a16="http://schemas.microsoft.com/office/drawing/2014/main" id="{C1DE3672-C318-48D6-A8A1-803F56388DA6}"/>
            </a:ext>
          </a:extLst>
        </xdr:cNvPr>
        <xdr:cNvSpPr/>
      </xdr:nvSpPr>
      <xdr:spPr>
        <a:xfrm>
          <a:off x="5172076" y="14806614"/>
          <a:ext cx="4491469" cy="346795"/>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952500</xdr:colOff>
      <xdr:row>37</xdr:row>
      <xdr:rowOff>107520</xdr:rowOff>
    </xdr:from>
    <xdr:to>
      <xdr:col>3</xdr:col>
      <xdr:colOff>2012084</xdr:colOff>
      <xdr:row>39</xdr:row>
      <xdr:rowOff>51955</xdr:rowOff>
    </xdr:to>
    <xdr:sp macro="" textlink="">
      <xdr:nvSpPr>
        <xdr:cNvPr id="79" name="Left Arrow 28">
          <a:extLst>
            <a:ext uri="{FF2B5EF4-FFF2-40B4-BE49-F238E27FC236}">
              <a16:creationId xmlns:a16="http://schemas.microsoft.com/office/drawing/2014/main" id="{F5F2CA24-075D-4960-9CA3-2C9F16837290}"/>
            </a:ext>
          </a:extLst>
        </xdr:cNvPr>
        <xdr:cNvSpPr/>
      </xdr:nvSpPr>
      <xdr:spPr>
        <a:xfrm>
          <a:off x="5160818" y="7900702"/>
          <a:ext cx="1059584" cy="290798"/>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1457902</xdr:colOff>
      <xdr:row>81</xdr:row>
      <xdr:rowOff>124403</xdr:rowOff>
    </xdr:from>
    <xdr:to>
      <xdr:col>3</xdr:col>
      <xdr:colOff>1749137</xdr:colOff>
      <xdr:row>83</xdr:row>
      <xdr:rowOff>173181</xdr:rowOff>
    </xdr:to>
    <xdr:sp macro="" textlink="">
      <xdr:nvSpPr>
        <xdr:cNvPr id="81" name="Left Arrow 30">
          <a:extLst>
            <a:ext uri="{FF2B5EF4-FFF2-40B4-BE49-F238E27FC236}">
              <a16:creationId xmlns:a16="http://schemas.microsoft.com/office/drawing/2014/main" id="{19724689-27F9-4128-BEA8-CFE8118C9DD2}"/>
            </a:ext>
          </a:extLst>
        </xdr:cNvPr>
        <xdr:cNvSpPr/>
      </xdr:nvSpPr>
      <xdr:spPr>
        <a:xfrm>
          <a:off x="2202584" y="15537585"/>
          <a:ext cx="3754871" cy="39514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4003387</xdr:colOff>
      <xdr:row>22</xdr:row>
      <xdr:rowOff>169719</xdr:rowOff>
    </xdr:from>
    <xdr:to>
      <xdr:col>7</xdr:col>
      <xdr:colOff>256309</xdr:colOff>
      <xdr:row>25</xdr:row>
      <xdr:rowOff>0</xdr:rowOff>
    </xdr:to>
    <xdr:sp macro="" textlink="">
      <xdr:nvSpPr>
        <xdr:cNvPr id="348" name="Left Arrow 28">
          <a:extLst>
            <a:ext uri="{FF2B5EF4-FFF2-40B4-BE49-F238E27FC236}">
              <a16:creationId xmlns:a16="http://schemas.microsoft.com/office/drawing/2014/main" id="{04B83907-48D2-4E63-9A48-7D4FCAA1B718}"/>
            </a:ext>
          </a:extLst>
        </xdr:cNvPr>
        <xdr:cNvSpPr/>
      </xdr:nvSpPr>
      <xdr:spPr>
        <a:xfrm>
          <a:off x="8219787" y="3573319"/>
          <a:ext cx="7606722" cy="36368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969817</xdr:colOff>
      <xdr:row>86</xdr:row>
      <xdr:rowOff>44646</xdr:rowOff>
    </xdr:from>
    <xdr:to>
      <xdr:col>3</xdr:col>
      <xdr:colOff>1780596</xdr:colOff>
      <xdr:row>88</xdr:row>
      <xdr:rowOff>69272</xdr:rowOff>
    </xdr:to>
    <xdr:sp macro="" textlink="">
      <xdr:nvSpPr>
        <xdr:cNvPr id="84" name="Left Arrow 30">
          <a:extLst>
            <a:ext uri="{FF2B5EF4-FFF2-40B4-BE49-F238E27FC236}">
              <a16:creationId xmlns:a16="http://schemas.microsoft.com/office/drawing/2014/main" id="{610B681B-787D-4DD9-9815-E70ACEF0E93A}"/>
            </a:ext>
          </a:extLst>
        </xdr:cNvPr>
        <xdr:cNvSpPr/>
      </xdr:nvSpPr>
      <xdr:spPr>
        <a:xfrm rot="10800000">
          <a:off x="5178135" y="16323737"/>
          <a:ext cx="810779" cy="37099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4022151</xdr:colOff>
      <xdr:row>20</xdr:row>
      <xdr:rowOff>96404</xdr:rowOff>
    </xdr:from>
    <xdr:to>
      <xdr:col>3</xdr:col>
      <xdr:colOff>5329095</xdr:colOff>
      <xdr:row>22</xdr:row>
      <xdr:rowOff>53975</xdr:rowOff>
    </xdr:to>
    <xdr:sp macro="" textlink="">
      <xdr:nvSpPr>
        <xdr:cNvPr id="354" name="Left Arrow 30">
          <a:extLst>
            <a:ext uri="{FF2B5EF4-FFF2-40B4-BE49-F238E27FC236}">
              <a16:creationId xmlns:a16="http://schemas.microsoft.com/office/drawing/2014/main" id="{C80CFCD2-9725-48C8-9633-831E6BE5CBBE}"/>
            </a:ext>
          </a:extLst>
        </xdr:cNvPr>
        <xdr:cNvSpPr/>
      </xdr:nvSpPr>
      <xdr:spPr>
        <a:xfrm>
          <a:off x="8238551" y="3144404"/>
          <a:ext cx="1306944" cy="31317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4047839</xdr:colOff>
      <xdr:row>49</xdr:row>
      <xdr:rowOff>170006</xdr:rowOff>
    </xdr:from>
    <xdr:to>
      <xdr:col>3</xdr:col>
      <xdr:colOff>5329383</xdr:colOff>
      <xdr:row>51</xdr:row>
      <xdr:rowOff>148070</xdr:rowOff>
    </xdr:to>
    <xdr:sp macro="" textlink="">
      <xdr:nvSpPr>
        <xdr:cNvPr id="87" name="Left Arrow 30">
          <a:extLst>
            <a:ext uri="{FF2B5EF4-FFF2-40B4-BE49-F238E27FC236}">
              <a16:creationId xmlns:a16="http://schemas.microsoft.com/office/drawing/2014/main" id="{978DAC15-2DE3-4CA1-AE45-50D4B5CC5102}"/>
            </a:ext>
          </a:extLst>
        </xdr:cNvPr>
        <xdr:cNvSpPr/>
      </xdr:nvSpPr>
      <xdr:spPr>
        <a:xfrm>
          <a:off x="8256157" y="10041370"/>
          <a:ext cx="1281544" cy="32442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4068333</xdr:colOff>
      <xdr:row>54</xdr:row>
      <xdr:rowOff>31461</xdr:rowOff>
    </xdr:from>
    <xdr:to>
      <xdr:col>3</xdr:col>
      <xdr:colOff>5343527</xdr:colOff>
      <xdr:row>56</xdr:row>
      <xdr:rowOff>3175</xdr:rowOff>
    </xdr:to>
    <xdr:sp macro="" textlink="">
      <xdr:nvSpPr>
        <xdr:cNvPr id="88" name="Left Arrow 30">
          <a:extLst>
            <a:ext uri="{FF2B5EF4-FFF2-40B4-BE49-F238E27FC236}">
              <a16:creationId xmlns:a16="http://schemas.microsoft.com/office/drawing/2014/main" id="{BB6452D2-76BF-4483-93EA-30B1E6D16A1A}"/>
            </a:ext>
          </a:extLst>
        </xdr:cNvPr>
        <xdr:cNvSpPr/>
      </xdr:nvSpPr>
      <xdr:spPr>
        <a:xfrm>
          <a:off x="8276651" y="10768734"/>
          <a:ext cx="1275194" cy="3180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4074229</xdr:colOff>
      <xdr:row>57</xdr:row>
      <xdr:rowOff>135495</xdr:rowOff>
    </xdr:from>
    <xdr:to>
      <xdr:col>3</xdr:col>
      <xdr:colOff>5349423</xdr:colOff>
      <xdr:row>59</xdr:row>
      <xdr:rowOff>113558</xdr:rowOff>
    </xdr:to>
    <xdr:sp macro="" textlink="">
      <xdr:nvSpPr>
        <xdr:cNvPr id="89" name="Left Arrow 30">
          <a:extLst>
            <a:ext uri="{FF2B5EF4-FFF2-40B4-BE49-F238E27FC236}">
              <a16:creationId xmlns:a16="http://schemas.microsoft.com/office/drawing/2014/main" id="{1B3D863A-5F39-42D2-9BA7-B13F45488BAA}"/>
            </a:ext>
          </a:extLst>
        </xdr:cNvPr>
        <xdr:cNvSpPr/>
      </xdr:nvSpPr>
      <xdr:spPr>
        <a:xfrm>
          <a:off x="8274300" y="9678638"/>
          <a:ext cx="1275194" cy="32277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494736</xdr:colOff>
      <xdr:row>30</xdr:row>
      <xdr:rowOff>364988</xdr:rowOff>
    </xdr:from>
    <xdr:to>
      <xdr:col>10</xdr:col>
      <xdr:colOff>48780</xdr:colOff>
      <xdr:row>33</xdr:row>
      <xdr:rowOff>147204</xdr:rowOff>
    </xdr:to>
    <xdr:sp macro="" textlink="">
      <xdr:nvSpPr>
        <xdr:cNvPr id="29" name="Rectangle 53">
          <a:hlinkClick xmlns:r="http://schemas.openxmlformats.org/officeDocument/2006/relationships" r:id="rId24"/>
          <a:extLst>
            <a:ext uri="{FF2B5EF4-FFF2-40B4-BE49-F238E27FC236}">
              <a16:creationId xmlns:a16="http://schemas.microsoft.com/office/drawing/2014/main" id="{DB83E489-E86F-4F26-BA6F-1A47FE3E210F}"/>
            </a:ext>
          </a:extLst>
        </xdr:cNvPr>
        <xdr:cNvSpPr/>
      </xdr:nvSpPr>
      <xdr:spPr>
        <a:xfrm>
          <a:off x="16033186" y="5044938"/>
          <a:ext cx="1782894" cy="493416"/>
        </a:xfrm>
        <a:prstGeom prst="rect">
          <a:avLst/>
        </a:prstGeom>
        <a:solidFill>
          <a:schemeClr val="accent4">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a:t>
          </a:r>
        </a:p>
      </xdr:txBody>
    </xdr:sp>
    <xdr:clientData/>
  </xdr:twoCellAnchor>
  <xdr:twoCellAnchor>
    <xdr:from>
      <xdr:col>3</xdr:col>
      <xdr:colOff>4022437</xdr:colOff>
      <xdr:row>31</xdr:row>
      <xdr:rowOff>49069</xdr:rowOff>
    </xdr:from>
    <xdr:to>
      <xdr:col>7</xdr:col>
      <xdr:colOff>275359</xdr:colOff>
      <xdr:row>33</xdr:row>
      <xdr:rowOff>50800</xdr:rowOff>
    </xdr:to>
    <xdr:sp macro="" textlink="">
      <xdr:nvSpPr>
        <xdr:cNvPr id="28" name="Left Arrow 28">
          <a:extLst>
            <a:ext uri="{FF2B5EF4-FFF2-40B4-BE49-F238E27FC236}">
              <a16:creationId xmlns:a16="http://schemas.microsoft.com/office/drawing/2014/main" id="{0857F321-D744-4666-ABE7-5595437AF87B}"/>
            </a:ext>
          </a:extLst>
        </xdr:cNvPr>
        <xdr:cNvSpPr/>
      </xdr:nvSpPr>
      <xdr:spPr>
        <a:xfrm>
          <a:off x="8226137" y="5097319"/>
          <a:ext cx="7587672" cy="34463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4060251</xdr:colOff>
      <xdr:row>26</xdr:row>
      <xdr:rowOff>7504</xdr:rowOff>
    </xdr:from>
    <xdr:to>
      <xdr:col>3</xdr:col>
      <xdr:colOff>5367195</xdr:colOff>
      <xdr:row>27</xdr:row>
      <xdr:rowOff>142875</xdr:rowOff>
    </xdr:to>
    <xdr:sp macro="" textlink="">
      <xdr:nvSpPr>
        <xdr:cNvPr id="355" name="Left Arrow 30">
          <a:extLst>
            <a:ext uri="{FF2B5EF4-FFF2-40B4-BE49-F238E27FC236}">
              <a16:creationId xmlns:a16="http://schemas.microsoft.com/office/drawing/2014/main" id="{FCF58632-68F6-4E66-93DD-78798732902E}"/>
            </a:ext>
          </a:extLst>
        </xdr:cNvPr>
        <xdr:cNvSpPr/>
      </xdr:nvSpPr>
      <xdr:spPr>
        <a:xfrm>
          <a:off x="8276651" y="4122304"/>
          <a:ext cx="1306944" cy="313171"/>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1560079</xdr:colOff>
      <xdr:row>28</xdr:row>
      <xdr:rowOff>144028</xdr:rowOff>
    </xdr:from>
    <xdr:to>
      <xdr:col>3</xdr:col>
      <xdr:colOff>5355937</xdr:colOff>
      <xdr:row>30</xdr:row>
      <xdr:rowOff>101600</xdr:rowOff>
    </xdr:to>
    <xdr:sp macro="" textlink="">
      <xdr:nvSpPr>
        <xdr:cNvPr id="360" name="Left Arrow 6">
          <a:extLst>
            <a:ext uri="{FF2B5EF4-FFF2-40B4-BE49-F238E27FC236}">
              <a16:creationId xmlns:a16="http://schemas.microsoft.com/office/drawing/2014/main" id="{1FDD6C1D-CA7D-4776-BB63-C15C12167192}"/>
            </a:ext>
          </a:extLst>
        </xdr:cNvPr>
        <xdr:cNvSpPr/>
      </xdr:nvSpPr>
      <xdr:spPr>
        <a:xfrm>
          <a:off x="2309379" y="4614428"/>
          <a:ext cx="7262958" cy="31317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957119</xdr:colOff>
      <xdr:row>54</xdr:row>
      <xdr:rowOff>124259</xdr:rowOff>
    </xdr:from>
    <xdr:to>
      <xdr:col>3</xdr:col>
      <xdr:colOff>1975717</xdr:colOff>
      <xdr:row>56</xdr:row>
      <xdr:rowOff>109681</xdr:rowOff>
    </xdr:to>
    <xdr:sp macro="" textlink="">
      <xdr:nvSpPr>
        <xdr:cNvPr id="56" name="Left Arrow 28">
          <a:extLst>
            <a:ext uri="{FF2B5EF4-FFF2-40B4-BE49-F238E27FC236}">
              <a16:creationId xmlns:a16="http://schemas.microsoft.com/office/drawing/2014/main" id="{75E63953-5183-4C4D-A022-41EB09E07229}"/>
            </a:ext>
          </a:extLst>
        </xdr:cNvPr>
        <xdr:cNvSpPr/>
      </xdr:nvSpPr>
      <xdr:spPr>
        <a:xfrm>
          <a:off x="5160819" y="9115859"/>
          <a:ext cx="1018598" cy="328322"/>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6</xdr:row>
      <xdr:rowOff>104775</xdr:rowOff>
    </xdr:from>
    <xdr:to>
      <xdr:col>17</xdr:col>
      <xdr:colOff>45899</xdr:colOff>
      <xdr:row>26</xdr:row>
      <xdr:rowOff>38100</xdr:rowOff>
    </xdr:to>
    <xdr:pic>
      <xdr:nvPicPr>
        <xdr:cNvPr id="5" name="Picture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1"/>
        <a:stretch>
          <a:fillRect/>
        </a:stretch>
      </xdr:blipFill>
      <xdr:spPr>
        <a:xfrm>
          <a:off x="5200650" y="1733550"/>
          <a:ext cx="7037249" cy="3597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116680</xdr:colOff>
      <xdr:row>21</xdr:row>
      <xdr:rowOff>52386</xdr:rowOff>
    </xdr:from>
    <xdr:ext cx="8832058" cy="46196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2C00-000002000000}"/>
                </a:ext>
              </a:extLst>
            </xdr:cNvPr>
            <xdr:cNvSpPr txBox="1"/>
          </xdr:nvSpPr>
          <xdr:spPr>
            <a:xfrm>
              <a:off x="1735930" y="5205411"/>
              <a:ext cx="8832058"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m:rPr>
                      <m:sty m:val="p"/>
                    </m:rPr>
                    <a:rPr lang="en-GB" sz="1400" b="0" i="0">
                      <a:latin typeface="Cambria Math" panose="02040503050406030204" pitchFamily="18" charset="0"/>
                      <a:ea typeface="Cambria Math" panose="02040503050406030204" pitchFamily="18" charset="0"/>
                    </a:rPr>
                    <m:t>Distributional</m:t>
                  </m:r>
                  <m:r>
                    <a:rPr lang="en-GB" sz="1400" b="0" i="0">
                      <a:latin typeface="Cambria Math" panose="02040503050406030204" pitchFamily="18" charset="0"/>
                      <a:ea typeface="Cambria Math" panose="02040503050406030204" pitchFamily="18" charset="0"/>
                    </a:rPr>
                    <m:t> </m:t>
                  </m:r>
                  <m:r>
                    <m:rPr>
                      <m:sty m:val="p"/>
                    </m:rPr>
                    <a:rPr lang="en-GB" sz="1400" b="0" i="0">
                      <a:latin typeface="Cambria Math" panose="02040503050406030204" pitchFamily="18" charset="0"/>
                      <a:ea typeface="Cambria Math" panose="02040503050406030204" pitchFamily="18" charset="0"/>
                    </a:rPr>
                    <m:t>weight</m:t>
                  </m:r>
                  <m:r>
                    <a:rPr lang="en-GB" sz="1400" b="0" i="1">
                      <a:latin typeface="Cambria Math" panose="02040503050406030204" pitchFamily="18" charset="0"/>
                      <a:ea typeface="Cambria Math" panose="02040503050406030204" pitchFamily="18" charset="0"/>
                    </a:rPr>
                    <m:t> </m:t>
                  </m:r>
                  <m:r>
                    <a:rPr lang="en-GB" sz="1400" i="1">
                      <a:latin typeface="Cambria Math" panose="02040503050406030204" pitchFamily="18" charset="0"/>
                      <a:ea typeface="Cambria Math" panose="02040503050406030204" pitchFamily="18" charset="0"/>
                    </a:rPr>
                    <m:t>=</m:t>
                  </m:r>
                  <m:f>
                    <m:fPr>
                      <m:ctrlPr>
                        <a:rPr lang="en-GB" sz="1100" b="0" i="1">
                          <a:solidFill>
                            <a:schemeClr val="tx1"/>
                          </a:solidFill>
                          <a:effectLst/>
                          <a:latin typeface="Cambria Math" panose="02040503050406030204" pitchFamily="18" charset="0"/>
                          <a:ea typeface="+mn-ea"/>
                          <a:cs typeface="+mn-cs"/>
                        </a:rPr>
                      </m:ctrlPr>
                    </m:fPr>
                    <m:num>
                      <m:r>
                        <m:rPr>
                          <m:sty m:val="p"/>
                        </m:rPr>
                        <a:rPr lang="en-GB" sz="1100" b="0" i="0">
                          <a:solidFill>
                            <a:schemeClr val="tx1"/>
                          </a:solidFill>
                          <a:effectLst/>
                          <a:latin typeface="Cambria Math" panose="02040503050406030204" pitchFamily="18" charset="0"/>
                          <a:ea typeface="+mn-ea"/>
                          <a:cs typeface="+mn-cs"/>
                        </a:rPr>
                        <m:t>MU</m:t>
                      </m:r>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m:rPr>
                              <m:sty m:val="p"/>
                            </m:rPr>
                            <a:rPr lang="en-GB" sz="1100" b="0" i="0">
                              <a:solidFill>
                                <a:schemeClr val="tx1"/>
                              </a:solidFill>
                              <a:effectLst/>
                              <a:latin typeface="Cambria Math" panose="02040503050406030204" pitchFamily="18" charset="0"/>
                              <a:ea typeface="+mn-ea"/>
                              <a:cs typeface="+mn-cs"/>
                            </a:rPr>
                            <m:t>Income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of</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decile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i</m:t>
                          </m:r>
                          <m:r>
                            <a:rPr lang="en-GB" sz="1100" b="0" i="0">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categorical</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group</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j</m:t>
                          </m:r>
                        </m:e>
                      </m:d>
                    </m:num>
                    <m:den>
                      <m:r>
                        <m:rPr>
                          <m:sty m:val="p"/>
                        </m:rPr>
                        <a:rPr lang="en-GB" sz="1100" b="0" i="0">
                          <a:solidFill>
                            <a:schemeClr val="tx1"/>
                          </a:solidFill>
                          <a:effectLst/>
                          <a:latin typeface="Cambria Math" panose="02040503050406030204" pitchFamily="18" charset="0"/>
                          <a:ea typeface="+mn-ea"/>
                          <a:cs typeface="+mn-cs"/>
                        </a:rPr>
                        <m:t>MU</m:t>
                      </m:r>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m:rPr>
                              <m:sty m:val="p"/>
                            </m:rPr>
                            <a:rPr lang="en-GB" sz="1100" b="0" i="0">
                              <a:solidFill>
                                <a:schemeClr val="tx1"/>
                              </a:solidFill>
                              <a:effectLst/>
                              <a:latin typeface="Cambria Math" panose="02040503050406030204" pitchFamily="18" charset="0"/>
                              <a:ea typeface="+mn-ea"/>
                              <a:cs typeface="+mn-cs"/>
                            </a:rPr>
                            <m:t>Average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income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across</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populatoon</m:t>
                          </m:r>
                        </m:e>
                      </m:d>
                    </m:den>
                  </m:f>
                </m:oMath>
              </a14:m>
              <a:r>
                <a:rPr lang="en-GB" sz="1100"/>
                <a:t> where </a:t>
              </a:r>
              <a:r>
                <a:rPr lang="en-GB" sz="1100">
                  <a:solidFill>
                    <a:schemeClr val="tx1"/>
                  </a:solidFill>
                  <a:effectLst/>
                  <a:latin typeface="+mn-lt"/>
                  <a:ea typeface="+mn-ea"/>
                  <a:cs typeface="+mn-cs"/>
                </a:rPr>
                <a:t>where </a:t>
              </a:r>
              <a14:m>
                <m:oMath xmlns:m="http://schemas.openxmlformats.org/officeDocument/2006/math">
                  <m:r>
                    <a:rPr lang="en-GB" sz="1100" b="0" i="1">
                      <a:solidFill>
                        <a:schemeClr val="tx1"/>
                      </a:solidFill>
                      <a:effectLst/>
                      <a:latin typeface="Cambria Math" panose="02040503050406030204" pitchFamily="18" charset="0"/>
                      <a:ea typeface="+mn-ea"/>
                      <a:cs typeface="+mn-cs"/>
                    </a:rPr>
                    <m:t>𝑖</m:t>
                  </m:r>
                  <m:r>
                    <a:rPr lang="en-GB" sz="1100" b="0" i="1">
                      <a:solidFill>
                        <a:schemeClr val="tx1"/>
                      </a:solidFill>
                      <a:effectLst/>
                      <a:latin typeface="Cambria Math" panose="02040503050406030204" pitchFamily="18" charset="0"/>
                      <a:ea typeface="+mn-ea"/>
                      <a:cs typeface="+mn-cs"/>
                    </a:rPr>
                    <m:t>∈</m:t>
                  </m:r>
                  <m:d>
                    <m:dPr>
                      <m:begChr m:val="["/>
                      <m:endChr m:val="]"/>
                      <m:ctrlPr>
                        <a:rPr lang="en-GB" sz="1100" b="0" i="1">
                          <a:solidFill>
                            <a:schemeClr val="tx1"/>
                          </a:solidFill>
                          <a:effectLst/>
                          <a:latin typeface="Cambria Math" panose="02040503050406030204" pitchFamily="18" charset="0"/>
                          <a:ea typeface="+mn-ea"/>
                          <a:cs typeface="+mn-cs"/>
                        </a:rPr>
                      </m:ctrlPr>
                    </m:dPr>
                    <m:e>
                      <m:r>
                        <a:rPr lang="en-GB" sz="1100" b="0" i="1">
                          <a:solidFill>
                            <a:schemeClr val="tx1"/>
                          </a:solidFill>
                          <a:effectLst/>
                          <a:latin typeface="Cambria Math" panose="02040503050406030204" pitchFamily="18" charset="0"/>
                          <a:ea typeface="+mn-ea"/>
                          <a:cs typeface="+mn-cs"/>
                        </a:rPr>
                        <m:t>1,10</m:t>
                      </m:r>
                    </m:e>
                  </m:d>
                  <m:r>
                    <a:rPr lang="en-GB" sz="1100" b="0" i="1">
                      <a:solidFill>
                        <a:schemeClr val="tx1"/>
                      </a:solidFill>
                      <a:effectLst/>
                      <a:latin typeface="Cambria Math" panose="02040503050406030204" pitchFamily="18" charset="0"/>
                      <a:ea typeface="+mn-ea"/>
                      <a:cs typeface="+mn-cs"/>
                    </a:rPr>
                    <m:t>, </m:t>
                  </m:r>
                  <m:r>
                    <a:rPr lang="en-GB" sz="1100" b="0" i="1">
                      <a:solidFill>
                        <a:schemeClr val="tx1"/>
                      </a:solidFill>
                      <a:effectLst/>
                      <a:latin typeface="Cambria Math" panose="02040503050406030204" pitchFamily="18" charset="0"/>
                      <a:ea typeface="+mn-ea"/>
                      <a:cs typeface="+mn-cs"/>
                    </a:rPr>
                    <m:t>𝑗</m:t>
                  </m:r>
                  <m:r>
                    <a:rPr lang="en-GB" sz="1100" b="0" i="1">
                      <a:solidFill>
                        <a:schemeClr val="tx1"/>
                      </a:solidFill>
                      <a:effectLst/>
                      <a:latin typeface="Cambria Math" panose="02040503050406030204" pitchFamily="18" charset="0"/>
                      <a:ea typeface="+mn-ea"/>
                      <a:cs typeface="+mn-cs"/>
                    </a:rPr>
                    <m:t>∈</m:t>
                  </m:r>
                  <m:d>
                    <m:dPr>
                      <m:begChr m:val="{"/>
                      <m:endChr m:val="}"/>
                      <m:ctrlPr>
                        <a:rPr lang="en-GB" sz="1100" b="0" i="1">
                          <a:solidFill>
                            <a:schemeClr val="tx1"/>
                          </a:solidFill>
                          <a:effectLst/>
                          <a:latin typeface="Cambria Math" panose="02040503050406030204" pitchFamily="18" charset="0"/>
                          <a:ea typeface="+mn-ea"/>
                          <a:cs typeface="+mn-cs"/>
                        </a:rPr>
                      </m:ctrlPr>
                    </m:dPr>
                    <m:e>
                      <m:r>
                        <m:rPr>
                          <m:sty m:val="p"/>
                        </m:rPr>
                        <a:rPr lang="en-GB" sz="1100" b="0" i="0">
                          <a:solidFill>
                            <a:schemeClr val="tx1"/>
                          </a:solidFill>
                          <a:effectLst/>
                          <a:latin typeface="Cambria Math" panose="02040503050406030204" pitchFamily="18" charset="0"/>
                          <a:ea typeface="+mn-ea"/>
                          <a:cs typeface="+mn-cs"/>
                        </a:rPr>
                        <m:t>Pensionable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disabled</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Rural</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All</m:t>
                      </m:r>
                    </m:e>
                  </m:d>
                </m:oMath>
              </a14:m>
              <a:r>
                <a:rPr lang="en-GB" sz="1100"/>
                <a:t> </a:t>
              </a:r>
            </a:p>
          </xdr:txBody>
        </xdr:sp>
      </mc:Choice>
      <mc:Fallback xmlns="">
        <xdr:sp macro="" textlink="">
          <xdr:nvSpPr>
            <xdr:cNvPr id="2" name="TextBox 1">
              <a:extLst>
                <a:ext uri="{FF2B5EF4-FFF2-40B4-BE49-F238E27FC236}">
                  <a16:creationId xmlns:a16="http://schemas.microsoft.com/office/drawing/2014/main" id="{EBCEC30A-C860-4F3E-BA3B-9372EA96B881}"/>
                </a:ext>
              </a:extLst>
            </xdr:cNvPr>
            <xdr:cNvSpPr txBox="1"/>
          </xdr:nvSpPr>
          <xdr:spPr>
            <a:xfrm>
              <a:off x="1735930" y="5205411"/>
              <a:ext cx="8832058"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GB" sz="1400" b="0" i="0">
                  <a:latin typeface="Cambria Math" panose="02040503050406030204" pitchFamily="18" charset="0"/>
                  <a:ea typeface="Cambria Math" panose="02040503050406030204" pitchFamily="18" charset="0"/>
                </a:rPr>
                <a:t>Distributional weight </a:t>
              </a:r>
              <a:r>
                <a:rPr lang="en-GB" sz="1400" i="0">
                  <a:latin typeface="Cambria Math" panose="02040503050406030204" pitchFamily="18" charset="0"/>
                  <a:ea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(MU (Income of decile i,  categorical group j))/(MU (Average income across populatoon) )</a:t>
              </a:r>
              <a:r>
                <a:rPr lang="en-GB" sz="1100"/>
                <a:t> where </a:t>
              </a:r>
              <a:r>
                <a:rPr lang="en-GB" sz="1100">
                  <a:solidFill>
                    <a:schemeClr val="tx1"/>
                  </a:solidFill>
                  <a:effectLst/>
                  <a:latin typeface="+mn-lt"/>
                  <a:ea typeface="+mn-ea"/>
                  <a:cs typeface="+mn-cs"/>
                </a:rPr>
                <a:t>where </a:t>
              </a:r>
              <a:r>
                <a:rPr lang="en-GB" sz="1100" b="0" i="0">
                  <a:solidFill>
                    <a:schemeClr val="tx1"/>
                  </a:solidFill>
                  <a:effectLst/>
                  <a:latin typeface="Cambria Math" panose="02040503050406030204" pitchFamily="18" charset="0"/>
                  <a:ea typeface="+mn-ea"/>
                  <a:cs typeface="+mn-cs"/>
                </a:rPr>
                <a:t>𝑖∈[1,10], 𝑗∈{Pensionable, disabled, Rural, All}</a:t>
              </a:r>
              <a:r>
                <a:rPr lang="en-GB" sz="1100"/>
                <a:t> </a:t>
              </a:r>
            </a:p>
          </xdr:txBody>
        </xdr:sp>
      </mc:Fallback>
    </mc:AlternateContent>
    <xdr:clientData/>
  </xdr:oneCellAnchor>
  <xdr:oneCellAnchor>
    <xdr:from>
      <xdr:col>1</xdr:col>
      <xdr:colOff>1085849</xdr:colOff>
      <xdr:row>5</xdr:row>
      <xdr:rowOff>0</xdr:rowOff>
    </xdr:from>
    <xdr:ext cx="10634664" cy="46196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2C00-000003000000}"/>
                </a:ext>
              </a:extLst>
            </xdr:cNvPr>
            <xdr:cNvSpPr txBox="1"/>
          </xdr:nvSpPr>
          <xdr:spPr>
            <a:xfrm>
              <a:off x="1619249" y="2028825"/>
              <a:ext cx="10634664"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GB" sz="1400" i="0">
                  <a:latin typeface="+mn-lt"/>
                  <a:ea typeface="Cambria Math" panose="02040503050406030204" pitchFamily="18" charset="0"/>
                </a:rPr>
                <a:t>MU</a:t>
              </a:r>
              <a:r>
                <a:rPr lang="en-GB" sz="1400" i="0" baseline="0">
                  <a:latin typeface="+mn-lt"/>
                  <a:ea typeface="Cambria Math" panose="02040503050406030204" pitchFamily="18" charset="0"/>
                </a:rPr>
                <a:t> (Income decile i, categorical group j) </a:t>
              </a:r>
              <a14:m>
                <m:oMath xmlns:m="http://schemas.openxmlformats.org/officeDocument/2006/math">
                  <m:r>
                    <a:rPr lang="en-GB" sz="1400" i="1">
                      <a:latin typeface="Cambria Math" panose="02040503050406030204" pitchFamily="18" charset="0"/>
                      <a:ea typeface="Cambria Math" panose="02040503050406030204" pitchFamily="18" charset="0"/>
                    </a:rPr>
                    <m:t>=</m:t>
                  </m:r>
                  <m:f>
                    <m:fPr>
                      <m:ctrlPr>
                        <a:rPr lang="en-GB" sz="1100" b="0" i="1">
                          <a:solidFill>
                            <a:schemeClr val="tx1"/>
                          </a:solidFill>
                          <a:effectLst/>
                          <a:latin typeface="Cambria Math" panose="02040503050406030204" pitchFamily="18" charset="0"/>
                          <a:ea typeface="+mn-ea"/>
                          <a:cs typeface="+mn-cs"/>
                        </a:rPr>
                      </m:ctrlPr>
                    </m:fPr>
                    <m:num>
                      <m:r>
                        <a:rPr lang="en-GB" sz="1100" b="0" i="1">
                          <a:solidFill>
                            <a:schemeClr val="tx1"/>
                          </a:solidFill>
                          <a:effectLst/>
                          <a:latin typeface="Cambria Math" panose="02040503050406030204" pitchFamily="18" charset="0"/>
                          <a:ea typeface="+mn-ea"/>
                          <a:cs typeface="+mn-cs"/>
                        </a:rPr>
                        <m:t>1</m:t>
                      </m:r>
                    </m:num>
                    <m:den>
                      <m:sSup>
                        <m:sSupPr>
                          <m:ctrlPr>
                            <a:rPr lang="en-GB" sz="1100" b="0" i="1">
                              <a:solidFill>
                                <a:schemeClr val="tx1"/>
                              </a:solidFill>
                              <a:effectLst/>
                              <a:latin typeface="Cambria Math" panose="02040503050406030204" pitchFamily="18" charset="0"/>
                              <a:ea typeface="+mn-ea"/>
                              <a:cs typeface="+mn-cs"/>
                            </a:rPr>
                          </m:ctrlPr>
                        </m:sSupPr>
                        <m:e>
                          <m:d>
                            <m:dPr>
                              <m:ctrlPr>
                                <a:rPr lang="en-GB" sz="1100" b="0" i="1">
                                  <a:solidFill>
                                    <a:schemeClr val="tx1"/>
                                  </a:solidFill>
                                  <a:effectLst/>
                                  <a:latin typeface="Cambria Math" panose="02040503050406030204" pitchFamily="18" charset="0"/>
                                  <a:ea typeface="+mn-ea"/>
                                  <a:cs typeface="+mn-cs"/>
                                </a:rPr>
                              </m:ctrlPr>
                            </m:dPr>
                            <m:e>
                              <m:r>
                                <m:rPr>
                                  <m:sty m:val="p"/>
                                </m:rPr>
                                <a:rPr lang="en-GB" sz="1100" b="0" i="0">
                                  <a:solidFill>
                                    <a:schemeClr val="tx1"/>
                                  </a:solidFill>
                                  <a:effectLst/>
                                  <a:latin typeface="Cambria Math" panose="02040503050406030204" pitchFamily="18" charset="0"/>
                                  <a:ea typeface="+mn-ea"/>
                                  <a:cs typeface="+mn-cs"/>
                                </a:rPr>
                                <m:t>Average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income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of</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decile</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i</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categorical</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group</m:t>
                              </m:r>
                              <m:r>
                                <a:rPr lang="en-GB" sz="1100" b="0" i="0">
                                  <a:solidFill>
                                    <a:schemeClr val="tx1"/>
                                  </a:solidFill>
                                  <a:effectLst/>
                                  <a:latin typeface="Cambria Math" panose="02040503050406030204" pitchFamily="18" charset="0"/>
                                  <a:ea typeface="+mn-ea"/>
                                  <a:cs typeface="+mn-cs"/>
                                </a:rPr>
                                <m:t> </m:t>
                              </m:r>
                              <m:r>
                                <m:rPr>
                                  <m:sty m:val="p"/>
                                </m:rPr>
                                <a:rPr lang="en-GB" sz="1100" b="0" i="0">
                                  <a:solidFill>
                                    <a:schemeClr val="tx1"/>
                                  </a:solidFill>
                                  <a:effectLst/>
                                  <a:latin typeface="Cambria Math" panose="02040503050406030204" pitchFamily="18" charset="0"/>
                                  <a:ea typeface="+mn-ea"/>
                                  <a:cs typeface="+mn-cs"/>
                                </a:rPr>
                                <m:t>j</m:t>
                              </m:r>
                            </m:e>
                          </m:d>
                        </m:e>
                        <m:sup>
                          <m:r>
                            <a:rPr lang="en-GB" sz="1100" b="0" i="0">
                              <a:solidFill>
                                <a:schemeClr val="tx1"/>
                              </a:solidFill>
                              <a:effectLst/>
                              <a:latin typeface="Cambria Math" panose="02040503050406030204" pitchFamily="18" charset="0"/>
                              <a:ea typeface="+mn-ea"/>
                              <a:cs typeface="+mn-cs"/>
                            </a:rPr>
                            <m:t>1.3</m:t>
                          </m:r>
                        </m:sup>
                      </m:sSup>
                    </m:den>
                  </m:f>
                </m:oMath>
              </a14:m>
              <a:r>
                <a:rPr lang="en-GB" sz="1100"/>
                <a:t>   where </a:t>
              </a:r>
              <a14:m>
                <m:oMath xmlns:m="http://schemas.openxmlformats.org/officeDocument/2006/math">
                  <m:r>
                    <a:rPr lang="en-GB" sz="1100" b="0" i="1">
                      <a:latin typeface="Cambria Math" panose="02040503050406030204" pitchFamily="18" charset="0"/>
                    </a:rPr>
                    <m:t>𝑖</m:t>
                  </m:r>
                  <m:r>
                    <a:rPr lang="en-GB" sz="1100" b="0" i="1">
                      <a:latin typeface="Cambria Math" panose="02040503050406030204" pitchFamily="18" charset="0"/>
                    </a:rPr>
                    <m:t>∈</m:t>
                  </m:r>
                  <m:d>
                    <m:dPr>
                      <m:begChr m:val="["/>
                      <m:endChr m:val="]"/>
                      <m:ctrlPr>
                        <a:rPr lang="en-GB" sz="1100" b="0" i="1">
                          <a:latin typeface="Cambria Math" panose="02040503050406030204" pitchFamily="18" charset="0"/>
                        </a:rPr>
                      </m:ctrlPr>
                    </m:dPr>
                    <m:e>
                      <m:r>
                        <a:rPr lang="en-GB" sz="1100" b="0" i="1">
                          <a:latin typeface="Cambria Math" panose="02040503050406030204" pitchFamily="18" charset="0"/>
                        </a:rPr>
                        <m:t>1,10</m:t>
                      </m:r>
                    </m:e>
                  </m:d>
                  <m:r>
                    <a:rPr lang="en-GB" sz="1100" b="0" i="1">
                      <a:latin typeface="Cambria Math" panose="02040503050406030204" pitchFamily="18" charset="0"/>
                    </a:rPr>
                    <m:t>, </m:t>
                  </m:r>
                  <m:r>
                    <a:rPr lang="en-GB" sz="1100" b="0" i="1">
                      <a:latin typeface="Cambria Math" panose="02040503050406030204" pitchFamily="18" charset="0"/>
                    </a:rPr>
                    <m:t>𝑗</m:t>
                  </m:r>
                  <m:r>
                    <a:rPr lang="en-GB" sz="1100" b="0" i="1">
                      <a:latin typeface="Cambria Math" panose="02040503050406030204" pitchFamily="18" charset="0"/>
                    </a:rPr>
                    <m:t>∈</m:t>
                  </m:r>
                  <m:d>
                    <m:dPr>
                      <m:begChr m:val="{"/>
                      <m:endChr m:val="}"/>
                      <m:ctrlPr>
                        <a:rPr lang="en-GB" sz="1100" b="0" i="1">
                          <a:latin typeface="Cambria Math" panose="02040503050406030204" pitchFamily="18" charset="0"/>
                        </a:rPr>
                      </m:ctrlPr>
                    </m:dPr>
                    <m:e>
                      <m:r>
                        <m:rPr>
                          <m:sty m:val="p"/>
                        </m:rPr>
                        <a:rPr lang="en-GB" sz="1100" b="0" i="0">
                          <a:latin typeface="Cambria Math" panose="02040503050406030204" pitchFamily="18" charset="0"/>
                        </a:rPr>
                        <m:t>Pensionable</m:t>
                      </m:r>
                      <m:r>
                        <a:rPr lang="en-GB" sz="1100" b="0" i="0">
                          <a:latin typeface="Cambria Math" panose="02040503050406030204" pitchFamily="18" charset="0"/>
                        </a:rPr>
                        <m:t>, </m:t>
                      </m:r>
                      <m:r>
                        <m:rPr>
                          <m:sty m:val="p"/>
                        </m:rPr>
                        <a:rPr lang="en-GB" sz="1100" b="0" i="0">
                          <a:latin typeface="Cambria Math" panose="02040503050406030204" pitchFamily="18" charset="0"/>
                        </a:rPr>
                        <m:t>disabled</m:t>
                      </m:r>
                      <m:r>
                        <a:rPr lang="en-GB" sz="1100" b="0" i="0">
                          <a:latin typeface="Cambria Math" panose="02040503050406030204" pitchFamily="18" charset="0"/>
                        </a:rPr>
                        <m:t>, </m:t>
                      </m:r>
                      <m:r>
                        <m:rPr>
                          <m:sty m:val="p"/>
                        </m:rPr>
                        <a:rPr lang="en-GB" sz="1100" b="0" i="0">
                          <a:latin typeface="Cambria Math" panose="02040503050406030204" pitchFamily="18" charset="0"/>
                        </a:rPr>
                        <m:t>Rural</m:t>
                      </m:r>
                      <m:r>
                        <a:rPr lang="en-GB" sz="1100" b="0" i="0">
                          <a:latin typeface="Cambria Math" panose="02040503050406030204" pitchFamily="18" charset="0"/>
                        </a:rPr>
                        <m:t>, </m:t>
                      </m:r>
                      <m:r>
                        <m:rPr>
                          <m:sty m:val="p"/>
                        </m:rPr>
                        <a:rPr lang="en-GB" sz="1100" b="0" i="0">
                          <a:latin typeface="Cambria Math" panose="02040503050406030204" pitchFamily="18" charset="0"/>
                        </a:rPr>
                        <m:t>All</m:t>
                      </m:r>
                    </m:e>
                  </m:d>
                </m:oMath>
              </a14:m>
              <a:endParaRPr lang="en-GB" sz="1100"/>
            </a:p>
          </xdr:txBody>
        </xdr:sp>
      </mc:Choice>
      <mc:Fallback xmlns="">
        <xdr:sp macro="" textlink="">
          <xdr:nvSpPr>
            <xdr:cNvPr id="3" name="TextBox 2">
              <a:extLst>
                <a:ext uri="{FF2B5EF4-FFF2-40B4-BE49-F238E27FC236}">
                  <a16:creationId xmlns:a16="http://schemas.microsoft.com/office/drawing/2014/main" id="{028ADFF1-FEE0-4B45-8038-FF970F22D488}"/>
                </a:ext>
              </a:extLst>
            </xdr:cNvPr>
            <xdr:cNvSpPr txBox="1"/>
          </xdr:nvSpPr>
          <xdr:spPr>
            <a:xfrm>
              <a:off x="1619249" y="2028825"/>
              <a:ext cx="10634664" cy="461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GB" sz="1400" i="0">
                  <a:latin typeface="+mn-lt"/>
                  <a:ea typeface="Cambria Math" panose="02040503050406030204" pitchFamily="18" charset="0"/>
                </a:rPr>
                <a:t>MU</a:t>
              </a:r>
              <a:r>
                <a:rPr lang="en-GB" sz="1400" i="0" baseline="0">
                  <a:latin typeface="+mn-lt"/>
                  <a:ea typeface="Cambria Math" panose="02040503050406030204" pitchFamily="18" charset="0"/>
                </a:rPr>
                <a:t> (Income decile i, categorical group j) </a:t>
              </a:r>
              <a:r>
                <a:rPr lang="en-GB" sz="1400" i="0">
                  <a:latin typeface="Cambria Math" panose="02040503050406030204" pitchFamily="18" charset="0"/>
                  <a:ea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1/(Average income of decile i, categorical group j)^1.3 </a:t>
              </a:r>
              <a:r>
                <a:rPr lang="en-GB" sz="1100"/>
                <a:t>   where </a:t>
              </a:r>
              <a:r>
                <a:rPr lang="en-GB" sz="1100" b="0" i="0">
                  <a:latin typeface="Cambria Math" panose="02040503050406030204" pitchFamily="18" charset="0"/>
                </a:rPr>
                <a:t>𝑖∈[1,10], 𝑗∈{Pensionable, disabled, Rural, All}</a:t>
              </a:r>
              <a:endParaRPr lang="en-GB"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NERA">
      <a:dk1>
        <a:sysClr val="windowText" lastClr="000000"/>
      </a:dk1>
      <a:lt1>
        <a:sysClr val="window" lastClr="FFFFFF"/>
      </a:lt1>
      <a:dk2>
        <a:srgbClr val="002E63"/>
      </a:dk2>
      <a:lt2>
        <a:srgbClr val="FFFFFF"/>
      </a:lt2>
      <a:accent1>
        <a:srgbClr val="0057A6"/>
      </a:accent1>
      <a:accent2>
        <a:srgbClr val="B2C7E2"/>
      </a:accent2>
      <a:accent3>
        <a:srgbClr val="425563"/>
      </a:accent3>
      <a:accent4>
        <a:srgbClr val="8F939F"/>
      </a:accent4>
      <a:accent5>
        <a:srgbClr val="FF9900"/>
      </a:accent5>
      <a:accent6>
        <a:srgbClr val="F7C088"/>
      </a:accent6>
      <a:hlink>
        <a:srgbClr val="515151"/>
      </a:hlink>
      <a:folHlink>
        <a:srgbClr val="CBCBC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ofgem.gov.uk/publications/renewables-obligation-ro-buy-out-price-mutualisation-threshold-and-mutualisation-ceilings-2021-22"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ofgem.gov.uk/energy-data-and-research/data-portal/retail-market-indicator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ofgem.gov.uk/sites/default/files/2022-08/Default%20tariff%20cap%20letter.pdf"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FBF6-582C-486C-9137-B8D345452BD9}">
  <sheetPr>
    <tabColor theme="2"/>
  </sheetPr>
  <dimension ref="A1:V43"/>
  <sheetViews>
    <sheetView showGridLines="0" tabSelected="1" zoomScaleNormal="100" workbookViewId="0">
      <selection activeCell="D1" sqref="D1"/>
    </sheetView>
  </sheetViews>
  <sheetFormatPr defaultColWidth="0" defaultRowHeight="14.4" zeroHeight="1"/>
  <cols>
    <col min="1" max="1" width="2.88671875" customWidth="1"/>
    <col min="2" max="2" width="23" customWidth="1"/>
    <col min="3" max="3" width="18.33203125" bestFit="1" customWidth="1"/>
    <col min="4" max="4" width="146.33203125" customWidth="1"/>
    <col min="5" max="21" width="8.6640625" customWidth="1"/>
    <col min="22" max="22" width="14.6640625" customWidth="1"/>
    <col min="23" max="16384" width="9.109375" hidden="1"/>
  </cols>
  <sheetData>
    <row r="1" spans="2:22"/>
    <row r="2" spans="2:22"/>
    <row r="3" spans="2:22"/>
    <row r="4" spans="2:22"/>
    <row r="5" spans="2:22" ht="39" customHeight="1">
      <c r="B5" s="694" t="s">
        <v>1464</v>
      </c>
      <c r="C5" s="688"/>
      <c r="D5" s="688"/>
      <c r="E5" s="688"/>
      <c r="F5" s="688"/>
      <c r="G5" s="688"/>
      <c r="H5" s="688"/>
      <c r="I5" s="688"/>
      <c r="J5" s="688"/>
      <c r="K5" s="688"/>
      <c r="L5" s="688"/>
      <c r="M5" s="688"/>
      <c r="N5" s="688"/>
      <c r="O5" s="688"/>
      <c r="P5" s="688"/>
      <c r="Q5" s="688"/>
      <c r="R5" s="688"/>
      <c r="S5" s="688"/>
      <c r="T5" s="688"/>
      <c r="U5" s="688"/>
      <c r="V5" s="688"/>
    </row>
    <row r="6" spans="2:22" ht="39" customHeight="1">
      <c r="B6" s="851" t="s">
        <v>4</v>
      </c>
      <c r="C6" s="852"/>
      <c r="D6" s="852"/>
      <c r="E6" s="688"/>
      <c r="F6" s="688"/>
      <c r="G6" s="688"/>
      <c r="H6" s="688"/>
      <c r="I6" s="688"/>
      <c r="J6" s="688"/>
      <c r="K6" s="688"/>
      <c r="L6" s="688"/>
      <c r="M6" s="688"/>
      <c r="N6" s="688"/>
      <c r="O6" s="688"/>
      <c r="P6" s="688"/>
      <c r="Q6" s="688"/>
      <c r="R6" s="688"/>
      <c r="S6" s="688"/>
      <c r="T6" s="688"/>
      <c r="U6" s="688"/>
      <c r="V6" s="688"/>
    </row>
    <row r="7" spans="2:22" ht="39" customHeight="1">
      <c r="B7" s="848"/>
      <c r="C7" s="849"/>
      <c r="D7" s="849"/>
      <c r="E7" s="688"/>
      <c r="F7" s="688"/>
      <c r="G7" s="688"/>
      <c r="H7" s="688"/>
      <c r="I7" s="688"/>
      <c r="J7" s="688"/>
      <c r="K7" s="688"/>
      <c r="L7" s="688"/>
      <c r="M7" s="688"/>
      <c r="N7" s="688"/>
      <c r="O7" s="688"/>
      <c r="P7" s="688"/>
      <c r="Q7" s="688"/>
      <c r="R7" s="688"/>
      <c r="S7" s="688"/>
      <c r="T7" s="688"/>
      <c r="U7" s="688"/>
      <c r="V7" s="688"/>
    </row>
    <row r="8" spans="2:22">
      <c r="B8" s="598" t="s">
        <v>0</v>
      </c>
      <c r="C8" s="687"/>
      <c r="D8" s="687"/>
      <c r="E8" s="687"/>
      <c r="F8" s="687"/>
      <c r="G8" s="687"/>
      <c r="H8" s="687"/>
      <c r="I8" s="687"/>
      <c r="J8" s="687"/>
      <c r="K8" s="687"/>
      <c r="L8" s="687"/>
      <c r="M8" s="687"/>
      <c r="N8" s="687"/>
      <c r="O8" s="687"/>
      <c r="P8" s="687"/>
      <c r="Q8" s="687"/>
      <c r="R8" s="687"/>
      <c r="S8" s="687"/>
      <c r="T8" s="687"/>
      <c r="U8" s="687"/>
      <c r="V8" s="687"/>
    </row>
    <row r="9" spans="2:22" ht="39" customHeight="1">
      <c r="B9" s="850" t="s">
        <v>1</v>
      </c>
      <c r="C9" s="850"/>
      <c r="D9" s="850"/>
      <c r="E9" s="850"/>
      <c r="F9" s="850"/>
      <c r="G9" s="850"/>
      <c r="H9" s="850"/>
      <c r="I9" s="850"/>
      <c r="J9" s="850"/>
      <c r="K9" s="850"/>
      <c r="L9" s="850"/>
      <c r="M9" s="850"/>
      <c r="N9" s="850"/>
      <c r="O9" s="850"/>
      <c r="P9" s="850"/>
      <c r="Q9" s="850"/>
      <c r="R9" s="850"/>
      <c r="S9" s="850"/>
      <c r="T9" s="850"/>
      <c r="U9" s="850"/>
      <c r="V9" s="850"/>
    </row>
    <row r="10" spans="2:22" ht="20.399999999999999" customHeight="1">
      <c r="B10" s="698" t="s">
        <v>2</v>
      </c>
      <c r="C10" s="688"/>
      <c r="D10" s="688"/>
      <c r="E10" s="688"/>
      <c r="F10" s="688"/>
      <c r="G10" s="688"/>
      <c r="H10" s="688"/>
      <c r="I10" s="688"/>
      <c r="J10" s="688"/>
      <c r="K10" s="688"/>
      <c r="L10" s="688"/>
      <c r="M10" s="688"/>
      <c r="N10" s="688"/>
      <c r="O10" s="688"/>
      <c r="P10" s="688"/>
      <c r="Q10" s="688"/>
      <c r="R10" s="688"/>
      <c r="S10" s="688"/>
      <c r="T10" s="688"/>
      <c r="U10" s="688"/>
      <c r="V10" s="688"/>
    </row>
    <row r="11" spans="2:22" ht="21.9" customHeight="1">
      <c r="B11" s="698" t="s">
        <v>3</v>
      </c>
      <c r="C11" s="688"/>
      <c r="D11" s="688"/>
      <c r="E11" s="688"/>
      <c r="F11" s="688"/>
      <c r="G11" s="688"/>
      <c r="H11" s="688"/>
      <c r="I11" s="688"/>
      <c r="J11" s="688"/>
      <c r="K11" s="688"/>
      <c r="L11" s="688"/>
      <c r="M11" s="688"/>
      <c r="N11" s="688"/>
      <c r="O11" s="688"/>
      <c r="P11" s="688"/>
      <c r="Q11" s="688"/>
      <c r="R11" s="688"/>
      <c r="S11" s="688"/>
      <c r="T11" s="688"/>
      <c r="U11" s="688"/>
      <c r="V11" s="688"/>
    </row>
    <row r="12" spans="2:22" ht="39" customHeight="1">
      <c r="B12" s="688"/>
      <c r="C12" s="688"/>
      <c r="D12" s="688"/>
      <c r="E12" s="688"/>
      <c r="F12" s="688"/>
      <c r="G12" s="688"/>
      <c r="H12" s="688"/>
      <c r="I12" s="688"/>
      <c r="J12" s="688"/>
      <c r="K12" s="688"/>
      <c r="L12" s="688"/>
      <c r="M12" s="688"/>
      <c r="N12" s="688"/>
      <c r="O12" s="688"/>
      <c r="P12" s="688"/>
      <c r="Q12" s="688"/>
      <c r="R12" s="688"/>
      <c r="S12" s="688"/>
      <c r="T12" s="688"/>
      <c r="U12" s="688"/>
      <c r="V12" s="688"/>
    </row>
    <row r="13" spans="2:22">
      <c r="B13" s="689" t="s">
        <v>5</v>
      </c>
      <c r="C13" s="689" t="s">
        <v>6</v>
      </c>
      <c r="D13" s="689" t="s">
        <v>7</v>
      </c>
    </row>
    <row r="14" spans="2:22">
      <c r="B14" s="690" t="s">
        <v>8</v>
      </c>
      <c r="C14" s="691">
        <v>44909</v>
      </c>
      <c r="D14" s="692" t="s">
        <v>9</v>
      </c>
    </row>
    <row r="15" spans="2:22" ht="14.4" customHeight="1"/>
    <row r="16" spans="2:22" ht="14.4" customHeight="1"/>
    <row r="17" spans="2:22" ht="14.4" customHeight="1"/>
    <row r="18" spans="2:22" ht="14.4" customHeight="1">
      <c r="D18" s="7"/>
    </row>
    <row r="19" spans="2:22" ht="14.4" customHeight="1"/>
    <row r="20" spans="2:22" s="10" customFormat="1" ht="13.2">
      <c r="B20" s="226" t="s">
        <v>10</v>
      </c>
      <c r="C20" s="15"/>
      <c r="D20" s="17"/>
      <c r="E20" s="15"/>
      <c r="F20" s="16"/>
      <c r="G20" s="14"/>
      <c r="H20" s="15"/>
      <c r="I20" s="15"/>
      <c r="J20" s="15"/>
      <c r="K20" s="15"/>
      <c r="L20" s="15"/>
      <c r="M20" s="15"/>
      <c r="N20" s="15"/>
      <c r="O20" s="15"/>
      <c r="P20" s="15"/>
      <c r="Q20" s="15"/>
      <c r="R20" s="15"/>
      <c r="S20" s="15"/>
      <c r="T20" s="15"/>
      <c r="U20" s="15"/>
      <c r="V20" s="15"/>
    </row>
    <row r="21" spans="2:22" ht="14.4" customHeight="1"/>
    <row r="22" spans="2:22" ht="14.4" hidden="1" customHeight="1"/>
    <row r="23" spans="2:22" ht="14.4" hidden="1" customHeight="1"/>
    <row r="24" spans="2:22" ht="14.4" hidden="1" customHeight="1"/>
    <row r="25" spans="2:22" ht="14.4" hidden="1" customHeight="1"/>
    <row r="26" spans="2:22" ht="14.4" hidden="1" customHeight="1"/>
    <row r="27" spans="2:22" ht="14.4" hidden="1" customHeight="1"/>
    <row r="28" spans="2:22" ht="14.4" hidden="1" customHeight="1"/>
    <row r="29" spans="2:22" ht="14.4" hidden="1" customHeight="1"/>
    <row r="30" spans="2:22" ht="14.4" hidden="1" customHeight="1"/>
    <row r="31" spans="2:22" ht="14.4" hidden="1" customHeight="1"/>
    <row r="32" spans="2:22" ht="14.4" hidden="1" customHeight="1"/>
    <row r="33" ht="14.4" hidden="1" customHeight="1"/>
    <row r="34" ht="14.4" hidden="1" customHeight="1"/>
    <row r="35" ht="14.4" hidden="1" customHeight="1"/>
    <row r="36" ht="14.4" hidden="1" customHeight="1"/>
    <row r="37" ht="14.4" hidden="1" customHeight="1"/>
    <row r="38" ht="14.4" hidden="1" customHeight="1"/>
    <row r="39" ht="14.4" hidden="1" customHeight="1"/>
    <row r="40" ht="14.4" hidden="1" customHeight="1"/>
    <row r="41" ht="14.4" hidden="1" customHeight="1"/>
    <row r="42" ht="14.4" hidden="1" customHeight="1"/>
    <row r="43" ht="14.4" hidden="1" customHeight="1"/>
  </sheetData>
  <mergeCells count="2">
    <mergeCell ref="B9:V9"/>
    <mergeCell ref="B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76917-E538-4E3F-A3BF-1C1C30728BF2}">
  <sheetPr>
    <tabColor theme="0"/>
    <pageSetUpPr autoPageBreaks="0"/>
  </sheetPr>
  <dimension ref="A1:M146"/>
  <sheetViews>
    <sheetView showGridLines="0" topLeftCell="A100" zoomScale="85" zoomScaleNormal="85" workbookViewId="0">
      <selection activeCell="B143" sqref="B143"/>
    </sheetView>
  </sheetViews>
  <sheetFormatPr defaultColWidth="0" defaultRowHeight="13.5" customHeight="1" zeroHeight="1"/>
  <cols>
    <col min="1" max="1" width="10.5546875" style="371" customWidth="1"/>
    <col min="2" max="2" width="27.44140625" style="372" customWidth="1"/>
    <col min="3" max="3" width="22.109375" style="372" customWidth="1"/>
    <col min="4" max="4" width="93" style="372" customWidth="1"/>
    <col min="5" max="5" width="48" style="372" bestFit="1" customWidth="1"/>
    <col min="6" max="13" width="10.5546875" style="372" customWidth="1"/>
    <col min="14" max="16384" width="10.5546875" style="372" hidden="1"/>
  </cols>
  <sheetData>
    <row r="1" spans="1:13" ht="17.399999999999999">
      <c r="A1" s="43" t="s">
        <v>11</v>
      </c>
      <c r="B1" s="371"/>
      <c r="C1" s="371"/>
      <c r="D1" s="371"/>
      <c r="E1" s="371"/>
      <c r="F1" s="371"/>
      <c r="G1" s="371"/>
      <c r="H1" s="371"/>
      <c r="I1" s="371"/>
      <c r="J1" s="371"/>
      <c r="K1" s="371"/>
      <c r="L1" s="371"/>
      <c r="M1" s="371"/>
    </row>
    <row r="2" spans="1:13" ht="12.6">
      <c r="B2" s="371"/>
      <c r="C2" s="371"/>
      <c r="D2" s="371"/>
      <c r="E2" s="371"/>
      <c r="F2" s="371"/>
      <c r="G2" s="371"/>
      <c r="H2" s="371"/>
      <c r="I2" s="371"/>
      <c r="J2" s="371"/>
      <c r="K2" s="371"/>
      <c r="L2" s="371"/>
      <c r="M2" s="371"/>
    </row>
    <row r="3" spans="1:13" s="373" customFormat="1" ht="12.6">
      <c r="B3" s="373" t="s">
        <v>12</v>
      </c>
    </row>
    <row r="4" spans="1:13" ht="12.6">
      <c r="A4" s="372"/>
      <c r="B4" s="371"/>
      <c r="C4" s="371"/>
      <c r="D4" s="371"/>
      <c r="E4" s="371"/>
      <c r="F4" s="371"/>
      <c r="G4" s="371"/>
      <c r="H4" s="371"/>
      <c r="I4" s="371"/>
      <c r="J4" s="371"/>
      <c r="K4" s="371"/>
      <c r="L4" s="371"/>
      <c r="M4" s="371"/>
    </row>
    <row r="5" spans="1:13" ht="27" customHeight="1">
      <c r="B5" s="853" t="s">
        <v>13</v>
      </c>
      <c r="C5" s="854"/>
      <c r="D5" s="854"/>
      <c r="E5" s="854"/>
      <c r="F5" s="854"/>
      <c r="G5" s="854"/>
      <c r="H5" s="854"/>
      <c r="I5" s="854"/>
      <c r="J5" s="371"/>
      <c r="K5" s="371"/>
      <c r="L5" s="371"/>
      <c r="M5" s="371"/>
    </row>
    <row r="6" spans="1:13" ht="14.4">
      <c r="B6" s="374"/>
      <c r="C6" s="375"/>
      <c r="D6" s="375"/>
      <c r="E6" s="855"/>
      <c r="F6" s="855"/>
      <c r="G6" s="855"/>
      <c r="H6" s="855"/>
      <c r="I6" s="855"/>
      <c r="J6" s="371"/>
      <c r="K6" s="371"/>
      <c r="L6" s="371"/>
      <c r="M6" s="371"/>
    </row>
    <row r="7" spans="1:13" ht="14.4">
      <c r="B7" s="374" t="s">
        <v>14</v>
      </c>
      <c r="C7" s="375"/>
      <c r="D7" s="375"/>
      <c r="E7" s="855"/>
      <c r="F7" s="855"/>
      <c r="G7" s="855"/>
      <c r="H7" s="855"/>
      <c r="I7" s="855"/>
      <c r="J7" s="371"/>
      <c r="K7" s="371"/>
      <c r="L7" s="371"/>
      <c r="M7" s="371"/>
    </row>
    <row r="8" spans="1:13" ht="14.4">
      <c r="B8" s="374"/>
      <c r="C8" s="375"/>
      <c r="D8" s="375"/>
      <c r="E8" s="855"/>
      <c r="F8" s="855"/>
      <c r="G8" s="855"/>
      <c r="H8" s="855"/>
      <c r="I8" s="855"/>
      <c r="J8" s="371"/>
      <c r="K8" s="371"/>
      <c r="L8" s="371"/>
      <c r="M8" s="371"/>
    </row>
    <row r="9" spans="1:13" ht="14.4">
      <c r="B9" s="374" t="s">
        <v>15</v>
      </c>
      <c r="C9" s="375"/>
      <c r="D9" s="375"/>
      <c r="E9" s="855"/>
      <c r="F9" s="855"/>
      <c r="G9" s="855"/>
      <c r="H9" s="855"/>
      <c r="I9" s="855"/>
      <c r="J9" s="371"/>
      <c r="K9" s="371"/>
      <c r="L9" s="371"/>
      <c r="M9" s="371"/>
    </row>
    <row r="10" spans="1:13" ht="14.4">
      <c r="B10" s="374" t="s">
        <v>16</v>
      </c>
      <c r="C10" s="375"/>
      <c r="D10" s="375"/>
      <c r="E10" s="855"/>
      <c r="F10" s="855"/>
      <c r="G10" s="855"/>
      <c r="H10" s="855"/>
      <c r="I10" s="855"/>
      <c r="J10" s="371"/>
      <c r="K10" s="371"/>
      <c r="L10" s="371"/>
      <c r="M10" s="371"/>
    </row>
    <row r="11" spans="1:13" ht="14.4">
      <c r="B11" s="374" t="s">
        <v>17</v>
      </c>
      <c r="C11" s="375"/>
      <c r="D11" s="375"/>
      <c r="E11" s="855"/>
      <c r="F11" s="855"/>
      <c r="G11" s="855"/>
      <c r="H11" s="855"/>
      <c r="I11" s="855"/>
      <c r="J11" s="371"/>
      <c r="K11" s="371"/>
      <c r="L11" s="371"/>
      <c r="M11" s="371"/>
    </row>
    <row r="12" spans="1:13" ht="14.4">
      <c r="B12" s="374"/>
      <c r="C12" s="375"/>
      <c r="D12" s="375"/>
      <c r="E12" s="855"/>
      <c r="F12" s="855"/>
      <c r="G12" s="855"/>
      <c r="H12" s="855"/>
      <c r="I12" s="855"/>
      <c r="J12" s="371"/>
      <c r="K12" s="371"/>
      <c r="L12" s="371"/>
      <c r="M12" s="371"/>
    </row>
    <row r="13" spans="1:13" ht="14.4">
      <c r="B13" s="374"/>
      <c r="C13" s="375"/>
      <c r="D13" s="375"/>
      <c r="E13" s="855"/>
      <c r="F13" s="855"/>
      <c r="G13" s="855"/>
      <c r="H13" s="855"/>
      <c r="I13" s="855"/>
      <c r="J13" s="371"/>
      <c r="K13" s="371"/>
      <c r="L13" s="371"/>
      <c r="M13" s="371"/>
    </row>
    <row r="14" spans="1:13" ht="12.6">
      <c r="B14" s="371"/>
      <c r="C14" s="371"/>
      <c r="D14" s="371"/>
      <c r="E14" s="371"/>
      <c r="F14" s="371"/>
      <c r="G14" s="371"/>
      <c r="H14" s="371"/>
      <c r="I14" s="371"/>
      <c r="J14" s="371"/>
      <c r="K14" s="371"/>
      <c r="L14" s="371"/>
      <c r="M14" s="371"/>
    </row>
    <row r="15" spans="1:13" s="373" customFormat="1" ht="12.6">
      <c r="B15" s="373" t="s">
        <v>18</v>
      </c>
    </row>
    <row r="16" spans="1:13" ht="12.6">
      <c r="B16" s="371"/>
      <c r="C16" s="371"/>
      <c r="D16" s="371"/>
      <c r="E16" s="371"/>
      <c r="F16" s="371"/>
      <c r="G16" s="371"/>
      <c r="H16" s="371"/>
      <c r="I16" s="371"/>
      <c r="J16" s="371"/>
      <c r="K16" s="371"/>
      <c r="L16" s="371"/>
      <c r="M16" s="371"/>
    </row>
    <row r="17" spans="2:13" ht="12.6">
      <c r="B17" s="371"/>
      <c r="C17" s="371"/>
      <c r="D17" s="371"/>
      <c r="E17" s="371"/>
      <c r="F17" s="371"/>
      <c r="G17" s="371"/>
      <c r="H17" s="371"/>
      <c r="I17" s="371"/>
      <c r="J17" s="371"/>
      <c r="K17" s="371"/>
      <c r="L17" s="371"/>
      <c r="M17" s="371"/>
    </row>
    <row r="18" spans="2:13" ht="12.6">
      <c r="B18" s="371"/>
      <c r="C18" s="371"/>
      <c r="D18" s="371"/>
      <c r="E18" s="371"/>
      <c r="F18" s="371"/>
      <c r="G18" s="371"/>
      <c r="H18" s="371"/>
      <c r="I18" s="371"/>
      <c r="J18" s="371"/>
      <c r="K18" s="371"/>
      <c r="L18" s="371"/>
      <c r="M18" s="371"/>
    </row>
    <row r="19" spans="2:13" ht="12.6">
      <c r="B19" s="371"/>
      <c r="C19" s="371"/>
      <c r="D19" s="371"/>
      <c r="E19" s="371"/>
      <c r="F19" s="371"/>
      <c r="G19" s="371"/>
      <c r="H19" s="371"/>
      <c r="I19" s="371"/>
      <c r="J19" s="371"/>
      <c r="K19" s="371"/>
      <c r="L19" s="371"/>
      <c r="M19" s="371"/>
    </row>
    <row r="20" spans="2:13" ht="12.6">
      <c r="B20" s="371"/>
      <c r="C20" s="371"/>
      <c r="D20" s="371"/>
      <c r="E20" s="371"/>
      <c r="F20" s="371"/>
      <c r="G20" s="371"/>
      <c r="H20" s="371"/>
      <c r="I20" s="371"/>
      <c r="J20" s="371"/>
      <c r="K20" s="371"/>
      <c r="L20" s="371"/>
      <c r="M20" s="371"/>
    </row>
    <row r="21" spans="2:13" ht="12.6">
      <c r="B21" s="371"/>
      <c r="C21" s="371"/>
      <c r="D21" s="371"/>
      <c r="E21" s="371"/>
      <c r="F21" s="371"/>
      <c r="G21" s="371"/>
      <c r="H21" s="371"/>
      <c r="I21" s="371"/>
      <c r="J21" s="371"/>
      <c r="K21" s="371"/>
      <c r="L21" s="371"/>
      <c r="M21" s="371"/>
    </row>
    <row r="22" spans="2:13" ht="12.6">
      <c r="B22" s="371"/>
      <c r="C22" s="371"/>
      <c r="D22" s="371"/>
      <c r="E22" s="371"/>
      <c r="F22" s="371"/>
      <c r="G22" s="371"/>
      <c r="H22" s="371"/>
      <c r="I22" s="371"/>
      <c r="J22" s="371"/>
      <c r="K22" s="371"/>
      <c r="L22" s="371"/>
      <c r="M22" s="371"/>
    </row>
    <row r="23" spans="2:13" ht="12.6">
      <c r="B23" s="371"/>
      <c r="C23" s="371"/>
      <c r="D23" s="371"/>
      <c r="E23" s="371"/>
      <c r="F23" s="371"/>
      <c r="G23" s="371"/>
      <c r="H23" s="371"/>
      <c r="I23" s="371"/>
      <c r="J23" s="371"/>
      <c r="K23" s="371"/>
      <c r="L23" s="371"/>
      <c r="M23" s="371"/>
    </row>
    <row r="24" spans="2:13" ht="12.6">
      <c r="B24" s="371"/>
      <c r="C24" s="371"/>
      <c r="D24" s="371"/>
      <c r="E24" s="371"/>
      <c r="F24" s="371"/>
      <c r="G24" s="371"/>
      <c r="H24" s="371"/>
      <c r="I24" s="371"/>
      <c r="J24" s="371"/>
      <c r="K24" s="371"/>
      <c r="L24" s="371"/>
      <c r="M24" s="371"/>
    </row>
    <row r="25" spans="2:13" ht="12.6">
      <c r="B25" s="371"/>
      <c r="C25" s="371"/>
      <c r="D25" s="371"/>
      <c r="E25" s="371"/>
      <c r="F25" s="371"/>
      <c r="G25" s="371"/>
      <c r="H25" s="371"/>
      <c r="I25" s="371"/>
      <c r="J25" s="371"/>
      <c r="K25" s="371"/>
      <c r="L25" s="371"/>
      <c r="M25" s="371"/>
    </row>
    <row r="26" spans="2:13" ht="12.6">
      <c r="B26" s="371"/>
      <c r="C26" s="371"/>
      <c r="D26" s="371"/>
      <c r="E26" s="371"/>
      <c r="F26" s="371"/>
      <c r="G26" s="371"/>
      <c r="H26" s="371"/>
      <c r="I26" s="371"/>
      <c r="J26" s="371"/>
      <c r="K26" s="371"/>
      <c r="L26" s="371"/>
      <c r="M26" s="371"/>
    </row>
    <row r="27" spans="2:13" ht="12.6">
      <c r="B27" s="371"/>
      <c r="C27" s="371"/>
      <c r="D27" s="371"/>
      <c r="E27" s="371"/>
      <c r="F27" s="371"/>
      <c r="G27" s="371"/>
      <c r="H27" s="371"/>
      <c r="I27" s="371"/>
      <c r="J27" s="371"/>
      <c r="K27" s="371"/>
      <c r="L27" s="371"/>
      <c r="M27" s="371"/>
    </row>
    <row r="28" spans="2:13" ht="12.6">
      <c r="B28" s="371"/>
      <c r="C28" s="371"/>
      <c r="D28" s="371"/>
      <c r="E28" s="371"/>
      <c r="F28" s="371"/>
      <c r="G28" s="371"/>
      <c r="H28" s="371"/>
      <c r="I28" s="371"/>
      <c r="J28" s="371"/>
      <c r="K28" s="371"/>
      <c r="L28" s="371"/>
      <c r="M28" s="371"/>
    </row>
    <row r="29" spans="2:13" ht="12.6">
      <c r="B29" s="371"/>
      <c r="C29" s="371"/>
      <c r="D29" s="371"/>
      <c r="E29" s="371"/>
      <c r="F29" s="371"/>
      <c r="G29" s="371"/>
      <c r="H29" s="371"/>
      <c r="I29" s="371"/>
      <c r="J29" s="371"/>
      <c r="K29" s="371"/>
      <c r="L29" s="371"/>
      <c r="M29" s="371"/>
    </row>
    <row r="30" spans="2:13" ht="12.6">
      <c r="B30" s="371"/>
      <c r="C30" s="371"/>
      <c r="D30" s="371"/>
      <c r="E30" s="371"/>
      <c r="F30" s="371"/>
      <c r="G30" s="371"/>
      <c r="H30" s="371"/>
      <c r="I30" s="371"/>
      <c r="J30" s="371"/>
      <c r="K30" s="371"/>
      <c r="L30" s="371"/>
      <c r="M30" s="371"/>
    </row>
    <row r="31" spans="2:13" ht="29.25" customHeight="1">
      <c r="B31" s="371"/>
      <c r="C31" s="371"/>
      <c r="D31" s="371"/>
      <c r="E31" s="371"/>
      <c r="F31" s="371"/>
      <c r="G31" s="371"/>
      <c r="H31" s="371"/>
      <c r="I31" s="371"/>
      <c r="J31" s="371"/>
      <c r="K31" s="371"/>
      <c r="L31" s="371"/>
      <c r="M31" s="371"/>
    </row>
    <row r="32" spans="2:13" ht="12.6">
      <c r="B32" s="371"/>
      <c r="C32" s="371"/>
      <c r="D32" s="371"/>
      <c r="E32" s="371"/>
      <c r="F32" s="371"/>
      <c r="G32" s="371"/>
      <c r="H32" s="371"/>
      <c r="I32" s="371"/>
      <c r="J32" s="371"/>
      <c r="K32" s="371"/>
      <c r="L32" s="371"/>
      <c r="M32" s="371"/>
    </row>
    <row r="33" spans="2:13" ht="12.6">
      <c r="B33" s="371"/>
      <c r="C33" s="371"/>
      <c r="D33" s="371"/>
      <c r="E33" s="371"/>
      <c r="F33" s="371"/>
      <c r="G33" s="371"/>
      <c r="H33" s="371"/>
      <c r="I33" s="371"/>
      <c r="J33" s="371"/>
      <c r="K33" s="371"/>
      <c r="L33" s="371"/>
      <c r="M33" s="371"/>
    </row>
    <row r="34" spans="2:13" ht="12.6">
      <c r="B34" s="371"/>
      <c r="C34" s="371"/>
      <c r="D34" s="371"/>
      <c r="E34" s="371"/>
      <c r="F34" s="371"/>
      <c r="G34" s="371"/>
      <c r="H34" s="371"/>
      <c r="I34" s="371"/>
      <c r="J34" s="371"/>
      <c r="K34" s="371"/>
      <c r="L34" s="371"/>
      <c r="M34" s="371"/>
    </row>
    <row r="35" spans="2:13" ht="12.6">
      <c r="B35" s="371"/>
      <c r="C35" s="371"/>
      <c r="D35" s="371"/>
      <c r="E35" s="371"/>
      <c r="F35" s="371"/>
      <c r="G35" s="371"/>
      <c r="H35" s="371"/>
      <c r="I35" s="371"/>
      <c r="J35" s="371"/>
      <c r="K35" s="371"/>
      <c r="L35" s="371"/>
      <c r="M35" s="371"/>
    </row>
    <row r="36" spans="2:13" ht="12.6">
      <c r="B36" s="371"/>
      <c r="C36" s="371"/>
      <c r="D36" s="371"/>
      <c r="E36" s="371"/>
      <c r="F36" s="371"/>
      <c r="G36" s="371"/>
      <c r="H36" s="371"/>
      <c r="I36" s="371"/>
      <c r="J36" s="371"/>
      <c r="K36" s="371"/>
      <c r="L36" s="371"/>
      <c r="M36" s="371"/>
    </row>
    <row r="37" spans="2:13" ht="12.6">
      <c r="B37" s="371"/>
      <c r="C37" s="371"/>
      <c r="D37" s="371"/>
      <c r="E37" s="371"/>
      <c r="F37" s="371"/>
      <c r="G37" s="371"/>
      <c r="H37" s="371"/>
      <c r="I37" s="371"/>
      <c r="J37" s="371"/>
      <c r="K37" s="371"/>
      <c r="L37" s="371"/>
      <c r="M37" s="371"/>
    </row>
    <row r="38" spans="2:13" ht="12.6">
      <c r="B38" s="371"/>
      <c r="C38" s="371"/>
      <c r="D38" s="371"/>
      <c r="E38" s="371"/>
      <c r="F38" s="371"/>
      <c r="G38" s="371"/>
      <c r="H38" s="371"/>
      <c r="I38" s="371"/>
      <c r="J38" s="371"/>
      <c r="K38" s="371"/>
      <c r="L38" s="371"/>
      <c r="M38" s="371"/>
    </row>
    <row r="39" spans="2:13" ht="12.6">
      <c r="B39" s="371"/>
      <c r="C39" s="371"/>
      <c r="D39" s="371"/>
      <c r="E39" s="371"/>
      <c r="F39" s="371"/>
      <c r="G39" s="371"/>
      <c r="H39" s="371"/>
      <c r="I39" s="371"/>
      <c r="J39" s="371"/>
      <c r="K39" s="371"/>
      <c r="L39" s="371"/>
      <c r="M39" s="371"/>
    </row>
    <row r="40" spans="2:13" ht="12.6">
      <c r="B40" s="371"/>
      <c r="C40" s="371"/>
      <c r="D40" s="371"/>
      <c r="E40" s="371"/>
      <c r="F40" s="371"/>
      <c r="G40" s="371"/>
      <c r="H40" s="371"/>
      <c r="I40" s="371"/>
      <c r="J40" s="371"/>
      <c r="K40" s="371"/>
      <c r="L40" s="371"/>
      <c r="M40" s="371"/>
    </row>
    <row r="41" spans="2:13" ht="12.6">
      <c r="B41" s="371"/>
      <c r="C41" s="371"/>
      <c r="D41" s="371"/>
      <c r="E41" s="371"/>
      <c r="F41" s="371"/>
      <c r="G41" s="371"/>
      <c r="H41" s="371"/>
      <c r="I41" s="371"/>
      <c r="J41" s="371"/>
      <c r="K41" s="371"/>
      <c r="L41" s="371"/>
      <c r="M41" s="371"/>
    </row>
    <row r="42" spans="2:13" ht="12.6">
      <c r="B42" s="371"/>
      <c r="C42" s="371"/>
      <c r="D42" s="371"/>
      <c r="E42" s="371"/>
      <c r="F42" s="371"/>
      <c r="G42" s="371"/>
      <c r="H42" s="371"/>
      <c r="I42" s="371"/>
      <c r="J42" s="371"/>
      <c r="K42" s="371"/>
      <c r="L42" s="371"/>
      <c r="M42" s="371"/>
    </row>
    <row r="43" spans="2:13" ht="12.6">
      <c r="B43" s="371"/>
      <c r="C43" s="371"/>
      <c r="D43" s="371"/>
      <c r="E43" s="371"/>
      <c r="F43" s="371"/>
      <c r="G43" s="371"/>
      <c r="H43" s="371"/>
      <c r="I43" s="371"/>
      <c r="J43" s="371"/>
      <c r="K43" s="371"/>
      <c r="L43" s="371"/>
      <c r="M43" s="371"/>
    </row>
    <row r="44" spans="2:13" ht="12.6">
      <c r="B44" s="371"/>
      <c r="C44" s="371"/>
      <c r="D44" s="371"/>
      <c r="E44" s="371"/>
      <c r="F44" s="371"/>
      <c r="G44" s="371"/>
      <c r="H44" s="371"/>
      <c r="I44" s="371"/>
      <c r="J44" s="371"/>
      <c r="K44" s="371"/>
      <c r="L44" s="371"/>
      <c r="M44" s="371"/>
    </row>
    <row r="45" spans="2:13" ht="12.6">
      <c r="B45" s="371"/>
      <c r="C45" s="371"/>
      <c r="D45" s="371"/>
      <c r="E45" s="371"/>
      <c r="F45" s="371"/>
      <c r="G45" s="371"/>
      <c r="H45" s="371"/>
      <c r="I45" s="371"/>
      <c r="J45" s="371"/>
      <c r="K45" s="371"/>
      <c r="L45" s="371"/>
      <c r="M45" s="371"/>
    </row>
    <row r="46" spans="2:13" ht="12.6">
      <c r="B46" s="371"/>
      <c r="C46" s="371"/>
      <c r="D46" s="371"/>
      <c r="E46" s="371"/>
      <c r="F46" s="371"/>
      <c r="G46" s="371"/>
      <c r="H46" s="371"/>
      <c r="I46" s="371"/>
      <c r="J46" s="371"/>
      <c r="K46" s="371"/>
      <c r="L46" s="371"/>
      <c r="M46" s="371"/>
    </row>
    <row r="47" spans="2:13" ht="12.6">
      <c r="B47" s="371"/>
      <c r="C47" s="371"/>
      <c r="D47" s="371"/>
      <c r="E47" s="371"/>
      <c r="F47" s="371"/>
      <c r="G47" s="371"/>
      <c r="H47" s="371"/>
      <c r="I47" s="371"/>
      <c r="J47" s="371"/>
      <c r="K47" s="371"/>
      <c r="L47" s="371"/>
      <c r="M47" s="371"/>
    </row>
    <row r="48" spans="2:13" ht="12.6">
      <c r="B48" s="371"/>
      <c r="C48" s="371"/>
      <c r="D48" s="371"/>
      <c r="E48" s="371"/>
      <c r="F48" s="371"/>
      <c r="G48" s="371"/>
      <c r="H48" s="371"/>
      <c r="I48" s="371"/>
      <c r="J48" s="371"/>
      <c r="K48" s="371"/>
      <c r="L48" s="371"/>
      <c r="M48" s="371"/>
    </row>
    <row r="49" spans="2:13" ht="12.6">
      <c r="B49" s="371"/>
      <c r="C49" s="371"/>
      <c r="D49" s="371"/>
      <c r="E49" s="371"/>
      <c r="F49" s="371"/>
      <c r="G49" s="371"/>
      <c r="H49" s="371"/>
      <c r="I49" s="371"/>
      <c r="J49" s="371"/>
      <c r="K49" s="371"/>
      <c r="L49" s="371"/>
      <c r="M49" s="371"/>
    </row>
    <row r="50" spans="2:13" ht="12.6">
      <c r="B50" s="371"/>
      <c r="C50" s="371"/>
      <c r="D50" s="371"/>
      <c r="E50" s="371"/>
      <c r="F50" s="371"/>
      <c r="G50" s="371"/>
      <c r="H50" s="371"/>
      <c r="I50" s="371"/>
      <c r="J50" s="371"/>
      <c r="K50" s="371"/>
      <c r="L50" s="371"/>
      <c r="M50" s="371"/>
    </row>
    <row r="51" spans="2:13" ht="12.6">
      <c r="B51" s="371"/>
      <c r="C51" s="371"/>
      <c r="D51" s="371"/>
      <c r="E51" s="371"/>
      <c r="F51" s="371"/>
      <c r="G51" s="371"/>
      <c r="H51" s="371"/>
      <c r="I51" s="371"/>
      <c r="J51" s="371"/>
      <c r="K51" s="371"/>
      <c r="L51" s="371"/>
      <c r="M51" s="371"/>
    </row>
    <row r="52" spans="2:13" ht="12.6">
      <c r="B52" s="371"/>
      <c r="C52" s="371"/>
      <c r="D52" s="371"/>
      <c r="E52" s="371"/>
      <c r="F52" s="371"/>
      <c r="G52" s="371"/>
      <c r="H52" s="371"/>
      <c r="I52" s="371"/>
      <c r="J52" s="371"/>
      <c r="K52" s="371"/>
      <c r="L52" s="371"/>
      <c r="M52" s="371"/>
    </row>
    <row r="53" spans="2:13" ht="12.6">
      <c r="B53" s="371"/>
      <c r="C53" s="371"/>
      <c r="D53" s="371"/>
      <c r="E53" s="371"/>
      <c r="F53" s="371"/>
      <c r="G53" s="371"/>
      <c r="H53" s="371"/>
      <c r="I53" s="371"/>
      <c r="J53" s="371"/>
      <c r="K53" s="371"/>
      <c r="L53" s="371"/>
      <c r="M53" s="371"/>
    </row>
    <row r="54" spans="2:13" ht="12.6">
      <c r="B54" s="371"/>
      <c r="C54" s="371"/>
      <c r="D54" s="371"/>
      <c r="E54" s="371"/>
      <c r="F54" s="371"/>
      <c r="G54" s="371"/>
      <c r="H54" s="371"/>
      <c r="I54" s="371"/>
      <c r="J54" s="371"/>
      <c r="K54" s="371"/>
      <c r="L54" s="371"/>
      <c r="M54" s="371"/>
    </row>
    <row r="55" spans="2:13" ht="12.6">
      <c r="B55" s="371"/>
      <c r="C55" s="371"/>
      <c r="D55" s="371"/>
      <c r="E55" s="371"/>
      <c r="F55" s="371"/>
      <c r="G55" s="371"/>
      <c r="H55" s="371"/>
      <c r="I55" s="371"/>
      <c r="J55" s="371"/>
      <c r="K55" s="371"/>
      <c r="L55" s="371"/>
      <c r="M55" s="371"/>
    </row>
    <row r="56" spans="2:13" ht="12.6">
      <c r="B56" s="371"/>
      <c r="C56" s="371"/>
      <c r="D56" s="371"/>
      <c r="E56" s="371"/>
      <c r="F56" s="371"/>
      <c r="G56" s="371"/>
      <c r="H56" s="371"/>
      <c r="I56" s="371"/>
      <c r="J56" s="371"/>
      <c r="K56" s="371"/>
      <c r="L56" s="371"/>
      <c r="M56" s="371"/>
    </row>
    <row r="57" spans="2:13" ht="12.6">
      <c r="B57" s="371"/>
      <c r="C57" s="371"/>
      <c r="D57" s="371"/>
      <c r="E57" s="371"/>
      <c r="F57" s="371"/>
      <c r="G57" s="371"/>
      <c r="H57" s="371"/>
      <c r="I57" s="371"/>
      <c r="J57" s="371"/>
      <c r="K57" s="371"/>
      <c r="L57" s="371"/>
      <c r="M57" s="371"/>
    </row>
    <row r="58" spans="2:13" ht="12.6">
      <c r="B58" s="371"/>
      <c r="C58" s="371"/>
      <c r="D58" s="371"/>
      <c r="E58" s="371"/>
      <c r="F58" s="371"/>
      <c r="G58" s="371"/>
      <c r="H58" s="371"/>
      <c r="I58" s="371"/>
      <c r="J58" s="371"/>
      <c r="K58" s="371"/>
      <c r="L58" s="371"/>
      <c r="M58" s="371"/>
    </row>
    <row r="59" spans="2:13" ht="12.6">
      <c r="B59" s="371"/>
      <c r="C59" s="371"/>
      <c r="D59" s="371"/>
      <c r="E59" s="371"/>
      <c r="F59" s="371"/>
      <c r="G59" s="371"/>
      <c r="H59" s="371"/>
      <c r="I59" s="371"/>
      <c r="J59" s="371"/>
      <c r="K59" s="371"/>
      <c r="L59" s="371"/>
      <c r="M59" s="371"/>
    </row>
    <row r="60" spans="2:13" ht="12.6">
      <c r="B60" s="371"/>
      <c r="C60" s="371"/>
      <c r="D60" s="371"/>
      <c r="E60" s="371"/>
      <c r="F60" s="371"/>
      <c r="G60" s="371"/>
      <c r="H60" s="371"/>
      <c r="I60" s="371"/>
      <c r="J60" s="371"/>
      <c r="K60" s="371"/>
      <c r="L60" s="371"/>
      <c r="M60" s="371"/>
    </row>
    <row r="61" spans="2:13" ht="12.6">
      <c r="B61" s="371"/>
      <c r="C61" s="371"/>
      <c r="D61" s="371"/>
      <c r="E61" s="371"/>
      <c r="F61" s="371"/>
      <c r="G61" s="371"/>
      <c r="H61" s="371"/>
      <c r="I61" s="371"/>
      <c r="J61" s="371"/>
      <c r="K61" s="371"/>
      <c r="L61" s="371"/>
      <c r="M61" s="371"/>
    </row>
    <row r="62" spans="2:13" ht="12.6">
      <c r="B62" s="371"/>
      <c r="C62" s="371"/>
      <c r="D62" s="371"/>
      <c r="E62" s="371"/>
      <c r="F62" s="371"/>
      <c r="G62" s="371"/>
      <c r="H62" s="371"/>
      <c r="I62" s="371"/>
      <c r="J62" s="371"/>
      <c r="K62" s="371"/>
      <c r="L62" s="371"/>
      <c r="M62" s="371"/>
    </row>
    <row r="63" spans="2:13" ht="12.6">
      <c r="B63" s="371"/>
      <c r="C63" s="371"/>
      <c r="D63" s="371"/>
      <c r="E63" s="371"/>
      <c r="F63" s="371"/>
      <c r="G63" s="371"/>
      <c r="H63" s="371"/>
      <c r="I63" s="371"/>
      <c r="J63" s="371"/>
      <c r="K63" s="371"/>
      <c r="L63" s="371"/>
      <c r="M63" s="371"/>
    </row>
    <row r="64" spans="2:13" ht="12.6">
      <c r="B64" s="371"/>
      <c r="C64" s="371"/>
      <c r="D64" s="371"/>
      <c r="E64" s="371"/>
      <c r="F64" s="371"/>
      <c r="G64" s="371"/>
      <c r="H64" s="371"/>
      <c r="I64" s="371"/>
      <c r="J64" s="371"/>
      <c r="K64" s="371"/>
      <c r="L64" s="371"/>
      <c r="M64" s="371"/>
    </row>
    <row r="65" spans="2:13" ht="12.6">
      <c r="B65" s="371"/>
      <c r="C65" s="371"/>
      <c r="D65" s="371"/>
      <c r="E65" s="371"/>
      <c r="F65" s="371"/>
      <c r="G65" s="371"/>
      <c r="H65" s="371"/>
      <c r="I65" s="371"/>
      <c r="J65" s="371"/>
      <c r="K65" s="371"/>
      <c r="L65" s="371"/>
      <c r="M65" s="371"/>
    </row>
    <row r="66" spans="2:13" ht="12.6">
      <c r="B66" s="371"/>
      <c r="C66" s="371"/>
      <c r="D66" s="371"/>
      <c r="E66" s="371"/>
      <c r="F66" s="371"/>
      <c r="G66" s="371"/>
      <c r="H66" s="371"/>
      <c r="I66" s="371"/>
      <c r="J66" s="371"/>
      <c r="K66" s="371"/>
      <c r="L66" s="371"/>
      <c r="M66" s="371"/>
    </row>
    <row r="67" spans="2:13" ht="12.6">
      <c r="B67" s="371"/>
      <c r="C67" s="371"/>
      <c r="D67" s="371"/>
      <c r="E67" s="371"/>
      <c r="F67" s="371"/>
      <c r="G67" s="371"/>
      <c r="H67" s="371"/>
      <c r="I67" s="371"/>
      <c r="J67" s="371"/>
      <c r="K67" s="371"/>
      <c r="L67" s="371"/>
      <c r="M67" s="371"/>
    </row>
    <row r="68" spans="2:13" ht="12.6">
      <c r="B68" s="371"/>
      <c r="C68" s="371"/>
      <c r="D68" s="371"/>
      <c r="E68" s="371"/>
      <c r="F68" s="371"/>
      <c r="G68" s="371"/>
      <c r="H68" s="371"/>
      <c r="I68" s="371"/>
      <c r="J68" s="371"/>
      <c r="K68" s="371"/>
      <c r="L68" s="371"/>
      <c r="M68" s="371"/>
    </row>
    <row r="69" spans="2:13" ht="12.6">
      <c r="B69" s="371"/>
      <c r="C69" s="371"/>
      <c r="D69" s="371"/>
      <c r="E69" s="371"/>
      <c r="F69" s="371"/>
      <c r="G69" s="371"/>
      <c r="H69" s="371"/>
      <c r="I69" s="371"/>
      <c r="J69" s="371"/>
      <c r="K69" s="371"/>
      <c r="L69" s="371"/>
      <c r="M69" s="371"/>
    </row>
    <row r="70" spans="2:13" ht="12.6">
      <c r="B70" s="371"/>
      <c r="C70" s="371"/>
      <c r="D70" s="371"/>
      <c r="E70" s="371"/>
      <c r="F70" s="371"/>
      <c r="G70" s="371"/>
      <c r="H70" s="371"/>
      <c r="I70" s="371"/>
      <c r="J70" s="371"/>
      <c r="K70" s="371"/>
      <c r="L70" s="371"/>
      <c r="M70" s="371"/>
    </row>
    <row r="71" spans="2:13" ht="12.6">
      <c r="B71" s="371"/>
      <c r="C71" s="371"/>
      <c r="D71" s="371"/>
      <c r="E71" s="371"/>
      <c r="F71" s="371"/>
      <c r="G71" s="371"/>
      <c r="H71" s="371"/>
      <c r="I71" s="371"/>
      <c r="J71" s="371"/>
      <c r="K71" s="371"/>
      <c r="L71" s="371"/>
      <c r="M71" s="371"/>
    </row>
    <row r="72" spans="2:13" ht="12.6">
      <c r="B72" s="371"/>
      <c r="C72" s="371"/>
      <c r="D72" s="371"/>
      <c r="E72" s="371"/>
      <c r="F72" s="371"/>
      <c r="G72" s="371"/>
      <c r="H72" s="371"/>
      <c r="I72" s="371"/>
      <c r="J72" s="371"/>
      <c r="K72" s="371"/>
      <c r="L72" s="371"/>
      <c r="M72" s="371"/>
    </row>
    <row r="73" spans="2:13" ht="12.6">
      <c r="B73" s="371"/>
      <c r="C73" s="371"/>
      <c r="D73" s="371"/>
      <c r="E73" s="371"/>
      <c r="F73" s="371"/>
      <c r="G73" s="371"/>
      <c r="H73" s="371"/>
      <c r="I73" s="371"/>
      <c r="J73" s="371"/>
      <c r="K73" s="371"/>
      <c r="L73" s="371"/>
      <c r="M73" s="371"/>
    </row>
    <row r="74" spans="2:13" ht="12.6">
      <c r="B74" s="371"/>
      <c r="C74" s="371"/>
      <c r="D74" s="371"/>
      <c r="E74" s="371"/>
      <c r="F74" s="371"/>
      <c r="G74" s="371"/>
      <c r="H74" s="371"/>
      <c r="I74" s="371"/>
      <c r="J74" s="371"/>
      <c r="K74" s="371"/>
      <c r="L74" s="371"/>
      <c r="M74" s="371"/>
    </row>
    <row r="75" spans="2:13" ht="12.6">
      <c r="B75" s="371"/>
      <c r="C75" s="371"/>
      <c r="D75" s="371"/>
      <c r="E75" s="371"/>
      <c r="F75" s="371"/>
      <c r="G75" s="371"/>
      <c r="H75" s="371"/>
      <c r="I75" s="371"/>
      <c r="J75" s="371"/>
      <c r="K75" s="371"/>
      <c r="L75" s="371"/>
      <c r="M75" s="371"/>
    </row>
    <row r="76" spans="2:13" ht="12.6">
      <c r="B76" s="371"/>
      <c r="C76" s="371"/>
      <c r="D76" s="371"/>
      <c r="E76" s="371"/>
      <c r="F76" s="371"/>
      <c r="G76" s="371"/>
      <c r="H76" s="371"/>
      <c r="I76" s="371"/>
      <c r="J76" s="371"/>
      <c r="K76" s="371"/>
      <c r="L76" s="371"/>
      <c r="M76" s="371"/>
    </row>
    <row r="77" spans="2:13" ht="12.6">
      <c r="B77" s="371"/>
      <c r="C77" s="371"/>
      <c r="D77" s="371"/>
      <c r="E77" s="371"/>
      <c r="F77" s="371"/>
      <c r="G77" s="371"/>
      <c r="H77" s="371"/>
      <c r="I77" s="371"/>
      <c r="J77" s="371"/>
      <c r="K77" s="371"/>
      <c r="L77" s="371"/>
      <c r="M77" s="371"/>
    </row>
    <row r="78" spans="2:13" ht="12.6">
      <c r="B78" s="371"/>
      <c r="C78" s="371"/>
      <c r="D78" s="371"/>
      <c r="E78" s="371"/>
      <c r="F78" s="371"/>
      <c r="G78" s="371"/>
      <c r="H78" s="371"/>
      <c r="I78" s="371"/>
      <c r="J78" s="371"/>
      <c r="K78" s="371"/>
      <c r="L78" s="371"/>
      <c r="M78" s="371"/>
    </row>
    <row r="79" spans="2:13" ht="12.6">
      <c r="B79" s="371"/>
      <c r="C79" s="371"/>
      <c r="D79" s="371"/>
      <c r="E79" s="371"/>
      <c r="F79" s="371"/>
      <c r="G79" s="371"/>
      <c r="H79" s="371"/>
      <c r="I79" s="371"/>
      <c r="J79" s="371"/>
      <c r="K79" s="371"/>
      <c r="L79" s="371"/>
      <c r="M79" s="371"/>
    </row>
    <row r="80" spans="2:13" ht="12.6">
      <c r="B80" s="371"/>
      <c r="C80" s="371"/>
      <c r="D80" s="371"/>
      <c r="E80" s="371"/>
      <c r="F80" s="371"/>
      <c r="G80" s="371"/>
      <c r="H80" s="371"/>
      <c r="I80" s="371"/>
      <c r="J80" s="371"/>
      <c r="K80" s="371"/>
      <c r="L80" s="371"/>
      <c r="M80" s="371"/>
    </row>
    <row r="81" spans="2:13" ht="12.6">
      <c r="B81" s="371"/>
      <c r="C81" s="371"/>
      <c r="D81" s="371"/>
      <c r="E81" s="371"/>
      <c r="F81" s="371"/>
      <c r="G81" s="371"/>
      <c r="H81" s="371"/>
      <c r="I81" s="371"/>
      <c r="J81" s="371"/>
      <c r="K81" s="371"/>
      <c r="L81" s="371"/>
      <c r="M81" s="371"/>
    </row>
    <row r="82" spans="2:13" ht="12.6">
      <c r="B82" s="371"/>
      <c r="C82" s="371"/>
      <c r="D82" s="371"/>
      <c r="E82" s="371"/>
      <c r="F82" s="371"/>
      <c r="G82" s="371"/>
      <c r="H82" s="371"/>
      <c r="I82" s="371"/>
      <c r="J82" s="371"/>
      <c r="K82" s="371"/>
      <c r="L82" s="371"/>
      <c r="M82" s="371"/>
    </row>
    <row r="83" spans="2:13" ht="12.6">
      <c r="B83" s="371"/>
      <c r="C83" s="371"/>
      <c r="D83" s="371"/>
      <c r="E83" s="371"/>
      <c r="F83" s="371"/>
      <c r="G83" s="371"/>
      <c r="H83" s="371"/>
      <c r="I83" s="371"/>
      <c r="J83" s="371"/>
      <c r="K83" s="371"/>
      <c r="L83" s="371"/>
      <c r="M83" s="371"/>
    </row>
    <row r="84" spans="2:13" ht="12.6">
      <c r="B84" s="371"/>
      <c r="C84" s="371"/>
      <c r="D84" s="371"/>
      <c r="E84" s="371"/>
      <c r="F84" s="371"/>
      <c r="G84" s="371"/>
      <c r="H84" s="371"/>
      <c r="I84" s="371"/>
      <c r="J84" s="371"/>
      <c r="K84" s="371"/>
      <c r="L84" s="371"/>
      <c r="M84" s="371"/>
    </row>
    <row r="85" spans="2:13" ht="12.6">
      <c r="B85" s="371"/>
      <c r="C85" s="371"/>
      <c r="D85" s="371"/>
      <c r="E85" s="371"/>
      <c r="F85" s="371"/>
      <c r="G85" s="371"/>
      <c r="H85" s="371"/>
      <c r="I85" s="371"/>
      <c r="J85" s="371"/>
      <c r="K85" s="371"/>
      <c r="L85" s="371"/>
      <c r="M85" s="371"/>
    </row>
    <row r="86" spans="2:13" ht="12.6">
      <c r="B86" s="371"/>
      <c r="C86" s="371"/>
      <c r="D86" s="371"/>
      <c r="E86" s="371"/>
      <c r="F86" s="371"/>
      <c r="G86" s="371"/>
      <c r="H86" s="371"/>
      <c r="I86" s="371"/>
      <c r="J86" s="371"/>
      <c r="K86" s="371"/>
      <c r="L86" s="371"/>
      <c r="M86" s="371"/>
    </row>
    <row r="87" spans="2:13" ht="12.6">
      <c r="B87" s="371"/>
      <c r="C87" s="371"/>
      <c r="D87" s="371"/>
      <c r="E87" s="371"/>
      <c r="F87" s="371"/>
      <c r="G87" s="371"/>
      <c r="H87" s="371"/>
      <c r="I87" s="371"/>
      <c r="J87" s="371"/>
      <c r="K87" s="371"/>
      <c r="L87" s="371"/>
      <c r="M87" s="371"/>
    </row>
    <row r="88" spans="2:13" ht="12.6">
      <c r="B88" s="371"/>
      <c r="C88" s="371"/>
      <c r="D88" s="371"/>
      <c r="E88" s="371"/>
      <c r="F88" s="371"/>
      <c r="G88" s="371"/>
      <c r="H88" s="371"/>
      <c r="I88" s="371"/>
      <c r="J88" s="371"/>
      <c r="K88" s="371"/>
      <c r="L88" s="371"/>
      <c r="M88" s="371"/>
    </row>
    <row r="89" spans="2:13" ht="12.6">
      <c r="B89" s="371"/>
      <c r="C89" s="371"/>
      <c r="D89" s="371"/>
      <c r="E89" s="371"/>
      <c r="F89" s="371"/>
      <c r="G89" s="371"/>
      <c r="H89" s="371"/>
      <c r="I89" s="371"/>
      <c r="J89" s="371"/>
      <c r="K89" s="371"/>
      <c r="L89" s="371"/>
      <c r="M89" s="371"/>
    </row>
    <row r="90" spans="2:13" ht="12.6">
      <c r="B90" s="371"/>
      <c r="C90" s="371"/>
      <c r="D90" s="371"/>
      <c r="E90" s="371"/>
      <c r="F90" s="371"/>
      <c r="G90" s="371"/>
      <c r="H90" s="371"/>
      <c r="I90" s="371"/>
      <c r="J90" s="371"/>
      <c r="K90" s="371"/>
      <c r="L90" s="371"/>
      <c r="M90" s="371"/>
    </row>
    <row r="91" spans="2:13" ht="12.6">
      <c r="B91" s="371"/>
      <c r="C91" s="371"/>
      <c r="D91" s="371"/>
      <c r="E91" s="371"/>
      <c r="F91" s="371"/>
      <c r="G91" s="371"/>
      <c r="H91" s="371"/>
      <c r="I91" s="371"/>
      <c r="J91" s="371"/>
      <c r="K91" s="371"/>
      <c r="L91" s="371"/>
      <c r="M91" s="371"/>
    </row>
    <row r="92" spans="2:13" ht="12.6">
      <c r="B92" s="371"/>
      <c r="C92" s="371"/>
      <c r="D92" s="371"/>
      <c r="E92" s="371"/>
      <c r="F92" s="371"/>
      <c r="G92" s="371"/>
      <c r="H92" s="371"/>
      <c r="I92" s="371"/>
      <c r="J92" s="371"/>
      <c r="K92" s="371"/>
      <c r="L92" s="371"/>
      <c r="M92" s="371"/>
    </row>
    <row r="93" spans="2:13" ht="12.6">
      <c r="B93" s="371"/>
      <c r="C93" s="371"/>
      <c r="D93" s="371"/>
      <c r="E93" s="371"/>
      <c r="F93" s="371"/>
      <c r="G93" s="371"/>
      <c r="H93" s="371"/>
      <c r="I93" s="371"/>
      <c r="J93" s="371"/>
      <c r="K93" s="371"/>
      <c r="L93" s="371"/>
      <c r="M93" s="371"/>
    </row>
    <row r="94" spans="2:13" ht="12.6">
      <c r="B94" s="371"/>
      <c r="C94" s="371"/>
      <c r="D94" s="371"/>
      <c r="E94" s="371"/>
      <c r="F94" s="371"/>
      <c r="G94" s="371"/>
      <c r="H94" s="371"/>
      <c r="I94" s="371"/>
      <c r="J94" s="371"/>
      <c r="K94" s="371"/>
      <c r="L94" s="371"/>
      <c r="M94" s="371"/>
    </row>
    <row r="95" spans="2:13" ht="12.6">
      <c r="B95" s="371"/>
      <c r="C95" s="371"/>
      <c r="D95" s="371"/>
      <c r="E95" s="371"/>
      <c r="F95" s="371"/>
      <c r="G95" s="371"/>
      <c r="H95" s="371"/>
      <c r="I95" s="371"/>
      <c r="J95" s="371"/>
      <c r="K95" s="371"/>
      <c r="L95" s="371"/>
      <c r="M95" s="371"/>
    </row>
    <row r="96" spans="2:13" ht="12.6">
      <c r="B96" s="371"/>
      <c r="C96" s="371"/>
      <c r="D96" s="371"/>
      <c r="E96" s="371"/>
      <c r="F96" s="371"/>
      <c r="G96" s="371"/>
      <c r="H96" s="371"/>
      <c r="I96" s="371"/>
      <c r="J96" s="371"/>
      <c r="K96" s="371"/>
      <c r="L96" s="371"/>
      <c r="M96" s="371"/>
    </row>
    <row r="97" spans="2:13" ht="12.6">
      <c r="B97" s="371"/>
      <c r="C97" s="371"/>
      <c r="D97" s="371"/>
      <c r="E97" s="371"/>
      <c r="F97" s="371"/>
      <c r="G97" s="371"/>
      <c r="H97" s="371"/>
      <c r="I97" s="371"/>
      <c r="J97" s="371"/>
      <c r="K97" s="371"/>
      <c r="L97" s="371"/>
      <c r="M97" s="371"/>
    </row>
    <row r="98" spans="2:13" ht="12.6">
      <c r="B98" s="371"/>
      <c r="C98" s="371"/>
      <c r="D98" s="371"/>
      <c r="E98" s="371"/>
      <c r="F98" s="371"/>
      <c r="G98" s="371"/>
      <c r="H98" s="371"/>
      <c r="I98" s="371"/>
      <c r="J98" s="371"/>
      <c r="K98" s="371"/>
      <c r="L98" s="371"/>
      <c r="M98" s="371"/>
    </row>
    <row r="99" spans="2:13" ht="12.6">
      <c r="B99" s="371"/>
      <c r="C99" s="371"/>
      <c r="D99" s="371"/>
      <c r="E99" s="371"/>
      <c r="F99" s="371"/>
      <c r="G99" s="371"/>
      <c r="H99" s="371"/>
      <c r="I99" s="371"/>
      <c r="J99" s="371"/>
      <c r="K99" s="371"/>
      <c r="L99" s="371"/>
      <c r="M99" s="371"/>
    </row>
    <row r="100" spans="2:13" ht="12.6">
      <c r="B100" s="371"/>
      <c r="C100" s="371"/>
      <c r="D100" s="371"/>
      <c r="E100" s="371"/>
      <c r="F100" s="371"/>
      <c r="G100" s="371"/>
      <c r="H100" s="371"/>
      <c r="I100" s="371"/>
      <c r="J100" s="371"/>
      <c r="K100" s="371"/>
      <c r="L100" s="371"/>
      <c r="M100" s="371"/>
    </row>
    <row r="101" spans="2:13" ht="12.6">
      <c r="B101" s="371"/>
      <c r="C101" s="371"/>
      <c r="D101" s="371"/>
      <c r="E101" s="371"/>
      <c r="F101" s="371"/>
      <c r="G101" s="371"/>
      <c r="H101" s="371"/>
      <c r="I101" s="371"/>
      <c r="J101" s="371"/>
      <c r="K101" s="371"/>
      <c r="L101" s="371"/>
      <c r="M101" s="371"/>
    </row>
    <row r="102" spans="2:13" ht="12.6">
      <c r="B102" s="371"/>
      <c r="C102" s="371"/>
      <c r="D102" s="371"/>
      <c r="E102" s="371"/>
      <c r="F102" s="371"/>
      <c r="G102" s="371"/>
      <c r="H102" s="371"/>
      <c r="I102" s="371"/>
      <c r="J102" s="371"/>
      <c r="K102" s="371"/>
      <c r="L102" s="371"/>
      <c r="M102" s="371"/>
    </row>
    <row r="103" spans="2:13" ht="12.6">
      <c r="B103" s="371"/>
      <c r="C103" s="371"/>
      <c r="D103" s="371"/>
      <c r="E103" s="371"/>
      <c r="F103" s="371"/>
      <c r="G103" s="371"/>
      <c r="H103" s="371"/>
      <c r="I103" s="371"/>
      <c r="J103" s="371"/>
      <c r="K103" s="371"/>
      <c r="L103" s="371"/>
      <c r="M103" s="371"/>
    </row>
    <row r="104" spans="2:13" ht="12.6">
      <c r="B104" s="371"/>
      <c r="C104" s="371"/>
      <c r="D104" s="371"/>
      <c r="E104" s="371"/>
      <c r="F104" s="371"/>
      <c r="G104" s="371"/>
      <c r="H104" s="371"/>
      <c r="I104" s="371"/>
      <c r="J104" s="371"/>
      <c r="K104" s="371"/>
      <c r="L104" s="371"/>
      <c r="M104" s="371"/>
    </row>
    <row r="105" spans="2:13" ht="12.6">
      <c r="B105" s="371"/>
      <c r="C105" s="371"/>
      <c r="D105" s="371"/>
      <c r="E105" s="371"/>
      <c r="F105" s="371"/>
      <c r="G105" s="371"/>
      <c r="H105" s="371"/>
      <c r="I105" s="371"/>
      <c r="J105" s="371"/>
      <c r="K105" s="371"/>
      <c r="L105" s="371"/>
      <c r="M105" s="371"/>
    </row>
    <row r="106" spans="2:13" ht="12.6">
      <c r="B106" s="371"/>
      <c r="C106" s="371"/>
      <c r="D106" s="371"/>
      <c r="E106" s="371"/>
      <c r="F106" s="371"/>
      <c r="G106" s="371"/>
      <c r="H106" s="371"/>
      <c r="I106" s="371"/>
      <c r="J106" s="371"/>
      <c r="K106" s="371"/>
      <c r="L106" s="371"/>
      <c r="M106" s="371"/>
    </row>
    <row r="107" spans="2:13" ht="12.6">
      <c r="B107" s="371"/>
      <c r="C107" s="371"/>
      <c r="D107" s="371"/>
      <c r="E107" s="371"/>
      <c r="F107" s="371"/>
      <c r="G107" s="371"/>
      <c r="H107" s="371"/>
      <c r="I107" s="371"/>
      <c r="J107" s="371"/>
      <c r="K107" s="371"/>
      <c r="L107" s="371"/>
      <c r="M107" s="371"/>
    </row>
    <row r="108" spans="2:13" s="373" customFormat="1" ht="12.6">
      <c r="B108" s="373" t="s">
        <v>19</v>
      </c>
    </row>
    <row r="109" spans="2:13" ht="12.6">
      <c r="B109" s="371"/>
      <c r="C109" s="371"/>
      <c r="D109" s="371"/>
      <c r="E109" s="371"/>
      <c r="F109" s="371"/>
      <c r="G109" s="371"/>
      <c r="H109" s="371"/>
      <c r="I109" s="371"/>
      <c r="J109" s="371"/>
      <c r="K109" s="371"/>
      <c r="L109" s="371"/>
      <c r="M109" s="371"/>
    </row>
    <row r="110" spans="2:13" ht="12.6">
      <c r="B110" s="760" t="s">
        <v>20</v>
      </c>
      <c r="C110" s="760" t="s">
        <v>21</v>
      </c>
      <c r="D110" s="760" t="s">
        <v>12</v>
      </c>
      <c r="E110" s="761" t="s">
        <v>22</v>
      </c>
      <c r="F110" s="371"/>
      <c r="G110" s="371"/>
      <c r="H110" s="371"/>
      <c r="I110" s="371"/>
      <c r="J110" s="371"/>
      <c r="K110" s="371"/>
      <c r="L110" s="371"/>
      <c r="M110" s="371"/>
    </row>
    <row r="111" spans="2:13" ht="12.6">
      <c r="B111" s="774" t="s">
        <v>23</v>
      </c>
      <c r="C111" s="762" t="s">
        <v>24</v>
      </c>
      <c r="D111" s="619" t="s">
        <v>25</v>
      </c>
      <c r="E111" s="763" t="s">
        <v>26</v>
      </c>
      <c r="F111" s="371"/>
      <c r="G111" s="371"/>
      <c r="H111" s="371"/>
      <c r="I111" s="371"/>
      <c r="J111" s="371"/>
      <c r="K111" s="371"/>
      <c r="L111" s="371"/>
      <c r="M111" s="371"/>
    </row>
    <row r="112" spans="2:13" ht="14.4">
      <c r="B112" s="771" t="s">
        <v>11</v>
      </c>
      <c r="C112" s="773" t="s">
        <v>24</v>
      </c>
      <c r="D112" s="619" t="s">
        <v>27</v>
      </c>
      <c r="E112" s="763" t="s">
        <v>26</v>
      </c>
      <c r="F112" s="371"/>
      <c r="G112" s="371"/>
      <c r="H112" s="371"/>
      <c r="I112" s="371"/>
      <c r="J112" s="371"/>
      <c r="K112" s="371"/>
      <c r="L112" s="371"/>
      <c r="M112" s="371"/>
    </row>
    <row r="113" spans="2:13" ht="13.5" customHeight="1">
      <c r="B113" s="860" t="s">
        <v>28</v>
      </c>
      <c r="C113" s="861"/>
      <c r="D113" s="861"/>
      <c r="E113" s="862"/>
      <c r="F113" s="371"/>
      <c r="G113" s="371"/>
      <c r="H113" s="371"/>
      <c r="I113" s="371"/>
      <c r="J113" s="371"/>
      <c r="K113" s="371"/>
      <c r="L113" s="371"/>
      <c r="M113" s="371"/>
    </row>
    <row r="114" spans="2:13" ht="50.4">
      <c r="B114" s="764" t="s">
        <v>29</v>
      </c>
      <c r="C114" s="762" t="s">
        <v>30</v>
      </c>
      <c r="D114" s="619" t="s">
        <v>31</v>
      </c>
      <c r="E114" s="763" t="s">
        <v>26</v>
      </c>
      <c r="F114" s="371"/>
      <c r="G114" s="371"/>
      <c r="H114" s="371"/>
      <c r="I114" s="371"/>
      <c r="J114" s="371"/>
      <c r="K114" s="371"/>
      <c r="L114" s="371"/>
      <c r="M114" s="371"/>
    </row>
    <row r="115" spans="2:13" ht="12.6">
      <c r="B115" s="863" t="s">
        <v>32</v>
      </c>
      <c r="C115" s="864"/>
      <c r="D115" s="864"/>
      <c r="E115" s="865"/>
      <c r="F115" s="371"/>
      <c r="G115" s="371"/>
      <c r="H115" s="371"/>
      <c r="I115" s="371"/>
      <c r="J115" s="371"/>
      <c r="K115" s="371"/>
      <c r="L115" s="371"/>
      <c r="M115" s="371"/>
    </row>
    <row r="116" spans="2:13" ht="25.2">
      <c r="B116" s="765" t="s">
        <v>33</v>
      </c>
      <c r="C116" s="619" t="s">
        <v>34</v>
      </c>
      <c r="D116" s="766" t="s">
        <v>35</v>
      </c>
      <c r="E116" s="763" t="s">
        <v>26</v>
      </c>
      <c r="F116" s="371"/>
      <c r="G116" s="371"/>
      <c r="H116" s="371"/>
      <c r="I116" s="371"/>
      <c r="J116" s="371"/>
      <c r="K116" s="371"/>
      <c r="L116" s="371"/>
      <c r="M116" s="371"/>
    </row>
    <row r="117" spans="2:13" ht="12.6">
      <c r="B117" s="866" t="s">
        <v>36</v>
      </c>
      <c r="C117" s="867"/>
      <c r="D117" s="867"/>
      <c r="E117" s="868"/>
      <c r="F117" s="371"/>
      <c r="G117" s="371"/>
      <c r="H117" s="371"/>
      <c r="I117" s="371"/>
      <c r="J117" s="371"/>
      <c r="K117" s="371"/>
      <c r="L117" s="371"/>
      <c r="M117" s="371"/>
    </row>
    <row r="118" spans="2:13" ht="14.4">
      <c r="B118" s="765" t="s">
        <v>37</v>
      </c>
      <c r="C118" s="619" t="s">
        <v>38</v>
      </c>
      <c r="D118" s="619" t="s">
        <v>39</v>
      </c>
      <c r="E118" s="763" t="s">
        <v>26</v>
      </c>
      <c r="F118" s="371"/>
      <c r="G118" s="371"/>
      <c r="H118" s="371"/>
      <c r="I118" s="371"/>
      <c r="J118" s="371"/>
      <c r="K118" s="371"/>
      <c r="L118" s="371"/>
      <c r="M118" s="371"/>
    </row>
    <row r="119" spans="2:13" ht="25.2">
      <c r="B119" s="765" t="s">
        <v>40</v>
      </c>
      <c r="C119" s="619" t="s">
        <v>38</v>
      </c>
      <c r="D119" s="619" t="s">
        <v>41</v>
      </c>
      <c r="E119" s="763" t="s">
        <v>26</v>
      </c>
      <c r="F119" s="371"/>
      <c r="G119" s="371"/>
      <c r="H119" s="371"/>
      <c r="I119" s="371"/>
      <c r="J119" s="371"/>
      <c r="K119" s="371"/>
      <c r="L119" s="371"/>
      <c r="M119" s="371"/>
    </row>
    <row r="120" spans="2:13" ht="15.75" customHeight="1">
      <c r="B120" s="869" t="s">
        <v>42</v>
      </c>
      <c r="C120" s="870"/>
      <c r="D120" s="870"/>
      <c r="E120" s="871"/>
      <c r="F120" s="371"/>
      <c r="G120" s="371"/>
      <c r="H120" s="371"/>
      <c r="I120" s="371"/>
      <c r="J120" s="371"/>
      <c r="K120" s="371"/>
      <c r="L120" s="371"/>
      <c r="M120" s="371"/>
    </row>
    <row r="121" spans="2:13" ht="25.2">
      <c r="B121" s="765" t="s">
        <v>43</v>
      </c>
      <c r="C121" s="619" t="s">
        <v>34</v>
      </c>
      <c r="D121" s="619" t="s">
        <v>44</v>
      </c>
      <c r="E121" s="767" t="s">
        <v>45</v>
      </c>
      <c r="F121" s="371"/>
      <c r="G121" s="371"/>
      <c r="H121" s="371"/>
      <c r="I121" s="371"/>
      <c r="J121" s="371"/>
      <c r="K121" s="371"/>
      <c r="L121" s="371"/>
      <c r="M121" s="371"/>
    </row>
    <row r="122" spans="2:13" ht="25.2">
      <c r="B122" s="765" t="s">
        <v>46</v>
      </c>
      <c r="C122" s="619" t="s">
        <v>34</v>
      </c>
      <c r="D122" s="619" t="s">
        <v>47</v>
      </c>
      <c r="E122" s="767" t="s">
        <v>48</v>
      </c>
      <c r="F122" s="371"/>
      <c r="G122" s="371"/>
      <c r="H122" s="371"/>
      <c r="I122" s="371"/>
      <c r="J122" s="371"/>
      <c r="K122" s="371"/>
      <c r="L122" s="371"/>
      <c r="M122" s="371"/>
    </row>
    <row r="123" spans="2:13" ht="25.2">
      <c r="B123" s="765" t="s">
        <v>49</v>
      </c>
      <c r="C123" s="619" t="s">
        <v>34</v>
      </c>
      <c r="D123" s="619" t="s">
        <v>50</v>
      </c>
      <c r="E123" s="767" t="s">
        <v>26</v>
      </c>
      <c r="F123" s="371"/>
      <c r="G123" s="371"/>
      <c r="H123" s="371"/>
      <c r="I123" s="371"/>
      <c r="J123" s="371"/>
      <c r="K123" s="371"/>
      <c r="L123" s="371"/>
      <c r="M123" s="371"/>
    </row>
    <row r="124" spans="2:13" ht="14.4">
      <c r="B124" s="765" t="s">
        <v>51</v>
      </c>
      <c r="C124" s="619" t="s">
        <v>34</v>
      </c>
      <c r="D124" s="619" t="s">
        <v>52</v>
      </c>
      <c r="E124" s="767" t="s">
        <v>53</v>
      </c>
      <c r="F124" s="371"/>
      <c r="G124" s="371"/>
      <c r="H124" s="371"/>
      <c r="I124" s="371"/>
      <c r="J124" s="371"/>
      <c r="K124" s="371"/>
      <c r="L124" s="371"/>
      <c r="M124" s="371"/>
    </row>
    <row r="125" spans="2:13" ht="25.2">
      <c r="B125" s="765" t="s">
        <v>54</v>
      </c>
      <c r="C125" s="619" t="s">
        <v>34</v>
      </c>
      <c r="D125" s="619" t="s">
        <v>55</v>
      </c>
      <c r="E125" s="767" t="s">
        <v>26</v>
      </c>
      <c r="F125" s="371"/>
      <c r="G125" s="371"/>
      <c r="H125" s="371"/>
      <c r="I125" s="371"/>
      <c r="J125" s="371"/>
      <c r="K125" s="371"/>
      <c r="L125" s="371"/>
      <c r="M125" s="371"/>
    </row>
    <row r="126" spans="2:13" ht="25.2">
      <c r="B126" s="768" t="s">
        <v>56</v>
      </c>
      <c r="C126" s="619" t="s">
        <v>34</v>
      </c>
      <c r="D126" s="619" t="s">
        <v>57</v>
      </c>
      <c r="E126" s="767" t="s">
        <v>58</v>
      </c>
      <c r="F126" s="371"/>
      <c r="G126" s="371"/>
      <c r="H126" s="371"/>
      <c r="I126" s="371"/>
      <c r="J126" s="371"/>
      <c r="K126" s="371"/>
      <c r="L126" s="371"/>
      <c r="M126" s="371"/>
    </row>
    <row r="127" spans="2:13" ht="12.6">
      <c r="B127" s="872" t="s">
        <v>59</v>
      </c>
      <c r="C127" s="873"/>
      <c r="D127" s="873"/>
      <c r="E127" s="874"/>
      <c r="F127" s="371"/>
      <c r="G127" s="371"/>
      <c r="H127" s="371"/>
      <c r="I127" s="371"/>
      <c r="J127" s="371"/>
      <c r="K127" s="371"/>
      <c r="L127" s="371"/>
      <c r="M127" s="371"/>
    </row>
    <row r="128" spans="2:13" ht="14.4">
      <c r="B128" s="769" t="s">
        <v>60</v>
      </c>
      <c r="C128" s="767" t="s">
        <v>38</v>
      </c>
      <c r="D128" s="767" t="s">
        <v>61</v>
      </c>
      <c r="E128" s="767" t="s">
        <v>53</v>
      </c>
      <c r="F128" s="371"/>
      <c r="G128" s="371"/>
      <c r="H128" s="371"/>
      <c r="I128" s="371"/>
      <c r="J128" s="371"/>
      <c r="K128" s="371"/>
      <c r="L128" s="371"/>
      <c r="M128" s="371"/>
    </row>
    <row r="129" spans="2:13" ht="14.4">
      <c r="B129" s="769" t="s">
        <v>62</v>
      </c>
      <c r="C129" s="767" t="s">
        <v>38</v>
      </c>
      <c r="D129" s="767" t="s">
        <v>63</v>
      </c>
      <c r="E129" s="767" t="s">
        <v>53</v>
      </c>
      <c r="F129" s="371"/>
      <c r="G129" s="371"/>
      <c r="H129" s="371"/>
      <c r="I129" s="371"/>
      <c r="J129" s="371"/>
      <c r="K129" s="371"/>
      <c r="L129" s="371"/>
      <c r="M129" s="371"/>
    </row>
    <row r="130" spans="2:13" ht="14.4">
      <c r="B130" s="769" t="s">
        <v>64</v>
      </c>
      <c r="C130" s="767" t="s">
        <v>38</v>
      </c>
      <c r="D130" s="767" t="s">
        <v>65</v>
      </c>
      <c r="E130" s="767" t="s">
        <v>53</v>
      </c>
      <c r="F130" s="371"/>
      <c r="G130" s="371"/>
      <c r="H130" s="371"/>
      <c r="I130" s="371"/>
      <c r="J130" s="371"/>
      <c r="K130" s="371"/>
      <c r="L130" s="371"/>
      <c r="M130" s="371"/>
    </row>
    <row r="131" spans="2:13" ht="14.4">
      <c r="B131" s="765" t="s">
        <v>66</v>
      </c>
      <c r="C131" s="767" t="s">
        <v>38</v>
      </c>
      <c r="D131" s="619" t="s">
        <v>67</v>
      </c>
      <c r="E131" s="619" t="s">
        <v>53</v>
      </c>
    </row>
    <row r="132" spans="2:13" ht="13.5" customHeight="1">
      <c r="B132" s="765" t="s">
        <v>68</v>
      </c>
      <c r="C132" s="767" t="s">
        <v>38</v>
      </c>
      <c r="D132" s="619" t="s">
        <v>69</v>
      </c>
      <c r="E132" s="619" t="s">
        <v>70</v>
      </c>
    </row>
    <row r="133" spans="2:13" ht="25.2">
      <c r="B133" s="765" t="s">
        <v>71</v>
      </c>
      <c r="C133" s="767" t="s">
        <v>72</v>
      </c>
      <c r="D133" s="619" t="s">
        <v>73</v>
      </c>
      <c r="E133" s="619" t="s">
        <v>74</v>
      </c>
    </row>
    <row r="134" spans="2:13" ht="13.5" customHeight="1">
      <c r="B134" s="875" t="s">
        <v>75</v>
      </c>
      <c r="C134" s="876"/>
      <c r="D134" s="876"/>
      <c r="E134" s="877"/>
    </row>
    <row r="135" spans="2:13" ht="13.5" customHeight="1">
      <c r="B135" s="770" t="s">
        <v>76</v>
      </c>
      <c r="C135" s="766" t="s">
        <v>72</v>
      </c>
      <c r="D135" s="766" t="s">
        <v>77</v>
      </c>
      <c r="E135" s="619" t="s">
        <v>26</v>
      </c>
    </row>
    <row r="136" spans="2:13" ht="37.799999999999997">
      <c r="B136" s="765" t="s">
        <v>78</v>
      </c>
      <c r="C136" s="619" t="s">
        <v>72</v>
      </c>
      <c r="D136" s="619" t="s">
        <v>79</v>
      </c>
      <c r="E136" s="619" t="s">
        <v>80</v>
      </c>
    </row>
    <row r="137" spans="2:13" ht="25.2">
      <c r="B137" s="765" t="s">
        <v>81</v>
      </c>
      <c r="C137" s="619" t="s">
        <v>72</v>
      </c>
      <c r="D137" s="619" t="s">
        <v>82</v>
      </c>
      <c r="E137" s="619" t="s">
        <v>83</v>
      </c>
    </row>
    <row r="138" spans="2:13" ht="37.799999999999997">
      <c r="B138" s="771" t="s">
        <v>84</v>
      </c>
      <c r="C138" s="619" t="s">
        <v>38</v>
      </c>
      <c r="D138" s="772" t="s">
        <v>85</v>
      </c>
      <c r="E138" s="619" t="s">
        <v>86</v>
      </c>
    </row>
    <row r="139" spans="2:13" ht="12.6">
      <c r="B139" s="856" t="s">
        <v>87</v>
      </c>
      <c r="C139" s="857"/>
      <c r="D139" s="858"/>
      <c r="E139" s="859"/>
    </row>
    <row r="140" spans="2:13" ht="14.4">
      <c r="B140" s="770" t="s">
        <v>88</v>
      </c>
      <c r="C140" s="766" t="s">
        <v>38</v>
      </c>
      <c r="D140" s="619" t="s">
        <v>89</v>
      </c>
      <c r="E140" s="619" t="s">
        <v>90</v>
      </c>
    </row>
    <row r="141" spans="2:13" ht="13.5" customHeight="1">
      <c r="B141" s="765" t="s">
        <v>91</v>
      </c>
      <c r="C141" s="619" t="s">
        <v>38</v>
      </c>
      <c r="D141" s="619" t="s">
        <v>92</v>
      </c>
      <c r="E141" s="619" t="s">
        <v>93</v>
      </c>
    </row>
    <row r="142" spans="2:13" ht="13.5" customHeight="1">
      <c r="B142" s="765" t="s">
        <v>94</v>
      </c>
      <c r="C142" s="619" t="s">
        <v>38</v>
      </c>
      <c r="D142" s="619" t="s">
        <v>95</v>
      </c>
      <c r="E142" s="619" t="s">
        <v>53</v>
      </c>
    </row>
    <row r="143" spans="2:13" ht="25.2">
      <c r="B143" s="771" t="s">
        <v>96</v>
      </c>
      <c r="C143" s="766" t="s">
        <v>38</v>
      </c>
      <c r="D143" s="766" t="s">
        <v>97</v>
      </c>
      <c r="E143" s="619" t="s">
        <v>74</v>
      </c>
    </row>
    <row r="144" spans="2:13" ht="13.5" customHeight="1">
      <c r="B144" s="779"/>
      <c r="C144" s="779"/>
      <c r="D144" s="780"/>
    </row>
    <row r="145" spans="2:12" s="10" customFormat="1" ht="13.2">
      <c r="B145" s="226" t="s">
        <v>10</v>
      </c>
      <c r="C145" s="15"/>
      <c r="D145" s="17"/>
      <c r="E145" s="15"/>
      <c r="F145" s="16"/>
      <c r="G145" s="14"/>
      <c r="H145" s="15"/>
      <c r="I145" s="15"/>
      <c r="J145" s="15"/>
      <c r="K145" s="15"/>
      <c r="L145" s="15"/>
    </row>
    <row r="146" spans="2:12" ht="13.5" customHeight="1"/>
  </sheetData>
  <mergeCells count="9">
    <mergeCell ref="B5:I5"/>
    <mergeCell ref="E6:I13"/>
    <mergeCell ref="B139:E139"/>
    <mergeCell ref="B113:E113"/>
    <mergeCell ref="B115:E115"/>
    <mergeCell ref="B117:E117"/>
    <mergeCell ref="B120:E120"/>
    <mergeCell ref="B127:E127"/>
    <mergeCell ref="B134:E134"/>
  </mergeCells>
  <phoneticPr fontId="86" type="noConversion"/>
  <hyperlinks>
    <hyperlink ref="B111" location="'Cover sheet'!A1" display="Cover Sheet" xr:uid="{A6BA7832-0067-4A00-AAF0-37A366F74162}"/>
    <hyperlink ref="B114" location="'Benefits and NPV Tables'!A1" display="Benefits and NPV Tables" xr:uid="{64E077A5-CF0F-47F9-B6B8-6572021B713B}"/>
    <hyperlink ref="B116" location="'Consolidated Model'!A1" display="Consilidated Model" xr:uid="{0F77F4B8-4812-4154-A44D-E3F430B8EAC1}"/>
    <hyperlink ref="B118" location="'Central Inputs'!A1" display="Central Inputs" xr:uid="{3081854F-938C-4277-881A-46CA982D96E5}"/>
    <hyperlink ref="B119" location="'Policy Requirements'!A1" display="Policy Requirements" xr:uid="{8A9566D0-4C89-4627-85F9-612FEB7DBAB2}"/>
    <hyperlink ref="B121" location="'SVT% Transition'!A1" display="SVT% Transition" xr:uid="{190D7E02-40A6-4F5C-9962-F903D320C05D}"/>
    <hyperlink ref="B122" location="'Credit Rating Analysis'!A1" display="Credit rating analysis" xr:uid="{41969146-7101-4AAF-B3D7-7EB3D5D73FB3}"/>
    <hyperlink ref="B123" location="'WACC Forecast'!A1" display="WACC Forecast" xr:uid="{FAE96790-B920-473E-B0C5-2C63D91FFB46}"/>
    <hyperlink ref="B124" location="'Total CBs'!A1" display="Total CBs" xr:uid="{9E1265CC-8CCC-4848-A147-3CA92F90B969}"/>
    <hyperlink ref="B125" location="'Historical Hedging'!A1" display="Historical Hedging" xr:uid="{9882D01A-E824-4370-8C36-8E1599D5FA97}"/>
    <hyperlink ref="B126" location="'Administration Cost'!A1" display="Administration Cost" xr:uid="{6968880D-E2FA-46D1-ABB7-12E545464978}"/>
    <hyperlink ref="B128" location="'Gross Credit Balances'!A1" display="Gross Credit Balances" xr:uid="{EA79B78B-5AD5-4CEE-8F2D-683FF39D63DC}"/>
    <hyperlink ref="B129" location="'Customer Debit Balances'!A1" display="Customer Dedit Balances" xr:uid="{F62AA8B1-382F-4CCA-A7F7-C61EC4147057}"/>
    <hyperlink ref="B130" location="'CBs Unbilled Proportion'!A1" display="CBs Unbilled Proportion" xr:uid="{4FF9F79D-E81B-423E-82CA-AD6CDB8E7B95}"/>
    <hyperlink ref="B131" location="Failures!A1" display="Failures" xr:uid="{B12C063A-6894-4BBA-A65A-F75346D3BB74}"/>
    <hyperlink ref="B132" location="'Default Rates'!A1" display="Default Rates" xr:uid="{3011424A-6159-4611-A653-671888504E4C}"/>
    <hyperlink ref="B133" location="'Distributional Weighting'!A1" display="Distributional Weighting" xr:uid="{0A08F7DE-45CB-4C88-9157-AA2AB48F4933}"/>
    <hyperlink ref="B141" location="'Ofgem SOLR'!A1" display="Ofgem SOLR" xr:uid="{565D971A-5B59-4999-A4F4-2E2426D71E55}"/>
    <hyperlink ref="B142" location="'Customer Groups'!A1" display="Customer Groups" xr:uid="{3EEF95FD-499F-4A4E-8F12-76561ED00746}"/>
    <hyperlink ref="B140" location="CPIH!A1" display="CPIH" xr:uid="{D77C6594-0AB3-474E-88AF-0BC7B0A3A569}"/>
    <hyperlink ref="B137" location="'Average tariffs'!A1" display="Average Tariffs" xr:uid="{57D845B7-ECAD-48E3-8EF0-25D360B94A5E}"/>
    <hyperlink ref="B136" location="'RO obligation rate'!A1" display="RO Obligation Rate" xr:uid="{8DE6E81C-65D9-415E-B928-38EE80B2AF06}"/>
    <hyperlink ref="B135" location="'Price cap Scalar'!A1" display="Price Cap Scalar" xr:uid="{C7F2D687-22F9-4BC4-9C32-C97E478EEFD9}"/>
    <hyperlink ref="B112" location="'Model Map'!A1" display="Model Map" xr:uid="{3DD96F8D-1A30-4221-BDB8-74B2821716CF}"/>
    <hyperlink ref="B138" location="'Price Cap Forecasts'!A1" display="Price Cap Forecast" xr:uid="{CBEA5DB3-6296-4C40-980F-6BCFDDAB8489}"/>
    <hyperlink ref="B143" location="'Distributional Weights'!A1" display="Distributional Weights" xr:uid="{4587C821-4F84-487D-8C61-9223203B5CF9}"/>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CCDC-AF64-43B0-BC18-3629EE2FC776}">
  <sheetPr codeName="Sheet3">
    <tabColor theme="3"/>
  </sheetPr>
  <dimension ref="A1"/>
  <sheetViews>
    <sheetView showGridLines="0" workbookViewId="0"/>
  </sheetViews>
  <sheetFormatPr defaultRowHeight="14.4"/>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A212E-9355-4EC7-AA00-D3EC35FB0C89}">
  <sheetPr codeName="Sheet70">
    <tabColor rgb="FF7030A0"/>
  </sheetPr>
  <dimension ref="A1:S86"/>
  <sheetViews>
    <sheetView showGridLines="0" workbookViewId="0"/>
  </sheetViews>
  <sheetFormatPr defaultColWidth="0" defaultRowHeight="13.2" zeroHeight="1"/>
  <cols>
    <col min="1" max="1" width="3.6640625" style="10" customWidth="1"/>
    <col min="2" max="2" width="48.33203125" style="18" bestFit="1" customWidth="1"/>
    <col min="3" max="4" width="17.33203125" style="18" customWidth="1"/>
    <col min="5" max="5" width="23.44140625" style="18" customWidth="1"/>
    <col min="6" max="6" width="17.33203125" style="18" customWidth="1"/>
    <col min="7" max="7" width="15.5546875" style="18" customWidth="1"/>
    <col min="8" max="8" width="8.6640625" style="18" customWidth="1"/>
    <col min="9" max="18" width="21.44140625" style="10" hidden="1" customWidth="1"/>
    <col min="19" max="19" width="9.44140625" style="10" hidden="1" customWidth="1"/>
    <col min="20" max="16384" width="8.6640625" style="10" hidden="1"/>
  </cols>
  <sheetData>
    <row r="1" spans="1:11" ht="17.399999999999999">
      <c r="A1" s="43" t="s">
        <v>29</v>
      </c>
    </row>
    <row r="2" spans="1:11" ht="17.399999999999999">
      <c r="A2" s="43"/>
      <c r="B2" s="524" t="s">
        <v>98</v>
      </c>
      <c r="C2" s="525"/>
      <c r="D2" s="525"/>
      <c r="E2" s="525"/>
      <c r="F2" s="525"/>
      <c r="G2" s="525"/>
      <c r="H2" s="525"/>
      <c r="I2" s="525"/>
      <c r="J2" s="525"/>
      <c r="K2" s="526"/>
    </row>
    <row r="3" spans="1:11" ht="17.399999999999999">
      <c r="A3" s="43"/>
      <c r="B3" s="10"/>
      <c r="C3" s="57"/>
      <c r="D3" s="84"/>
      <c r="E3" s="84"/>
      <c r="F3" s="84"/>
      <c r="G3" s="84"/>
      <c r="H3" s="84"/>
      <c r="I3" s="84"/>
      <c r="J3" s="84"/>
    </row>
    <row r="4" spans="1:11" ht="17.399999999999999">
      <c r="A4" s="43"/>
      <c r="B4" s="755" t="s">
        <v>99</v>
      </c>
      <c r="C4" s="237">
        <v>1</v>
      </c>
      <c r="D4" s="103" t="s">
        <v>100</v>
      </c>
      <c r="E4" s="84"/>
      <c r="F4" s="84"/>
      <c r="G4" s="84"/>
      <c r="H4" s="84"/>
      <c r="I4" s="84"/>
      <c r="J4" s="84"/>
    </row>
    <row r="5" spans="1:11" ht="17.399999999999999">
      <c r="A5" s="43"/>
      <c r="B5" s="756"/>
      <c r="C5" s="757"/>
      <c r="D5" s="10"/>
      <c r="E5" s="84"/>
      <c r="F5" s="84"/>
      <c r="G5" s="84"/>
      <c r="H5" s="84"/>
      <c r="I5" s="84"/>
      <c r="J5" s="84"/>
    </row>
    <row r="6" spans="1:11" ht="17.399999999999999">
      <c r="A6" s="43"/>
      <c r="B6" s="46" t="s">
        <v>101</v>
      </c>
      <c r="C6" s="758"/>
      <c r="D6" s="24"/>
      <c r="E6" s="759"/>
      <c r="F6" s="759"/>
      <c r="G6" s="759"/>
      <c r="H6" s="759"/>
      <c r="I6" s="84"/>
      <c r="J6" s="84"/>
    </row>
    <row r="7" spans="1:11">
      <c r="B7" s="10"/>
      <c r="C7" s="10"/>
      <c r="D7" s="10"/>
      <c r="E7" s="10"/>
      <c r="F7" s="10"/>
      <c r="G7" s="10"/>
      <c r="H7" s="10"/>
    </row>
    <row r="8" spans="1:11">
      <c r="B8" s="93" t="s">
        <v>102</v>
      </c>
      <c r="C8" s="93"/>
      <c r="D8" s="93"/>
      <c r="E8" s="93"/>
      <c r="F8" s="93"/>
      <c r="G8" s="10"/>
      <c r="H8" s="10"/>
    </row>
    <row r="9" spans="1:11">
      <c r="B9" s="707" t="s">
        <v>103</v>
      </c>
      <c r="C9" s="693">
        <v>2028</v>
      </c>
      <c r="D9" s="107"/>
      <c r="E9" s="107"/>
      <c r="F9" s="107"/>
      <c r="G9" s="10"/>
      <c r="H9" s="10"/>
    </row>
    <row r="10" spans="1:11">
      <c r="B10" s="107"/>
      <c r="C10" s="107"/>
      <c r="D10" s="107"/>
      <c r="E10" s="107"/>
      <c r="F10" s="107"/>
      <c r="G10" s="10"/>
      <c r="H10" s="10"/>
    </row>
    <row r="11" spans="1:11">
      <c r="B11" s="10"/>
      <c r="C11" s="10"/>
      <c r="D11" s="10"/>
      <c r="E11" s="10"/>
      <c r="F11" s="10"/>
      <c r="G11" s="10"/>
      <c r="H11" s="10"/>
    </row>
    <row r="12" spans="1:11" ht="53.4" thickBot="1">
      <c r="B12" s="623"/>
      <c r="C12" s="624" t="s">
        <v>104</v>
      </c>
      <c r="D12" s="625" t="s">
        <v>105</v>
      </c>
      <c r="E12" s="624" t="s">
        <v>106</v>
      </c>
      <c r="F12" s="625" t="s">
        <v>107</v>
      </c>
      <c r="G12" s="10"/>
      <c r="H12" s="10"/>
    </row>
    <row r="13" spans="1:11">
      <c r="B13" s="109" t="s">
        <v>108</v>
      </c>
      <c r="C13" s="110">
        <f>INDEX('Consolidated Model'!$L$692:$Q$702, MATCH($B13,'Consolidated Model'!$E$692:$E$702,0), MATCH($C$9,'Consolidated Model'!$L$3:$Q$3,0))</f>
        <v>11.78010892737775</v>
      </c>
      <c r="D13" s="111">
        <f>INDEX('Consolidated Model'!$L$705:$Q$715, MATCH($B13,'Consolidated Model'!$E$705:$E$715,0), MATCH($C$9,'Consolidated Model'!$L$3:$Q$3,0))</f>
        <v>55.896616860407406</v>
      </c>
      <c r="E13" s="110">
        <f>INDEX('Consolidated Model'!$L$718:$Q$728, MATCH($B13,'Consolidated Model'!$E$718:$E$728,0), MATCH($C$9,'Consolidated Model'!$L$3:$Q$3,0))</f>
        <v>79.574635804436696</v>
      </c>
      <c r="F13" s="111">
        <f t="shared" ref="F13:F21" si="0">SUM(C13:E13)</f>
        <v>147.25136159222185</v>
      </c>
      <c r="G13" s="10"/>
      <c r="H13" s="10"/>
    </row>
    <row r="14" spans="1:11">
      <c r="B14" s="109" t="s">
        <v>109</v>
      </c>
      <c r="C14" s="110">
        <f>INDEX('Consolidated Model'!$L$692:$Q$702, MATCH($B14,'Consolidated Model'!$E$692:$E$702,0), MATCH($C$9,'Consolidated Model'!$L$3:$Q$3,0))</f>
        <v>29.289269208784091</v>
      </c>
      <c r="D14" s="111">
        <f>INDEX('Consolidated Model'!$L$705:$Q$715, MATCH($B14,'Consolidated Model'!$E$705:$E$715,0), MATCH($C$9,'Consolidated Model'!$L$3:$Q$3,0))</f>
        <v>138.97758239568051</v>
      </c>
      <c r="E14" s="110">
        <f>INDEX('Consolidated Model'!$L$718:$Q$728, MATCH($B14,'Consolidated Model'!$E$718:$E$728,0), MATCH($C$9,'Consolidated Model'!$L$3:$Q$3,0))</f>
        <v>197.84901350533653</v>
      </c>
      <c r="F14" s="111">
        <f t="shared" si="0"/>
        <v>366.11586510980112</v>
      </c>
      <c r="G14" s="10"/>
      <c r="H14" s="10"/>
    </row>
    <row r="15" spans="1:11">
      <c r="B15" s="109" t="s">
        <v>110</v>
      </c>
      <c r="C15" s="110">
        <f>INDEX('Consolidated Model'!$L$692:$Q$702, MATCH($B15,'Consolidated Model'!$E$692:$E$702,0), MATCH($C$9,'Consolidated Model'!$L$3:$Q$3,0))</f>
        <v>-13.711373384168558</v>
      </c>
      <c r="D15" s="111">
        <f>INDEX('Consolidated Model'!$L$705:$Q$715, MATCH($B15,'Consolidated Model'!$E$705:$E$715,0), MATCH($C$9,'Consolidated Model'!$L$3:$Q$3,0))</f>
        <v>-62.192850526246922</v>
      </c>
      <c r="E15" s="110">
        <f>INDEX('Consolidated Model'!$L$718:$Q$728, MATCH($B15,'Consolidated Model'!$E$718:$E$728,0), MATCH($C$9,'Consolidated Model'!$L$3:$Q$3,0))</f>
        <v>-57.980427841837972</v>
      </c>
      <c r="F15" s="111">
        <f t="shared" si="0"/>
        <v>-133.88465175225346</v>
      </c>
      <c r="G15" s="10"/>
      <c r="H15" s="10"/>
    </row>
    <row r="16" spans="1:11">
      <c r="B16" s="109" t="s">
        <v>111</v>
      </c>
      <c r="C16" s="110">
        <f>INDEX('Consolidated Model'!$L$692:$Q$702, MATCH($B16,'Consolidated Model'!$E$692:$E$702,0), MATCH($C$9,'Consolidated Model'!$L$3:$Q$3,0))</f>
        <v>-30.474435075957498</v>
      </c>
      <c r="D16" s="111">
        <f>INDEX('Consolidated Model'!$L$705:$Q$715, MATCH($B16,'Consolidated Model'!$E$705:$E$715,0), MATCH($C$9,'Consolidated Model'!$L$3:$Q$3,0))</f>
        <v>-142.3669116022522</v>
      </c>
      <c r="E16" s="110">
        <f>INDEX('Consolidated Model'!$L$718:$Q$728, MATCH($B16,'Consolidated Model'!$E$718:$E$728,0), MATCH($C$9,'Consolidated Model'!$L$3:$Q$3,0))</f>
        <v>-178.86537674115669</v>
      </c>
      <c r="F16" s="111">
        <f t="shared" si="0"/>
        <v>-351.70672341936643</v>
      </c>
      <c r="G16" s="10"/>
      <c r="H16" s="10"/>
    </row>
    <row r="17" spans="1:8">
      <c r="B17" s="10" t="s">
        <v>112</v>
      </c>
      <c r="C17" s="110">
        <f>INDEX('Consolidated Model'!$L$692:$Q$702, MATCH($B17,'Consolidated Model'!$E$692:$E$702,0), MATCH($C$9,'Consolidated Model'!$L$3:$Q$3,0))</f>
        <v>1.2309982100593864</v>
      </c>
      <c r="D17" s="111">
        <f>INDEX('Consolidated Model'!$L$705:$Q$715, MATCH($B17,'Consolidated Model'!$E$705:$E$715,0), MATCH($C$9,'Consolidated Model'!$L$3:$Q$3,0))</f>
        <v>5.1527082002918974</v>
      </c>
      <c r="E17" s="110">
        <f>INDEX('Consolidated Model'!$L$718:$Q$728, MATCH($B17,'Consolidated Model'!$E$718:$E$728,0), MATCH($C$9,'Consolidated Model'!$L$3:$Q$3,0))</f>
        <v>0</v>
      </c>
      <c r="F17" s="111">
        <f t="shared" si="0"/>
        <v>6.3837064103512837</v>
      </c>
      <c r="G17" s="10"/>
      <c r="H17" s="10"/>
    </row>
    <row r="18" spans="1:8">
      <c r="B18" s="109" t="s">
        <v>113</v>
      </c>
      <c r="C18" s="110">
        <f>INDEX('Consolidated Model'!$L$692:$Q$702, MATCH($B18,'Consolidated Model'!$E$692:$E$702,0), MATCH($C$9,'Consolidated Model'!$L$3:$Q$3,0))</f>
        <v>3.2080896501960865</v>
      </c>
      <c r="D18" s="111">
        <f>INDEX('Consolidated Model'!$L$705:$Q$715, MATCH($B18,'Consolidated Model'!$E$705:$E$715,0), MATCH($C$9,'Consolidated Model'!$L$3:$Q$3,0))</f>
        <v>15.222385390180392</v>
      </c>
      <c r="E18" s="110">
        <f>INDEX('Consolidated Model'!$L$718:$Q$728, MATCH($B18,'Consolidated Model'!$E$718:$E$728,0), MATCH($C$9,'Consolidated Model'!$L$3:$Q$3,0))</f>
        <v>21.670645587074546</v>
      </c>
      <c r="F18" s="111">
        <f t="shared" si="0"/>
        <v>40.101120627451024</v>
      </c>
      <c r="G18" s="10"/>
      <c r="H18" s="10"/>
    </row>
    <row r="19" spans="1:8" ht="13.8" thickBot="1">
      <c r="B19" s="626" t="s">
        <v>114</v>
      </c>
      <c r="C19" s="627">
        <f>INDEX('Consolidated Model'!$L$692:$Q$702, MATCH($B19,'Consolidated Model'!$E$692:$E$702,0), MATCH($C$9,'Consolidated Model'!$L$3:$Q$3,0))</f>
        <v>32.117142354549742</v>
      </c>
      <c r="D19" s="628">
        <f>INDEX('Consolidated Model'!$L$705:$Q$715, MATCH($B19,'Consolidated Model'!$E$705:$E$715,0), MATCH($C$9,'Consolidated Model'!$L$3:$Q$3,0))</f>
        <v>2.3844459589461549</v>
      </c>
      <c r="E19" s="627">
        <f>INDEX('Consolidated Model'!$L$718:$Q$728, MATCH($B19,'Consolidated Model'!$E$718:$E$728,0), MATCH($C$9,'Consolidated Model'!$L$3:$Q$3,0))</f>
        <v>3.394506312472346</v>
      </c>
      <c r="F19" s="628">
        <f t="shared" si="0"/>
        <v>37.896094625968239</v>
      </c>
      <c r="G19" s="10"/>
      <c r="H19" s="10"/>
    </row>
    <row r="20" spans="1:8">
      <c r="B20" s="112" t="s">
        <v>115</v>
      </c>
      <c r="C20" s="113">
        <f>INDEX('Consolidated Model'!$L$692:$Q$702, MATCH($B20,'Consolidated Model'!$E$692:$E$702,0), MATCH($C$9,'Consolidated Model'!$L$3:$Q$3,0))</f>
        <v>0.85807850626066939</v>
      </c>
      <c r="D20" s="111">
        <f>INDEX('Consolidated Model'!$L$705:$Q$715, MATCH($B20,'Consolidated Model'!$E$705:$E$715,0), MATCH($C$9,'Consolidated Model'!$L$3:$Q$3,0))</f>
        <v>4.0715825122068772</v>
      </c>
      <c r="E20" s="113">
        <f>INDEX('Consolidated Model'!$L$718:$Q$728, MATCH($B20,'Consolidated Model'!$E$718:$E$728,0), MATCH($C$9,'Consolidated Model'!$L$3:$Q$3,0))</f>
        <v>5.7963203097908238</v>
      </c>
      <c r="F20" s="111">
        <f t="shared" si="0"/>
        <v>10.725981328258371</v>
      </c>
      <c r="G20" s="10"/>
      <c r="H20" s="10"/>
    </row>
    <row r="21" spans="1:8" ht="13.8" thickBot="1">
      <c r="B21" s="10" t="s">
        <v>116</v>
      </c>
      <c r="C21" s="627">
        <f>INDEX('Consolidated Model'!$L$692:$Q$702, MATCH($B21,'Consolidated Model'!$E$692:$E$702,0), MATCH($C$9,'Consolidated Model'!$L$3:$Q$3,0))</f>
        <v>0</v>
      </c>
      <c r="D21" s="628">
        <f>INDEX('Consolidated Model'!$L$705:$Q$715, MATCH($B21,'Consolidated Model'!$E$705:$E$715,0), MATCH($C$9,'Consolidated Model'!$L$3:$Q$3,0))</f>
        <v>0</v>
      </c>
      <c r="E21" s="627">
        <f>INDEX('Consolidated Model'!$L$718:$Q$728, MATCH($B21,'Consolidated Model'!$E$718:$E$728,0), MATCH($C$9,'Consolidated Model'!$L$3:$Q$3,0))</f>
        <v>-29.112827349380513</v>
      </c>
      <c r="F21" s="628">
        <f t="shared" si="0"/>
        <v>-29.112827349380513</v>
      </c>
      <c r="G21" s="10"/>
      <c r="H21" s="10"/>
    </row>
    <row r="22" spans="1:8" ht="13.8" thickBot="1">
      <c r="B22" s="208" t="s">
        <v>117</v>
      </c>
      <c r="C22" s="629">
        <f>SUM(C13:C21)</f>
        <v>34.29787839710167</v>
      </c>
      <c r="D22" s="629">
        <f>SUM(D13:D21)</f>
        <v>17.145559189214126</v>
      </c>
      <c r="E22" s="629">
        <f>SUM(E13:E21)</f>
        <v>42.326489586735761</v>
      </c>
      <c r="F22" s="629">
        <f>SUM(F13:F21)</f>
        <v>93.769927173051499</v>
      </c>
      <c r="G22" s="10"/>
      <c r="H22" s="10"/>
    </row>
    <row r="23" spans="1:8" ht="13.8" thickBot="1">
      <c r="B23" s="114" t="s">
        <v>118</v>
      </c>
      <c r="C23" s="252">
        <f>INDEX('Consolidated Model'!$L$692:$Q$702, MATCH($B23,'Consolidated Model'!$E$692:$E$702,0), MATCH($C$9,'Consolidated Model'!$L$3:$Q$3,0))</f>
        <v>14.669250985935586</v>
      </c>
      <c r="D23" s="253">
        <f>INDEX('Consolidated Model'!$L$705:$Q$715, MATCH($B23,'Consolidated Model'!$E$705:$E$715,0), MATCH($C$9,'Consolidated Model'!$L$3:$Q$3,0))</f>
        <v>1.5454541323930815</v>
      </c>
      <c r="E23" s="252">
        <f>INDEX('Consolidated Model'!$L$718:$Q$728, MATCH($B23,'Consolidated Model'!$E$718:$E$728,0), MATCH($C$9,'Consolidated Model'!$L$3:$Q$3,0))</f>
        <v>2.679955487844671</v>
      </c>
      <c r="F23" s="252">
        <f>INDEX('Consolidated Model'!$L$731:$Q$741, MATCH(B23,'Consolidated Model'!$E$731:$E$741,0), MATCH($C$9,'Consolidated Model'!$L$3:$Q$3,0))</f>
        <v>3.2084424131625178</v>
      </c>
      <c r="G23" s="10"/>
      <c r="H23" s="10"/>
    </row>
    <row r="24" spans="1:8" ht="13.8" thickBot="1">
      <c r="B24" s="250" t="s">
        <v>119</v>
      </c>
      <c r="C24" s="630">
        <f>C22*'Distributional Weighting'!$F$43</f>
        <v>32.881686828734601</v>
      </c>
      <c r="D24" s="630">
        <f>D22*'Distributional Weighting'!$F$43</f>
        <v>16.437602968786351</v>
      </c>
      <c r="E24" s="630">
        <f>E22*'Distributional Weighting'!$F$44</f>
        <v>44.110505895083115</v>
      </c>
      <c r="F24" s="630">
        <f>SUM(C24:E24)</f>
        <v>93.429795692604074</v>
      </c>
      <c r="G24" s="10"/>
      <c r="H24" s="10"/>
    </row>
    <row r="25" spans="1:8" ht="13.8" thickBot="1">
      <c r="B25" s="251" t="s">
        <v>118</v>
      </c>
      <c r="C25" s="254">
        <f>C23*'Distributional Weighting'!$F$43</f>
        <v>14.063543853849602</v>
      </c>
      <c r="D25" s="255">
        <f>D23*'Distributional Weighting'!$F$43</f>
        <v>1.4816408817233819</v>
      </c>
      <c r="E25" s="254">
        <f>E23*'Distributional Weighting'!$F$43</f>
        <v>2.5692976121142177</v>
      </c>
      <c r="F25" s="254">
        <f>$F$24/INDEX('Consolidated Model'!$L$27:$Q$27, MATCH(C9,'Consolidated Model'!$L$3:$Q$3,0))</f>
        <v>3.1968044360325449</v>
      </c>
      <c r="G25" s="10"/>
      <c r="H25" s="10"/>
    </row>
    <row r="26" spans="1:8">
      <c r="B26" s="10"/>
      <c r="C26" s="10"/>
      <c r="D26" s="10"/>
      <c r="E26" s="10"/>
      <c r="F26" s="10"/>
      <c r="G26" s="10"/>
      <c r="H26" s="10"/>
    </row>
    <row r="27" spans="1:8">
      <c r="B27" s="10"/>
      <c r="C27" s="10"/>
      <c r="D27" s="10"/>
      <c r="E27" s="10"/>
      <c r="F27" s="10"/>
      <c r="G27" s="10"/>
      <c r="H27" s="10"/>
    </row>
    <row r="28" spans="1:8" ht="53.4" thickBot="1">
      <c r="B28" s="623"/>
      <c r="C28" s="624" t="s">
        <v>104</v>
      </c>
      <c r="D28" s="625" t="s">
        <v>105</v>
      </c>
      <c r="E28" s="624" t="s">
        <v>106</v>
      </c>
      <c r="F28" s="625" t="s">
        <v>107</v>
      </c>
      <c r="G28" s="10"/>
      <c r="H28" s="10"/>
    </row>
    <row r="29" spans="1:8">
      <c r="B29" s="247" t="s">
        <v>120</v>
      </c>
      <c r="C29" s="316">
        <f>SUM(C13:C16)</f>
        <v>-3.116430323964213</v>
      </c>
      <c r="D29" s="111">
        <f>SUM(D13:D16)</f>
        <v>-9.6855628724111966</v>
      </c>
      <c r="E29" s="316">
        <f>SUM(E13:E16)</f>
        <v>40.577844726778551</v>
      </c>
      <c r="F29" s="111">
        <f>SUM(C29:E29)</f>
        <v>27.775851530403141</v>
      </c>
      <c r="G29" s="10"/>
      <c r="H29" s="10"/>
    </row>
    <row r="30" spans="1:8">
      <c r="B30" s="247" t="s">
        <v>121</v>
      </c>
      <c r="C30" s="316">
        <f>$C$18</f>
        <v>3.2080896501960865</v>
      </c>
      <c r="D30" s="348">
        <f t="shared" ref="D30:E30" si="1">$C$18</f>
        <v>3.2080896501960865</v>
      </c>
      <c r="E30" s="316">
        <f t="shared" si="1"/>
        <v>3.2080896501960865</v>
      </c>
      <c r="F30" s="111">
        <f>SUM(C30:E30)</f>
        <v>9.6242689505882595</v>
      </c>
      <c r="G30" s="10"/>
      <c r="H30" s="10"/>
    </row>
    <row r="31" spans="1:8" s="248" customFormat="1">
      <c r="A31" s="10"/>
      <c r="B31" s="247" t="s">
        <v>122</v>
      </c>
      <c r="C31" s="316">
        <f>$C$19</f>
        <v>32.117142354549742</v>
      </c>
      <c r="D31" s="111">
        <f>$D$19</f>
        <v>2.3844459589461549</v>
      </c>
      <c r="E31" s="316">
        <f>$E$19</f>
        <v>3.394506312472346</v>
      </c>
      <c r="F31" s="111">
        <f>SUM(C31:E31)</f>
        <v>37.896094625968239</v>
      </c>
      <c r="G31" s="10"/>
      <c r="H31" s="10"/>
    </row>
    <row r="32" spans="1:8" s="248" customFormat="1">
      <c r="A32" s="10"/>
      <c r="B32" s="247" t="s">
        <v>123</v>
      </c>
      <c r="C32" s="316">
        <f>$C$20</f>
        <v>0.85807850626066939</v>
      </c>
      <c r="D32" s="111">
        <f>$D$20</f>
        <v>4.0715825122068772</v>
      </c>
      <c r="E32" s="316">
        <f>$E$20</f>
        <v>5.7963203097908238</v>
      </c>
      <c r="F32" s="111">
        <f>SUM(C32:E32)</f>
        <v>10.725981328258371</v>
      </c>
      <c r="G32" s="10"/>
      <c r="H32" s="10"/>
    </row>
    <row r="33" spans="1:8" s="248" customFormat="1" ht="13.8" thickBot="1">
      <c r="A33" s="10"/>
      <c r="B33" s="247" t="s">
        <v>124</v>
      </c>
      <c r="C33" s="627">
        <f>C21+C17</f>
        <v>1.2309982100593864</v>
      </c>
      <c r="D33" s="631">
        <f t="shared" ref="D33:E33" si="2">D21+D17</f>
        <v>5.1527082002918974</v>
      </c>
      <c r="E33" s="627">
        <f t="shared" si="2"/>
        <v>-29.112827349380513</v>
      </c>
      <c r="F33" s="628">
        <f>SUM(C33:E33)</f>
        <v>-22.729120939029229</v>
      </c>
      <c r="G33" s="10"/>
      <c r="H33" s="10"/>
    </row>
    <row r="34" spans="1:8" ht="13.8" thickBot="1">
      <c r="B34" s="208" t="s">
        <v>107</v>
      </c>
      <c r="C34" s="629">
        <f>SUM(C29:C33)</f>
        <v>34.29787839710167</v>
      </c>
      <c r="D34" s="629">
        <f>SUM(D29:D33)</f>
        <v>5.1312634492298193</v>
      </c>
      <c r="E34" s="629">
        <f>SUM(E29:E33)</f>
        <v>23.863933649857291</v>
      </c>
      <c r="F34" s="629">
        <f>SUM(F29:F33)</f>
        <v>63.293075496188777</v>
      </c>
      <c r="G34" s="10"/>
      <c r="H34" s="10"/>
    </row>
    <row r="35" spans="1:8" ht="13.8" thickBot="1">
      <c r="B35" s="114" t="s">
        <v>118</v>
      </c>
      <c r="C35" s="252">
        <f>C34/AVERAGE('Consolidated Model'!L34:Q34)</f>
        <v>14.669250985935586</v>
      </c>
      <c r="D35" s="252">
        <f>D34/AVERAGE('Consolidated Model'!L37:Q37)</f>
        <v>0.46251814913091105</v>
      </c>
      <c r="E35" s="252">
        <f>E34/AVERAGE('Consolidated Model'!L35:Q35)</f>
        <v>1.5109752916182799</v>
      </c>
      <c r="F35" s="252">
        <f>INDEX('Consolidated Model'!$L$731:$Q$741, MATCH(B35,'Consolidated Model'!$E$731:$E$741,0), MATCH($C$9,'Consolidated Model'!$L$3:$Q$3,0))</f>
        <v>3.2084424131625178</v>
      </c>
      <c r="G35" s="10"/>
      <c r="H35" s="10"/>
    </row>
    <row r="36" spans="1:8" ht="13.8" thickBot="1">
      <c r="B36" s="250" t="s">
        <v>119</v>
      </c>
      <c r="C36" s="630">
        <f>C34*'Distributional Weighting'!$F$43</f>
        <v>32.881686828734601</v>
      </c>
      <c r="D36" s="630">
        <f>D34*'Distributional Weighting'!$F$43</f>
        <v>4.9193887685940787</v>
      </c>
      <c r="E36" s="630">
        <f>E34*'Distributional Weighting'!$F$44</f>
        <v>24.869772953526034</v>
      </c>
      <c r="F36" s="630">
        <f>SUM(C36:E36)</f>
        <v>62.670848550854714</v>
      </c>
      <c r="G36" s="10"/>
      <c r="H36" s="10"/>
    </row>
    <row r="37" spans="1:8" ht="13.8" thickBot="1">
      <c r="B37" s="251" t="s">
        <v>118</v>
      </c>
      <c r="C37" s="254">
        <f>C35*'Distributional Weighting'!$F$43</f>
        <v>14.063543853849602</v>
      </c>
      <c r="D37" s="254">
        <f>D35*'Distributional Weighting'!$F$43</f>
        <v>0.44342034093904076</v>
      </c>
      <c r="E37" s="254">
        <f>E35*'Distributional Weighting'!$F$43</f>
        <v>1.4485857046232544</v>
      </c>
      <c r="F37" s="254"/>
      <c r="G37" s="10"/>
      <c r="H37" s="10"/>
    </row>
    <row r="38" spans="1:8">
      <c r="B38" s="247"/>
      <c r="C38" s="342"/>
      <c r="D38" s="342"/>
      <c r="E38" s="342"/>
      <c r="F38" s="342"/>
      <c r="G38" s="10"/>
      <c r="H38" s="10"/>
    </row>
    <row r="39" spans="1:8">
      <c r="B39" s="247"/>
      <c r="C39" s="342"/>
      <c r="D39" s="342"/>
      <c r="E39" s="342"/>
      <c r="F39" s="342"/>
      <c r="G39" s="10"/>
      <c r="H39" s="10"/>
    </row>
    <row r="40" spans="1:8">
      <c r="B40" s="93" t="s">
        <v>125</v>
      </c>
      <c r="C40" s="93"/>
      <c r="D40" s="93"/>
      <c r="E40" s="93"/>
      <c r="F40" s="93"/>
      <c r="G40" s="10"/>
      <c r="H40" s="10"/>
    </row>
    <row r="41" spans="1:8">
      <c r="B41" s="10"/>
      <c r="C41" s="10"/>
      <c r="D41" s="10"/>
      <c r="E41" s="10"/>
      <c r="F41" s="10"/>
      <c r="G41" s="10"/>
      <c r="H41" s="10"/>
    </row>
    <row r="42" spans="1:8" ht="53.4" thickBot="1">
      <c r="B42" s="623"/>
      <c r="C42" s="624" t="s">
        <v>104</v>
      </c>
      <c r="D42" s="624" t="s">
        <v>105</v>
      </c>
      <c r="E42" s="624" t="s">
        <v>106</v>
      </c>
      <c r="F42" s="625" t="s">
        <v>126</v>
      </c>
      <c r="G42" s="632" t="s">
        <v>127</v>
      </c>
    </row>
    <row r="43" spans="1:8">
      <c r="B43" s="109" t="s">
        <v>108</v>
      </c>
      <c r="C43" s="110">
        <f>INDEX('Consolidated Model'!$I$692:$I$702,MATCH(B43,'Consolidated Model'!$E$692:$E$700,0))</f>
        <v>66.880666992541521</v>
      </c>
      <c r="D43" s="110">
        <f>INDEX('Consolidated Model'!$I$705:$I$713,MATCH(B43,'Consolidated Model'!$E$705:$E$713,0))</f>
        <v>317.34876487960952</v>
      </c>
      <c r="E43" s="110">
        <f>INDEX('Consolidated Model'!$I$718:$I$729,MATCH(B43,'Consolidated Model'!$E$718:$E$726,0))</f>
        <v>451.77890553461793</v>
      </c>
      <c r="F43" s="111">
        <f t="shared" ref="F43:F51" si="3">SUM(C43:E43)</f>
        <v>836.00833740676899</v>
      </c>
      <c r="G43" s="356">
        <f>INDEX('Consolidated Model'!$H$731:$H$739,MATCH(B43,'Consolidated Model'!$E$731:$E$739,0))</f>
        <v>156.3834031048039</v>
      </c>
      <c r="H43" s="209"/>
    </row>
    <row r="44" spans="1:8">
      <c r="B44" s="109" t="s">
        <v>109</v>
      </c>
      <c r="C44" s="110">
        <f>INDEX('Consolidated Model'!$I$692:$I$702,MATCH(B44,'Consolidated Model'!$E$692:$E$700,0))</f>
        <v>137.42961553103802</v>
      </c>
      <c r="D44" s="110">
        <f>INDEX('Consolidated Model'!$I$705:$I$713,MATCH(B44,'Consolidated Model'!$E$705:$E$713,0))</f>
        <v>652.1035256947755</v>
      </c>
      <c r="E44" s="110">
        <f>INDEX('Consolidated Model'!$I$718:$I$729,MATCH(B44,'Consolidated Model'!$E$718:$E$726,0))</f>
        <v>928.33705291216177</v>
      </c>
      <c r="F44" s="111">
        <f t="shared" si="3"/>
        <v>1717.8701941379754</v>
      </c>
      <c r="G44" s="356">
        <f>INDEX('Consolidated Model'!$H$731:$H$739,MATCH(B44,'Consolidated Model'!$E$731:$E$739,0))</f>
        <v>325.67200019940918</v>
      </c>
      <c r="H44" s="685"/>
    </row>
    <row r="45" spans="1:8">
      <c r="B45" s="109" t="s">
        <v>110</v>
      </c>
      <c r="C45" s="110">
        <f>INDEX('Consolidated Model'!$I$692:$I$702,MATCH(B45,'Consolidated Model'!$E$692:$E$700,0))</f>
        <v>-99.785995196412301</v>
      </c>
      <c r="D45" s="110">
        <f>INDEX('Consolidated Model'!$I$705:$I$713,MATCH(B45,'Consolidated Model'!$E$705:$E$713,0))</f>
        <v>-444.91276184710495</v>
      </c>
      <c r="E45" s="110">
        <f>INDEX('Consolidated Model'!$I$718:$I$729,MATCH(B45,'Consolidated Model'!$E$718:$E$726,0))</f>
        <v>-328.91623855561375</v>
      </c>
      <c r="F45" s="111">
        <f t="shared" si="3"/>
        <v>-873.61499559913102</v>
      </c>
      <c r="G45" s="356">
        <f>INDEX('Consolidated Model'!$H$731:$H$739,MATCH(B45,'Consolidated Model'!$E$731:$E$739,0))</f>
        <v>-162.59879296036431</v>
      </c>
      <c r="H45" s="209"/>
    </row>
    <row r="46" spans="1:8">
      <c r="B46" s="109" t="s">
        <v>111</v>
      </c>
      <c r="C46" s="110">
        <f>INDEX('Consolidated Model'!$I$692:$I$702,MATCH(B46,'Consolidated Model'!$E$692:$E$700,0))</f>
        <v>-175.98322206612238</v>
      </c>
      <c r="D46" s="110">
        <f>INDEX('Consolidated Model'!$I$705:$I$713,MATCH(B46,'Consolidated Model'!$E$705:$E$713,0))</f>
        <v>-805.73955398366843</v>
      </c>
      <c r="E46" s="110">
        <f>INDEX('Consolidated Model'!$I$718:$I$729,MATCH(B46,'Consolidated Model'!$E$718:$E$726,0))</f>
        <v>-834.82181964482584</v>
      </c>
      <c r="F46" s="111">
        <f t="shared" si="3"/>
        <v>-1816.5445956946166</v>
      </c>
      <c r="G46" s="356">
        <f>INDEX('Consolidated Model'!$H$731:$H$739,MATCH(B46,'Consolidated Model'!$E$731:$E$739,0))</f>
        <v>-343.25239604634163</v>
      </c>
      <c r="H46" s="209"/>
    </row>
    <row r="47" spans="1:8">
      <c r="B47" s="10" t="s">
        <v>112</v>
      </c>
      <c r="C47" s="110">
        <f>INDEX('Consolidated Model'!$I$692:$I$702,MATCH(B47,'Consolidated Model'!$E$692:$E$700,0))</f>
        <v>6.7642895806023242</v>
      </c>
      <c r="D47" s="110">
        <f>INDEX('Consolidated Model'!$I$705:$I$713,MATCH(B47,'Consolidated Model'!$E$705:$E$713,0))</f>
        <v>28.313940756613437</v>
      </c>
      <c r="E47" s="110">
        <f>INDEX('Consolidated Model'!$I$718:$I$729,MATCH(B47,'Consolidated Model'!$E$718:$E$726,0))</f>
        <v>0</v>
      </c>
      <c r="F47" s="111">
        <f t="shared" si="3"/>
        <v>35.078230337215764</v>
      </c>
      <c r="G47" s="356">
        <f>INDEX('Consolidated Model'!$H$731:$H$739,MATCH(B47,'Consolidated Model'!$E$731:$E$739,0))</f>
        <v>6.5821517732594588</v>
      </c>
      <c r="H47" s="685"/>
    </row>
    <row r="48" spans="1:8">
      <c r="B48" s="109" t="s">
        <v>113</v>
      </c>
      <c r="C48" s="110">
        <f>INDEX('Consolidated Model'!$I$692:$I$702,MATCH(B48,'Consolidated Model'!$E$692:$E$700,0))</f>
        <v>17.628333832762156</v>
      </c>
      <c r="D48" s="110">
        <f>INDEX('Consolidated Model'!$I$705:$I$713,MATCH(B48,'Consolidated Model'!$E$705:$E$713,0))</f>
        <v>83.646444036456387</v>
      </c>
      <c r="E48" s="110">
        <f>INDEX('Consolidated Model'!$I$718:$I$729,MATCH(B48,'Consolidated Model'!$E$718:$E$726,0))</f>
        <v>119.07939504030831</v>
      </c>
      <c r="F48" s="111">
        <f>SUM(C48:E48)</f>
        <v>220.35417290952685</v>
      </c>
      <c r="G48" s="356">
        <f>INDEX('Consolidated Model'!$H$731:$H$739,MATCH(B48,'Consolidated Model'!$E$731:$E$739,0))</f>
        <v>41.34771326884119</v>
      </c>
      <c r="H48" s="685"/>
    </row>
    <row r="49" spans="1:8">
      <c r="B49" s="347" t="s">
        <v>114</v>
      </c>
      <c r="C49" s="110">
        <f>INDEX('Consolidated Model'!$I$692:$I$702,MATCH(B49,'Consolidated Model'!$E$692:$E$700,0))</f>
        <v>188.6809435641525</v>
      </c>
      <c r="D49" s="110">
        <f>INDEX('Consolidated Model'!$I$705:$I$713,MATCH(B49,'Consolidated Model'!$E$705:$E$713,0))</f>
        <v>12.075746499100308</v>
      </c>
      <c r="E49" s="110">
        <f>INDEX('Consolidated Model'!$I$718:$I$729,MATCH(B49,'Consolidated Model'!$E$718:$E$726,0))</f>
        <v>17.191078525062721</v>
      </c>
      <c r="F49" s="111">
        <f t="shared" si="3"/>
        <v>217.94776858831554</v>
      </c>
      <c r="G49" s="356">
        <f>INDEX('Consolidated Model'!$H$731:$H$739,MATCH(B49,'Consolidated Model'!$E$731:$E$739,0))</f>
        <v>40.847360551483725</v>
      </c>
      <c r="H49" s="685"/>
    </row>
    <row r="50" spans="1:8">
      <c r="B50" s="347" t="s">
        <v>115</v>
      </c>
      <c r="C50" s="110">
        <f>INDEX('Consolidated Model'!$I$692:$I$702,MATCH(B50,'Consolidated Model'!$E$692:$E$700,0))</f>
        <v>4.3456378111878573</v>
      </c>
      <c r="D50" s="110">
        <f>INDEX('Consolidated Model'!$I$705:$I$713,MATCH(B50,'Consolidated Model'!$E$705:$E$713,0))</f>
        <v>20.62005141408639</v>
      </c>
      <c r="E50" s="110">
        <f>INDEX('Consolidated Model'!$I$718:$I$729,MATCH(B50,'Consolidated Model'!$E$718:$E$726,0))</f>
        <v>29.354783414573991</v>
      </c>
      <c r="F50" s="111">
        <f t="shared" si="3"/>
        <v>54.320472639848234</v>
      </c>
      <c r="G50" s="356">
        <f>INDEX('Consolidated Model'!$H$731:$H$739,MATCH(B50,'Consolidated Model'!$E$731:$E$739,0))</f>
        <v>10.235696217224909</v>
      </c>
      <c r="H50" s="209"/>
    </row>
    <row r="51" spans="1:8" ht="13.8" thickBot="1">
      <c r="B51" s="10" t="s">
        <v>116</v>
      </c>
      <c r="C51" s="633">
        <f>INDEX('Consolidated Model'!$I$692:$I$702,MATCH(B51,'Consolidated Model'!$E$692:$E$700,0))</f>
        <v>0</v>
      </c>
      <c r="D51" s="633">
        <f>INDEX('Consolidated Model'!$I$705:$I$713,MATCH(B51,'Consolidated Model'!$E$705:$E$713,0))</f>
        <v>0</v>
      </c>
      <c r="E51" s="633">
        <f>INDEX('Consolidated Model'!$I$718:$I$729,MATCH(B51,'Consolidated Model'!$E$718:$E$726,0))</f>
        <v>-187.3486567544594</v>
      </c>
      <c r="F51" s="628">
        <f t="shared" si="3"/>
        <v>-187.3486567544594</v>
      </c>
      <c r="G51" s="634">
        <f>INDEX('Consolidated Model'!$H$731:$H$739,MATCH(B51,'Consolidated Model'!$E$731:$E$739,0))</f>
        <v>-35.019674317606906</v>
      </c>
      <c r="H51" s="209"/>
    </row>
    <row r="52" spans="1:8" ht="13.8" thickBot="1">
      <c r="B52" s="208" t="s">
        <v>117</v>
      </c>
      <c r="C52" s="629">
        <f>SUM(C43:C51)</f>
        <v>145.96027004974968</v>
      </c>
      <c r="D52" s="629">
        <f>SUM(D43:D51)</f>
        <v>-136.54384255013193</v>
      </c>
      <c r="E52" s="629">
        <f>SUM(E43:E51)</f>
        <v>194.65450047182566</v>
      </c>
      <c r="F52" s="629">
        <f>SUM(F43:F51)</f>
        <v>204.07092797144384</v>
      </c>
      <c r="G52" s="629">
        <f>SUM(G43:G51)</f>
        <v>40.197461790709504</v>
      </c>
    </row>
    <row r="53" spans="1:8" ht="13.8" thickBot="1">
      <c r="B53" s="114" t="s">
        <v>118</v>
      </c>
      <c r="C53" s="252">
        <f>C52/AVERAGE('Consolidated Model'!L34:Q34)</f>
        <v>62.427413455278042</v>
      </c>
      <c r="D53" s="253">
        <f>D52/AVERAGE('Consolidated Model'!L37:Q37)</f>
        <v>-12.307691069923276</v>
      </c>
      <c r="E53" s="252">
        <f>E52/AVERAGE('Consolidated Model'!L35:Q35)</f>
        <v>12.324797115624994</v>
      </c>
      <c r="F53" s="252">
        <f>F52/AVERAGE('Consolidated Model'!L32:Q32)</f>
        <v>6.9825139075631268</v>
      </c>
      <c r="G53" s="252">
        <f>G52/AVERAGE('Consolidated Model'!N35:S35)</f>
        <v>2.54515338680952</v>
      </c>
    </row>
    <row r="54" spans="1:8" ht="13.8" thickBot="1">
      <c r="B54" s="250" t="s">
        <v>119</v>
      </c>
      <c r="C54" s="630">
        <f>C52*'Distributional Weighting'!$F$43</f>
        <v>139.93343359742545</v>
      </c>
      <c r="D54" s="630">
        <f>D52*'Distributional Weighting'!$F$43</f>
        <v>-130.90581922131057</v>
      </c>
      <c r="E54" s="630">
        <f>E52*'Distributional Weighting'!$F$44</f>
        <v>202.85897966973604</v>
      </c>
      <c r="F54" s="630">
        <f>F52*'Distributional Weighting'!$F$44</f>
        <v>212.67229952659224</v>
      </c>
      <c r="G54" s="630">
        <f>G52*'Distributional Weighting'!$F$44</f>
        <v>41.891741852415088</v>
      </c>
    </row>
    <row r="55" spans="1:8" ht="13.8" thickBot="1">
      <c r="B55" s="251" t="s">
        <v>118</v>
      </c>
      <c r="C55" s="254">
        <f>C54/AVERAGE('Consolidated Model'!L34:Q34)</f>
        <v>59.849727000543844</v>
      </c>
      <c r="D55" s="255">
        <f>D54/AVERAGE('Consolidated Model'!L37:Q37)</f>
        <v>-11.799494961770858</v>
      </c>
      <c r="E55" s="254">
        <f>E54/AVERAGE('Consolidated Model'!L35:Q35)</f>
        <v>12.844274144455607</v>
      </c>
      <c r="F55" s="254">
        <f>F54/AVERAGE('Consolidated Model'!L38:Q38)</f>
        <v>7.2768194076407582</v>
      </c>
      <c r="G55" s="254">
        <f>G54/AVERAGE('Consolidated Model'!N35:S35)</f>
        <v>2.6524288824541342</v>
      </c>
    </row>
    <row r="56" spans="1:8">
      <c r="B56" s="10"/>
      <c r="C56" s="10"/>
      <c r="D56" s="10"/>
      <c r="E56" s="10"/>
      <c r="F56" s="10"/>
    </row>
    <row r="57" spans="1:8">
      <c r="B57" s="10"/>
      <c r="C57" s="10"/>
      <c r="D57" s="10"/>
      <c r="E57" s="10"/>
      <c r="F57" s="10"/>
    </row>
    <row r="58" spans="1:8" ht="52.8">
      <c r="B58" s="349"/>
      <c r="C58" s="350" t="s">
        <v>104</v>
      </c>
      <c r="D58" s="351" t="s">
        <v>105</v>
      </c>
      <c r="E58" s="350" t="s">
        <v>106</v>
      </c>
      <c r="F58" s="351" t="s">
        <v>126</v>
      </c>
      <c r="G58" s="357" t="s">
        <v>127</v>
      </c>
    </row>
    <row r="59" spans="1:8">
      <c r="A59" s="878"/>
      <c r="B59" s="781" t="s">
        <v>120</v>
      </c>
      <c r="C59" s="782">
        <f>SUM(C43:C46)</f>
        <v>-71.458934738955151</v>
      </c>
      <c r="D59" s="783">
        <f>SUM(D43:D46)</f>
        <v>-281.20002525638847</v>
      </c>
      <c r="E59" s="782">
        <f>SUM(E43:E46)</f>
        <v>216.37790024634</v>
      </c>
      <c r="F59" s="784">
        <f>SUM(F43:F46)</f>
        <v>-136.28105974900313</v>
      </c>
      <c r="G59" s="785">
        <f>SUM(G43:G46)</f>
        <v>-23.795785702492878</v>
      </c>
    </row>
    <row r="60" spans="1:8">
      <c r="A60" s="878"/>
      <c r="B60" s="781" t="s">
        <v>128</v>
      </c>
      <c r="C60" s="782">
        <f>C48</f>
        <v>17.628333832762156</v>
      </c>
      <c r="D60" s="783">
        <f t="shared" ref="D60:E60" si="4">D48</f>
        <v>83.646444036456387</v>
      </c>
      <c r="E60" s="782">
        <f t="shared" si="4"/>
        <v>119.07939504030831</v>
      </c>
      <c r="F60" s="784">
        <f>F48</f>
        <v>220.35417290952685</v>
      </c>
      <c r="G60" s="785">
        <f>G48</f>
        <v>41.34771326884119</v>
      </c>
    </row>
    <row r="61" spans="1:8">
      <c r="A61" s="878"/>
      <c r="B61" s="781" t="s">
        <v>129</v>
      </c>
      <c r="C61" s="782">
        <f t="shared" ref="C61:F62" si="5">C49</f>
        <v>188.6809435641525</v>
      </c>
      <c r="D61" s="783">
        <f t="shared" si="5"/>
        <v>12.075746499100308</v>
      </c>
      <c r="E61" s="782">
        <f t="shared" si="5"/>
        <v>17.191078525062721</v>
      </c>
      <c r="F61" s="784">
        <f t="shared" si="5"/>
        <v>217.94776858831554</v>
      </c>
      <c r="G61" s="785">
        <f t="shared" ref="G61:G67" si="6">G49</f>
        <v>40.847360551483725</v>
      </c>
    </row>
    <row r="62" spans="1:8">
      <c r="A62" s="878"/>
      <c r="B62" s="352" t="s">
        <v>130</v>
      </c>
      <c r="C62" s="353">
        <f t="shared" si="5"/>
        <v>4.3456378111878573</v>
      </c>
      <c r="D62" s="355">
        <f t="shared" si="5"/>
        <v>20.62005141408639</v>
      </c>
      <c r="E62" s="353">
        <f t="shared" si="5"/>
        <v>29.354783414573991</v>
      </c>
      <c r="F62" s="354">
        <f t="shared" si="5"/>
        <v>54.320472639848234</v>
      </c>
      <c r="G62" s="358">
        <f t="shared" si="6"/>
        <v>10.235696217224909</v>
      </c>
    </row>
    <row r="63" spans="1:8" ht="13.8" thickBot="1">
      <c r="A63" s="878"/>
      <c r="B63" s="635" t="s">
        <v>131</v>
      </c>
      <c r="C63" s="633">
        <f>C51+C47</f>
        <v>6.7642895806023242</v>
      </c>
      <c r="D63" s="628">
        <f t="shared" ref="D63:E63" si="7">D51+D47</f>
        <v>28.313940756613437</v>
      </c>
      <c r="E63" s="633">
        <f t="shared" si="7"/>
        <v>-187.3486567544594</v>
      </c>
      <c r="F63" s="631">
        <f>F51+F47</f>
        <v>-152.27042641724364</v>
      </c>
      <c r="G63" s="634">
        <f>G51+G47</f>
        <v>-28.437522544347448</v>
      </c>
    </row>
    <row r="64" spans="1:8" ht="13.8" thickBot="1">
      <c r="B64" s="208" t="s">
        <v>132</v>
      </c>
      <c r="C64" s="629">
        <f>SUM(C59:C63)</f>
        <v>145.96027004974971</v>
      </c>
      <c r="D64" s="629">
        <f>SUM(D59:D63)</f>
        <v>-136.54384255013193</v>
      </c>
      <c r="E64" s="629">
        <f>SUM(E59:E63)</f>
        <v>194.65450047182566</v>
      </c>
      <c r="F64" s="629">
        <f>SUM(F59:F63)</f>
        <v>204.07092797144384</v>
      </c>
      <c r="G64" s="629">
        <f>G52</f>
        <v>40.197461790709504</v>
      </c>
    </row>
    <row r="65" spans="2:12" ht="13.8" thickBot="1">
      <c r="B65" s="114" t="s">
        <v>133</v>
      </c>
      <c r="C65" s="252">
        <f>C53</f>
        <v>62.427413455278042</v>
      </c>
      <c r="D65" s="252">
        <f>D53</f>
        <v>-12.307691069923276</v>
      </c>
      <c r="E65" s="252">
        <f>E53</f>
        <v>12.324797115624994</v>
      </c>
      <c r="F65" s="252">
        <f>F53</f>
        <v>6.9825139075631268</v>
      </c>
      <c r="G65" s="252">
        <f t="shared" si="6"/>
        <v>2.54515338680952</v>
      </c>
    </row>
    <row r="66" spans="2:12" ht="13.8" thickBot="1">
      <c r="B66" s="250" t="s">
        <v>134</v>
      </c>
      <c r="C66" s="630">
        <f>C64*'Distributional Weighting'!$F$43</f>
        <v>139.93343359742548</v>
      </c>
      <c r="D66" s="630">
        <f>D64*'Distributional Weighting'!$F$43</f>
        <v>-130.90581922131057</v>
      </c>
      <c r="E66" s="630">
        <f>E64*'Distributional Weighting'!$F$44</f>
        <v>202.85897966973604</v>
      </c>
      <c r="F66" s="630">
        <f>SUM(C66:E66)</f>
        <v>211.88659404585096</v>
      </c>
      <c r="G66" s="630">
        <f t="shared" si="6"/>
        <v>41.891741852415088</v>
      </c>
    </row>
    <row r="67" spans="2:12" ht="13.8" thickBot="1">
      <c r="B67" s="251" t="s">
        <v>133</v>
      </c>
      <c r="C67" s="254">
        <f>C65*'Distributional Weighting'!$F$43</f>
        <v>59.849727000543844</v>
      </c>
      <c r="D67" s="254">
        <f>D65*'Distributional Weighting'!$F$43</f>
        <v>-11.799494961770858</v>
      </c>
      <c r="E67" s="254">
        <f>E65*'Distributional Weighting'!$F$44</f>
        <v>12.844274144455609</v>
      </c>
      <c r="F67" s="254">
        <f>F66/AVERAGE('Consolidated Model'!L38:Q38)</f>
        <v>7.2499356202191008</v>
      </c>
      <c r="G67" s="254">
        <f t="shared" si="6"/>
        <v>2.6524288824541342</v>
      </c>
    </row>
    <row r="68" spans="2:12">
      <c r="B68" s="343"/>
      <c r="C68" s="344"/>
      <c r="D68" s="344"/>
      <c r="E68" s="344"/>
      <c r="F68" s="344"/>
    </row>
    <row r="69" spans="2:12">
      <c r="B69" s="343"/>
      <c r="C69" s="344"/>
      <c r="D69" s="344"/>
      <c r="E69" s="344"/>
      <c r="F69" s="344"/>
    </row>
    <row r="70" spans="2:12">
      <c r="B70" s="778" t="s">
        <v>135</v>
      </c>
      <c r="C70" s="344"/>
      <c r="D70" s="344"/>
      <c r="E70" s="344"/>
      <c r="F70" s="344"/>
    </row>
    <row r="71" spans="2:12">
      <c r="B71" s="343"/>
      <c r="C71" s="344"/>
      <c r="D71" s="344"/>
      <c r="E71" s="344"/>
      <c r="F71" s="344"/>
    </row>
    <row r="72" spans="2:12">
      <c r="B72" s="226" t="s">
        <v>10</v>
      </c>
      <c r="C72" s="15"/>
      <c r="D72" s="17"/>
      <c r="E72" s="15"/>
      <c r="F72" s="16"/>
      <c r="G72" s="14"/>
      <c r="H72" s="15"/>
      <c r="I72" s="15"/>
      <c r="J72" s="15"/>
      <c r="K72" s="15"/>
      <c r="L72" s="15"/>
    </row>
    <row r="73" spans="2:12" hidden="1">
      <c r="B73" s="247"/>
      <c r="C73" s="316"/>
      <c r="D73" s="316"/>
      <c r="E73" s="316"/>
      <c r="F73" s="316"/>
      <c r="G73" s="19"/>
    </row>
    <row r="74" spans="2:12" hidden="1">
      <c r="B74" s="347"/>
      <c r="C74" s="110"/>
      <c r="D74" s="110"/>
      <c r="E74" s="110"/>
      <c r="F74" s="110"/>
      <c r="G74" s="10"/>
      <c r="H74" s="10"/>
    </row>
    <row r="75" spans="2:12" hidden="1">
      <c r="B75" s="347"/>
      <c r="C75" s="110"/>
      <c r="D75" s="110"/>
      <c r="E75" s="110"/>
      <c r="F75" s="110"/>
      <c r="G75" s="10"/>
      <c r="H75" s="10"/>
    </row>
    <row r="76" spans="2:12" hidden="1">
      <c r="B76" s="347"/>
      <c r="C76" s="110"/>
      <c r="D76" s="110"/>
      <c r="E76" s="110"/>
      <c r="F76" s="110"/>
      <c r="G76" s="10"/>
      <c r="H76" s="10"/>
    </row>
    <row r="77" spans="2:12" hidden="1">
      <c r="B77" s="349"/>
      <c r="C77" s="661"/>
      <c r="D77" s="661"/>
      <c r="E77" s="661"/>
      <c r="F77" s="661"/>
      <c r="G77" s="10"/>
      <c r="H77" s="10"/>
    </row>
    <row r="78" spans="2:12" hidden="1">
      <c r="B78" s="347"/>
      <c r="C78" s="662"/>
      <c r="D78" s="662"/>
      <c r="E78" s="662"/>
      <c r="F78" s="662"/>
      <c r="G78" s="10"/>
      <c r="H78" s="10"/>
    </row>
    <row r="79" spans="2:12" hidden="1">
      <c r="B79" s="349"/>
      <c r="C79" s="661"/>
      <c r="D79" s="661"/>
      <c r="E79" s="661"/>
      <c r="F79" s="661"/>
      <c r="G79" s="10"/>
      <c r="H79" s="10"/>
    </row>
    <row r="80" spans="2:12" hidden="1">
      <c r="B80" s="347"/>
      <c r="C80" s="662"/>
      <c r="D80" s="662"/>
      <c r="E80" s="662"/>
      <c r="F80" s="662"/>
      <c r="G80" s="10"/>
      <c r="H80" s="10"/>
    </row>
    <row r="81" s="10" customFormat="1" hidden="1"/>
    <row r="82" s="10" customFormat="1" hidden="1"/>
    <row r="83" s="10" customFormat="1" hidden="1"/>
    <row r="84" s="10" customFormat="1" hidden="1"/>
    <row r="85" s="10" customFormat="1" hidden="1"/>
    <row r="86"/>
  </sheetData>
  <mergeCells count="1">
    <mergeCell ref="A59:A63"/>
  </mergeCells>
  <dataValidations count="1">
    <dataValidation type="list" allowBlank="1" showInputMessage="1" showErrorMessage="1" sqref="C9" xr:uid="{D674EFB9-6519-4E76-A315-98C4E47FA63D}">
      <formula1>"2023,2024,2025,2026,2027,2028"</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AA0A9ED7-6FFA-4C16-AE48-DB6C567C7952}">
          <x14:formula1>
            <xm:f>'Policy Requirements'!$B$9:$B$16</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9EC4-8860-409B-8449-0883C15C0F3A}">
  <sheetPr codeName="Sheet7">
    <tabColor theme="3"/>
  </sheetPr>
  <dimension ref="A1"/>
  <sheetViews>
    <sheetView showGridLines="0" workbookViewId="0"/>
  </sheetViews>
  <sheetFormatPr defaultRowHeight="14.4"/>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1D85-64B9-4580-BC1E-97C26C5CEFAE}">
  <sheetPr codeName="Sheet2">
    <tabColor rgb="FFC00000"/>
  </sheetPr>
  <dimension ref="A1:AK746"/>
  <sheetViews>
    <sheetView showGridLines="0" zoomScale="70" zoomScaleNormal="70" workbookViewId="0">
      <pane xSplit="11" ySplit="3" topLeftCell="L4" activePane="bottomRight" state="frozen"/>
      <selection pane="topRight" activeCell="L1" sqref="L1"/>
      <selection pane="bottomLeft" activeCell="A2" sqref="A2"/>
      <selection pane="bottomRight"/>
    </sheetView>
  </sheetViews>
  <sheetFormatPr defaultColWidth="0" defaultRowHeight="14.4" zeroHeight="1" outlineLevelRow="1"/>
  <cols>
    <col min="1" max="2" width="9.33203125" style="10" customWidth="1"/>
    <col min="3" max="4" width="3.33203125" style="27" customWidth="1"/>
    <col min="5" max="5" width="54.44140625" style="10" customWidth="1"/>
    <col min="6" max="6" width="2.5546875" style="10" customWidth="1"/>
    <col min="7" max="7" width="9.33203125" style="10" customWidth="1"/>
    <col min="8" max="8" width="46.33203125" style="10" customWidth="1"/>
    <col min="9" max="9" width="12.33203125" style="13" bestFit="1" customWidth="1"/>
    <col min="10" max="10" width="9.33203125" style="10" customWidth="1"/>
    <col min="11" max="11" width="7.33203125" style="10" customWidth="1"/>
    <col min="12" max="12" width="28.6640625" style="10" customWidth="1"/>
    <col min="13" max="34" width="10.6640625" style="10" customWidth="1"/>
    <col min="35" max="35" width="9.33203125" style="10" customWidth="1"/>
    <col min="36" max="36" width="9.109375" customWidth="1"/>
    <col min="37" max="37" width="9.109375" hidden="1"/>
  </cols>
  <sheetData>
    <row r="1" spans="1:35" ht="17.399999999999999">
      <c r="A1" s="43" t="s">
        <v>33</v>
      </c>
    </row>
    <row r="2" spans="1:35"/>
    <row r="3" spans="1:35">
      <c r="A3" s="28"/>
      <c r="B3" s="28"/>
      <c r="C3" s="28"/>
      <c r="D3" s="28"/>
      <c r="E3" s="28"/>
      <c r="F3" s="28"/>
      <c r="G3" s="28" t="s">
        <v>136</v>
      </c>
      <c r="H3" s="28"/>
      <c r="I3" s="210"/>
      <c r="J3" s="28"/>
      <c r="K3" s="28"/>
      <c r="L3" s="28">
        <v>2023</v>
      </c>
      <c r="M3" s="28">
        <v>2024</v>
      </c>
      <c r="N3" s="28">
        <v>2025</v>
      </c>
      <c r="O3" s="28">
        <v>2026</v>
      </c>
      <c r="P3" s="28">
        <v>2027</v>
      </c>
      <c r="Q3" s="28">
        <v>2028</v>
      </c>
      <c r="R3" s="28">
        <v>2029</v>
      </c>
      <c r="S3" s="28">
        <v>2030</v>
      </c>
      <c r="T3" s="28">
        <v>2031</v>
      </c>
      <c r="U3" s="28">
        <v>2032</v>
      </c>
      <c r="V3" s="28">
        <v>2033</v>
      </c>
      <c r="W3" s="28">
        <v>2034</v>
      </c>
      <c r="X3" s="28">
        <v>2035</v>
      </c>
      <c r="Y3" s="28">
        <v>2036</v>
      </c>
      <c r="Z3" s="28">
        <v>2037</v>
      </c>
      <c r="AA3" s="28">
        <v>2038</v>
      </c>
      <c r="AB3" s="28">
        <v>2039</v>
      </c>
      <c r="AC3" s="28">
        <v>2040</v>
      </c>
      <c r="AD3" s="28">
        <v>2041</v>
      </c>
      <c r="AE3" s="28">
        <v>2042</v>
      </c>
      <c r="AF3" s="28">
        <v>2043</v>
      </c>
      <c r="AG3" s="28">
        <v>2044</v>
      </c>
      <c r="AH3" s="28">
        <v>2045</v>
      </c>
      <c r="AI3" s="107"/>
    </row>
    <row r="4" spans="1:35"/>
    <row r="5" spans="1:35">
      <c r="A5" s="93" t="s">
        <v>137</v>
      </c>
      <c r="B5" s="93"/>
      <c r="C5" s="93"/>
      <c r="D5" s="93"/>
      <c r="E5" s="93"/>
      <c r="F5" s="93"/>
      <c r="G5" s="93"/>
      <c r="H5" s="93"/>
      <c r="I5" s="211"/>
      <c r="J5" s="93"/>
      <c r="K5" s="93"/>
      <c r="L5" s="93"/>
      <c r="M5" s="93"/>
      <c r="N5" s="93"/>
      <c r="O5" s="93"/>
      <c r="P5" s="93"/>
      <c r="Q5" s="93"/>
      <c r="R5" s="93"/>
      <c r="S5" s="93"/>
      <c r="T5" s="93"/>
      <c r="U5" s="93"/>
      <c r="V5" s="93"/>
      <c r="W5" s="93"/>
      <c r="X5" s="93"/>
      <c r="Y5" s="93"/>
      <c r="Z5" s="93"/>
      <c r="AA5" s="93"/>
      <c r="AB5" s="93"/>
      <c r="AC5" s="93"/>
      <c r="AD5" s="93"/>
      <c r="AE5" s="93"/>
      <c r="AF5" s="93"/>
      <c r="AG5" s="93"/>
      <c r="AH5" s="93"/>
      <c r="AI5" s="107"/>
    </row>
    <row r="6" spans="1:35" outlineLevel="1">
      <c r="AI6" s="107"/>
    </row>
    <row r="7" spans="1:35" outlineLevel="1">
      <c r="D7" s="317" t="s">
        <v>76</v>
      </c>
      <c r="E7" s="318"/>
      <c r="F7" s="318"/>
      <c r="G7" s="318" t="s">
        <v>26</v>
      </c>
      <c r="H7" s="776" t="s">
        <v>138</v>
      </c>
      <c r="I7" s="319"/>
      <c r="J7" s="318"/>
      <c r="K7" s="320"/>
      <c r="L7" s="398">
        <f>'Central Inputs'!C57</f>
        <v>2.6177655171715335</v>
      </c>
      <c r="M7" s="398">
        <f>'Central Inputs'!D57</f>
        <v>3.040136316285337</v>
      </c>
      <c r="N7" s="398">
        <f>'Central Inputs'!E57</f>
        <v>2.5227663425321984</v>
      </c>
      <c r="O7" s="398">
        <f>'Central Inputs'!F57</f>
        <v>2.3402395550748274</v>
      </c>
      <c r="P7" s="398">
        <f>'Central Inputs'!G57</f>
        <v>2.3402395550748274</v>
      </c>
      <c r="Q7" s="398">
        <f>'Central Inputs'!H57</f>
        <v>2.3402395550748274</v>
      </c>
      <c r="AI7" s="107"/>
    </row>
    <row r="8" spans="1:35" outlineLevel="1">
      <c r="AI8" s="107"/>
    </row>
    <row r="9" spans="1:35" outlineLevel="1">
      <c r="AI9" s="107"/>
    </row>
    <row r="10" spans="1:35" outlineLevel="1">
      <c r="C10" s="184" t="s">
        <v>139</v>
      </c>
      <c r="D10" s="321"/>
      <c r="E10" s="322"/>
      <c r="F10" s="322"/>
      <c r="G10" s="322"/>
      <c r="H10" s="322"/>
      <c r="I10" s="323"/>
      <c r="J10" s="322"/>
      <c r="K10" s="322"/>
      <c r="L10" s="324"/>
      <c r="M10" s="324"/>
      <c r="N10" s="324"/>
      <c r="O10" s="324"/>
      <c r="P10" s="324"/>
      <c r="Q10" s="324"/>
      <c r="R10" s="322"/>
      <c r="S10" s="322"/>
      <c r="T10" s="322"/>
      <c r="U10" s="322"/>
      <c r="V10" s="322"/>
      <c r="W10" s="322"/>
      <c r="X10" s="322"/>
      <c r="Y10" s="322"/>
      <c r="Z10" s="322"/>
      <c r="AA10" s="322"/>
      <c r="AB10" s="322"/>
      <c r="AC10" s="322"/>
      <c r="AD10" s="322"/>
      <c r="AE10" s="322"/>
      <c r="AF10" s="322"/>
      <c r="AG10" s="322"/>
      <c r="AH10" s="322"/>
      <c r="AI10" s="107"/>
    </row>
    <row r="11" spans="1:35" outlineLevel="1">
      <c r="AI11" s="107"/>
    </row>
    <row r="12" spans="1:35" outlineLevel="1">
      <c r="D12" s="27" t="s">
        <v>140</v>
      </c>
      <c r="AI12" s="107"/>
    </row>
    <row r="13" spans="1:35" outlineLevel="1">
      <c r="D13" s="786"/>
      <c r="E13" s="787" t="s">
        <v>141</v>
      </c>
      <c r="F13" s="787"/>
      <c r="G13" s="787" t="s">
        <v>142</v>
      </c>
      <c r="H13" s="787"/>
      <c r="I13" s="788"/>
      <c r="J13" s="787"/>
      <c r="K13" s="787"/>
      <c r="L13" s="789">
        <f>'Central Inputs'!C52</f>
        <v>8.4153209337216039E-2</v>
      </c>
      <c r="M13" s="789">
        <f>'Central Inputs'!D52</f>
        <v>8.4837531026891302E-2</v>
      </c>
      <c r="N13" s="789">
        <f>'Central Inputs'!E52</f>
        <v>8.5719675018101751E-2</v>
      </c>
      <c r="O13" s="789">
        <f>'Central Inputs'!F52</f>
        <v>8.6500857266587086E-2</v>
      </c>
      <c r="P13" s="789">
        <f>'Central Inputs'!G52</f>
        <v>8.7163837734718599E-2</v>
      </c>
      <c r="Q13" s="789">
        <f>'Central Inputs'!H52</f>
        <v>8.7654376894712407E-2</v>
      </c>
      <c r="AI13" s="107"/>
    </row>
    <row r="14" spans="1:35" outlineLevel="1">
      <c r="E14" s="10" t="s">
        <v>143</v>
      </c>
      <c r="G14" s="10" t="s">
        <v>142</v>
      </c>
      <c r="L14" s="399">
        <f>'Central Inputs'!C53</f>
        <v>9.0049876003882701E-2</v>
      </c>
      <c r="M14" s="399">
        <f>'Central Inputs'!D53</f>
        <v>9.0734197693557977E-2</v>
      </c>
      <c r="N14" s="399">
        <f>'Central Inputs'!E53</f>
        <v>9.1616341684768426E-2</v>
      </c>
      <c r="O14" s="399">
        <f>'Central Inputs'!F53</f>
        <v>9.2397523933253761E-2</v>
      </c>
      <c r="P14" s="399">
        <f>'Central Inputs'!G53</f>
        <v>9.3060504401385274E-2</v>
      </c>
      <c r="Q14" s="399">
        <f>'Central Inputs'!H53</f>
        <v>9.3551043561379083E-2</v>
      </c>
      <c r="AI14" s="107"/>
    </row>
    <row r="15" spans="1:35" outlineLevel="1">
      <c r="E15" s="10" t="s">
        <v>144</v>
      </c>
      <c r="G15" s="10" t="s">
        <v>142</v>
      </c>
      <c r="L15" s="399">
        <f>'Central Inputs'!C54</f>
        <v>9.6762812511819202E-2</v>
      </c>
      <c r="M15" s="399">
        <f>'Central Inputs'!D54</f>
        <v>9.7447134201494479E-2</v>
      </c>
      <c r="N15" s="399">
        <f>'Central Inputs'!E54</f>
        <v>9.8329278192704928E-2</v>
      </c>
      <c r="O15" s="399">
        <f>'Central Inputs'!F54</f>
        <v>9.9110460441190248E-2</v>
      </c>
      <c r="P15" s="399">
        <f>'Central Inputs'!G54</f>
        <v>9.9773440909321776E-2</v>
      </c>
      <c r="Q15" s="399">
        <f>'Central Inputs'!H54</f>
        <v>0.10026398006931558</v>
      </c>
      <c r="AI15" s="107"/>
    </row>
    <row r="16" spans="1:35" outlineLevel="1">
      <c r="D16" s="95"/>
      <c r="E16" s="62" t="s">
        <v>145</v>
      </c>
      <c r="F16" s="62"/>
      <c r="G16" s="62" t="s">
        <v>142</v>
      </c>
      <c r="H16" s="62"/>
      <c r="I16" s="212"/>
      <c r="J16" s="62"/>
      <c r="K16" s="62"/>
      <c r="L16" s="400">
        <f>'Central Inputs'!C55</f>
        <v>0.11186253473404144</v>
      </c>
      <c r="M16" s="400">
        <f>'Central Inputs'!D55</f>
        <v>0.1125468564237167</v>
      </c>
      <c r="N16" s="400">
        <f>'Central Inputs'!E55</f>
        <v>0.11342900041492715</v>
      </c>
      <c r="O16" s="400">
        <f>'Central Inputs'!F55</f>
        <v>0.11421018266341249</v>
      </c>
      <c r="P16" s="400">
        <f>'Central Inputs'!G55</f>
        <v>0.114873163131544</v>
      </c>
      <c r="Q16" s="400">
        <f>'Central Inputs'!H55</f>
        <v>0.11536370229153781</v>
      </c>
      <c r="AI16" s="107"/>
    </row>
    <row r="17" spans="3:35" outlineLevel="1">
      <c r="L17" s="21"/>
      <c r="M17" s="21"/>
      <c r="N17" s="21"/>
      <c r="O17" s="21"/>
      <c r="P17" s="21"/>
      <c r="Q17" s="21"/>
      <c r="AI17" s="107"/>
    </row>
    <row r="18" spans="3:35" outlineLevel="1">
      <c r="D18" s="27" t="s">
        <v>68</v>
      </c>
      <c r="L18" s="21"/>
      <c r="M18" s="21"/>
      <c r="N18" s="21"/>
      <c r="O18" s="21"/>
      <c r="P18" s="21"/>
      <c r="Q18" s="21"/>
      <c r="AI18" s="107"/>
    </row>
    <row r="19" spans="3:35" outlineLevel="1">
      <c r="D19" s="786"/>
      <c r="E19" s="787" t="s">
        <v>141</v>
      </c>
      <c r="F19" s="787"/>
      <c r="G19" s="787" t="s">
        <v>142</v>
      </c>
      <c r="H19" s="787"/>
      <c r="I19" s="788"/>
      <c r="J19" s="787"/>
      <c r="K19" s="787"/>
      <c r="L19" s="789">
        <f>'Default Rates'!$D$11</f>
        <v>5.9999999999999995E-4</v>
      </c>
      <c r="M19" s="789">
        <f>'Default Rates'!$D$11</f>
        <v>5.9999999999999995E-4</v>
      </c>
      <c r="N19" s="789">
        <f>'Default Rates'!$D$11</f>
        <v>5.9999999999999995E-4</v>
      </c>
      <c r="O19" s="789">
        <f>'Default Rates'!$D$11</f>
        <v>5.9999999999999995E-4</v>
      </c>
      <c r="P19" s="789">
        <f>'Default Rates'!$D$11</f>
        <v>5.9999999999999995E-4</v>
      </c>
      <c r="Q19" s="789">
        <f>'Default Rates'!$D$11</f>
        <v>5.9999999999999995E-4</v>
      </c>
      <c r="AI19" s="107"/>
    </row>
    <row r="20" spans="3:35" outlineLevel="1">
      <c r="E20" s="10" t="s">
        <v>146</v>
      </c>
      <c r="G20" s="10" t="s">
        <v>142</v>
      </c>
      <c r="L20" s="399">
        <f>'Default Rates'!$D$12</f>
        <v>3.5999999999999999E-3</v>
      </c>
      <c r="M20" s="399">
        <f>'Default Rates'!$D$12</f>
        <v>3.5999999999999999E-3</v>
      </c>
      <c r="N20" s="399">
        <f>'Default Rates'!$D$12</f>
        <v>3.5999999999999999E-3</v>
      </c>
      <c r="O20" s="399">
        <f>'Default Rates'!$D$12</f>
        <v>3.5999999999999999E-3</v>
      </c>
      <c r="P20" s="399">
        <f>'Default Rates'!$D$12</f>
        <v>3.5999999999999999E-3</v>
      </c>
      <c r="Q20" s="399">
        <f>'Default Rates'!$D$12</f>
        <v>3.5999999999999999E-3</v>
      </c>
      <c r="AI20" s="107"/>
    </row>
    <row r="21" spans="3:35" outlineLevel="1">
      <c r="E21" s="10" t="s">
        <v>144</v>
      </c>
      <c r="G21" s="10" t="s">
        <v>142</v>
      </c>
      <c r="L21" s="399">
        <f>'Default Rates'!$D$13</f>
        <v>2.2200000000000001E-2</v>
      </c>
      <c r="M21" s="399">
        <f>'Default Rates'!$D$13</f>
        <v>2.2200000000000001E-2</v>
      </c>
      <c r="N21" s="399">
        <f>'Default Rates'!$D$13</f>
        <v>2.2200000000000001E-2</v>
      </c>
      <c r="O21" s="399">
        <f>'Default Rates'!$D$13</f>
        <v>2.2200000000000001E-2</v>
      </c>
      <c r="P21" s="399">
        <f>'Default Rates'!$D$13</f>
        <v>2.2200000000000001E-2</v>
      </c>
      <c r="Q21" s="399">
        <f>'Default Rates'!$D$13</f>
        <v>2.2200000000000001E-2</v>
      </c>
      <c r="AI21" s="107"/>
    </row>
    <row r="22" spans="3:35" outlineLevel="1">
      <c r="D22" s="95"/>
      <c r="E22" s="62" t="s">
        <v>145</v>
      </c>
      <c r="F22" s="62"/>
      <c r="G22" s="62" t="s">
        <v>142</v>
      </c>
      <c r="H22" s="62"/>
      <c r="I22" s="212"/>
      <c r="J22" s="62"/>
      <c r="K22" s="62"/>
      <c r="L22" s="401">
        <f>(Failures!$E$41-$L$21*$L$79)/$L$80</f>
        <v>0.11039980290598911</v>
      </c>
      <c r="M22" s="401">
        <f>(Failures!$E$41-$L$21*$L$79)/$L$80</f>
        <v>0.11039980290598911</v>
      </c>
      <c r="N22" s="401">
        <f>(Failures!$E$41-$L$21*$L$79)/$L$80</f>
        <v>0.11039980290598911</v>
      </c>
      <c r="O22" s="401">
        <f>(Failures!$E$41-$L$21*$L$79)/$L$80</f>
        <v>0.11039980290598911</v>
      </c>
      <c r="P22" s="401">
        <f>(Failures!$E$41-$L$21*$L$79)/$L$80</f>
        <v>0.11039980290598911</v>
      </c>
      <c r="Q22" s="401">
        <f>(Failures!$E$41-$L$21*$L$79)/$L$80</f>
        <v>0.11039980290598911</v>
      </c>
      <c r="S22" s="230"/>
      <c r="AI22" s="107"/>
    </row>
    <row r="23" spans="3:35" outlineLevel="1">
      <c r="AI23" s="107"/>
    </row>
    <row r="24" spans="3:35" outlineLevel="1">
      <c r="AI24" s="107"/>
    </row>
    <row r="25" spans="3:35" outlineLevel="1">
      <c r="C25" s="184" t="s">
        <v>147</v>
      </c>
      <c r="D25" s="321"/>
      <c r="E25" s="322"/>
      <c r="F25" s="322"/>
      <c r="G25" s="322"/>
      <c r="H25" s="322"/>
      <c r="I25" s="323"/>
      <c r="J25" s="322"/>
      <c r="K25" s="322"/>
      <c r="L25" s="324"/>
      <c r="M25" s="324"/>
      <c r="N25" s="324"/>
      <c r="O25" s="324"/>
      <c r="P25" s="324"/>
      <c r="Q25" s="324"/>
      <c r="R25" s="322"/>
      <c r="S25" s="322"/>
      <c r="T25" s="322"/>
      <c r="U25" s="322"/>
      <c r="V25" s="322"/>
      <c r="W25" s="322"/>
      <c r="X25" s="322"/>
      <c r="Y25" s="322"/>
      <c r="Z25" s="322"/>
      <c r="AA25" s="322"/>
      <c r="AB25" s="322"/>
      <c r="AC25" s="322"/>
      <c r="AD25" s="322"/>
      <c r="AE25" s="322"/>
      <c r="AF25" s="322"/>
      <c r="AG25" s="322"/>
      <c r="AH25" s="322"/>
      <c r="AI25" s="107"/>
    </row>
    <row r="26" spans="3:35" outlineLevel="1">
      <c r="L26" s="21"/>
      <c r="M26" s="21"/>
      <c r="N26" s="21"/>
      <c r="O26" s="21"/>
      <c r="P26" s="21"/>
      <c r="AI26" s="107"/>
    </row>
    <row r="27" spans="3:35" outlineLevel="1">
      <c r="D27" s="786"/>
      <c r="E27" s="787" t="s">
        <v>148</v>
      </c>
      <c r="F27" s="787"/>
      <c r="G27" s="787" t="s">
        <v>149</v>
      </c>
      <c r="H27" s="787"/>
      <c r="I27" s="788"/>
      <c r="J27" s="787"/>
      <c r="K27" s="787"/>
      <c r="L27" s="790">
        <f>'Central Inputs'!C58/10^6</f>
        <v>29.225996635739438</v>
      </c>
      <c r="M27" s="790">
        <f>'Central Inputs'!D58/10^6</f>
        <v>29.225996635739438</v>
      </c>
      <c r="N27" s="790">
        <f>'Central Inputs'!E58/10^6</f>
        <v>29.225996635739438</v>
      </c>
      <c r="O27" s="790">
        <f>'Central Inputs'!F58/10^6</f>
        <v>29.225996635739438</v>
      </c>
      <c r="P27" s="790">
        <f>'Central Inputs'!G58/10^6</f>
        <v>29.225996635739438</v>
      </c>
      <c r="Q27" s="790">
        <f>'Central Inputs'!H58/10^6</f>
        <v>29.225996635739438</v>
      </c>
      <c r="AI27" s="107"/>
    </row>
    <row r="28" spans="3:35" outlineLevel="1">
      <c r="E28" s="268" t="s">
        <v>150</v>
      </c>
      <c r="F28" s="268"/>
      <c r="G28" s="268" t="s">
        <v>149</v>
      </c>
      <c r="H28" s="268"/>
      <c r="I28" s="269"/>
      <c r="J28" s="268"/>
      <c r="K28" s="268"/>
      <c r="L28" s="402">
        <f>L$27*'Central Inputs'!C59</f>
        <v>17.101190568736339</v>
      </c>
      <c r="M28" s="402">
        <f>M$27*'Central Inputs'!D59</f>
        <v>17.101190568736339</v>
      </c>
      <c r="N28" s="402">
        <f>N$27*'Central Inputs'!E59</f>
        <v>17.101190568736339</v>
      </c>
      <c r="O28" s="402">
        <f>O$27*'Central Inputs'!F59</f>
        <v>17.101190568736339</v>
      </c>
      <c r="P28" s="402">
        <f>P$27*'Central Inputs'!G59</f>
        <v>17.101190568736339</v>
      </c>
      <c r="Q28" s="402">
        <f>Q$27*'Central Inputs'!H59</f>
        <v>17.101190568736339</v>
      </c>
      <c r="R28" s="92"/>
      <c r="AI28" s="107"/>
    </row>
    <row r="29" spans="3:35" outlineLevel="1">
      <c r="E29" s="10" t="s">
        <v>151</v>
      </c>
      <c r="G29" s="10" t="s">
        <v>149</v>
      </c>
      <c r="L29" s="223">
        <f>L$27*'Central Inputs'!C60</f>
        <v>8.3254265043569742</v>
      </c>
      <c r="M29" s="223">
        <f>M$27*'Central Inputs'!D60</f>
        <v>8.3254265043569742</v>
      </c>
      <c r="N29" s="223">
        <f>N$27*'Central Inputs'!E60</f>
        <v>8.3254265043569742</v>
      </c>
      <c r="O29" s="223">
        <f>O$27*'Central Inputs'!F60</f>
        <v>8.3254265043569742</v>
      </c>
      <c r="P29" s="223">
        <f>P$27*'Central Inputs'!G60</f>
        <v>8.3254265043569742</v>
      </c>
      <c r="Q29" s="223">
        <f>Q$27*'Central Inputs'!H60</f>
        <v>8.3254265043569742</v>
      </c>
      <c r="R29" s="92"/>
      <c r="AI29" s="107"/>
    </row>
    <row r="30" spans="3:35" outlineLevel="1">
      <c r="E30" s="10" t="s">
        <v>152</v>
      </c>
      <c r="G30" s="10" t="s">
        <v>149</v>
      </c>
      <c r="L30" s="223">
        <f>L$27*'Central Inputs'!C61</f>
        <v>3.7993795626461271</v>
      </c>
      <c r="M30" s="223">
        <f>M$27*'Central Inputs'!D61</f>
        <v>3.7993795626461271</v>
      </c>
      <c r="N30" s="223">
        <f>N$27*'Central Inputs'!E61</f>
        <v>3.7993795626461271</v>
      </c>
      <c r="O30" s="223">
        <f>O$27*'Central Inputs'!F61</f>
        <v>3.7993795626461271</v>
      </c>
      <c r="P30" s="223">
        <f>P$27*'Central Inputs'!G61</f>
        <v>3.7993795626461271</v>
      </c>
      <c r="Q30" s="223">
        <f>Q$27*'Central Inputs'!H61</f>
        <v>3.7993795626461271</v>
      </c>
      <c r="R30" s="92"/>
      <c r="AI30" s="107"/>
    </row>
    <row r="31" spans="3:35" outlineLevel="1">
      <c r="D31" s="95"/>
      <c r="E31" s="62" t="s">
        <v>153</v>
      </c>
      <c r="F31" s="62"/>
      <c r="G31" s="62" t="s">
        <v>149</v>
      </c>
      <c r="H31" s="62"/>
      <c r="I31" s="212"/>
      <c r="J31" s="62"/>
      <c r="K31" s="62"/>
      <c r="L31" s="403">
        <f>SUM(L29:L30)</f>
        <v>12.124806067003101</v>
      </c>
      <c r="M31" s="403">
        <f t="shared" ref="M31:N31" si="0">SUM(M29:M30)</f>
        <v>12.124806067003101</v>
      </c>
      <c r="N31" s="403">
        <f t="shared" si="0"/>
        <v>12.124806067003101</v>
      </c>
      <c r="O31" s="403">
        <f t="shared" ref="O31" si="1">SUM(O29:O30)</f>
        <v>12.124806067003101</v>
      </c>
      <c r="P31" s="403">
        <f t="shared" ref="P31" si="2">SUM(P29:P30)</f>
        <v>12.124806067003101</v>
      </c>
      <c r="Q31" s="403">
        <f t="shared" ref="Q31" si="3">SUM(Q29:Q30)</f>
        <v>12.124806067003101</v>
      </c>
      <c r="AI31" s="107"/>
    </row>
    <row r="32" spans="3:35" outlineLevel="1">
      <c r="D32" s="317" t="s">
        <v>107</v>
      </c>
      <c r="E32" s="317"/>
      <c r="F32" s="317"/>
      <c r="G32" s="317" t="s">
        <v>149</v>
      </c>
      <c r="H32" s="317"/>
      <c r="I32" s="325"/>
      <c r="J32" s="317"/>
      <c r="K32" s="317"/>
      <c r="L32" s="404">
        <f>SUM(L28,L31)</f>
        <v>29.225996635739442</v>
      </c>
      <c r="M32" s="404">
        <f t="shared" ref="M32:N32" si="4">SUM(M28,M31)</f>
        <v>29.225996635739442</v>
      </c>
      <c r="N32" s="404">
        <f t="shared" si="4"/>
        <v>29.225996635739442</v>
      </c>
      <c r="O32" s="404">
        <f t="shared" ref="O32" si="5">SUM(O28,O31)</f>
        <v>29.225996635739442</v>
      </c>
      <c r="P32" s="404">
        <f t="shared" ref="P32" si="6">SUM(P28,P31)</f>
        <v>29.225996635739442</v>
      </c>
      <c r="Q32" s="404">
        <f t="shared" ref="Q32" si="7">SUM(Q28,Q31)</f>
        <v>29.225996635739442</v>
      </c>
      <c r="AI32" s="107"/>
    </row>
    <row r="33" spans="3:35" outlineLevel="1">
      <c r="L33" s="21"/>
      <c r="M33" s="21"/>
      <c r="N33" s="21"/>
      <c r="O33" s="21"/>
      <c r="P33" s="21"/>
      <c r="Q33" s="21"/>
      <c r="AI33" s="107"/>
    </row>
    <row r="34" spans="3:35" outlineLevel="1">
      <c r="D34" s="786"/>
      <c r="E34" s="787" t="s">
        <v>104</v>
      </c>
      <c r="F34" s="787"/>
      <c r="G34" s="787" t="s">
        <v>149</v>
      </c>
      <c r="H34" s="787"/>
      <c r="I34" s="788"/>
      <c r="J34" s="787"/>
      <c r="K34" s="787"/>
      <c r="L34" s="791">
        <f>L$27*'Central Inputs'!C62</f>
        <v>2.338079730859155</v>
      </c>
      <c r="M34" s="791">
        <f>M$27*'Central Inputs'!D62</f>
        <v>2.338079730859155</v>
      </c>
      <c r="N34" s="791">
        <f>N$27*'Central Inputs'!E62</f>
        <v>2.338079730859155</v>
      </c>
      <c r="O34" s="791">
        <f>O$27*'Central Inputs'!F62</f>
        <v>2.338079730859155</v>
      </c>
      <c r="P34" s="791">
        <f>P$27*'Central Inputs'!G62</f>
        <v>2.338079730859155</v>
      </c>
      <c r="Q34" s="791">
        <f>Q$27*'Central Inputs'!H62</f>
        <v>2.338079730859155</v>
      </c>
      <c r="AI34" s="107"/>
    </row>
    <row r="35" spans="3:35" outlineLevel="1">
      <c r="E35" s="10" t="s">
        <v>106</v>
      </c>
      <c r="G35" s="10" t="s">
        <v>149</v>
      </c>
      <c r="L35" s="23">
        <f>L$27*'Central Inputs'!$C$7</f>
        <v>15.793728581953593</v>
      </c>
      <c r="M35" s="23">
        <f>M$27*'Central Inputs'!$C$7</f>
        <v>15.793728581953593</v>
      </c>
      <c r="N35" s="23">
        <f>N$27*'Central Inputs'!$C$7</f>
        <v>15.793728581953593</v>
      </c>
      <c r="O35" s="23">
        <f>O$27*'Central Inputs'!$C$7</f>
        <v>15.793728581953593</v>
      </c>
      <c r="P35" s="23">
        <f>P$27*'Central Inputs'!$C$7</f>
        <v>15.793728581953593</v>
      </c>
      <c r="Q35" s="23">
        <f>Q$27*'Central Inputs'!$C$7</f>
        <v>15.793728581953593</v>
      </c>
      <c r="AI35" s="107"/>
    </row>
    <row r="36" spans="3:35" outlineLevel="1">
      <c r="E36" s="10" t="s">
        <v>154</v>
      </c>
      <c r="G36" s="10" t="s">
        <v>149</v>
      </c>
      <c r="L36" s="23">
        <f>L27-L35</f>
        <v>13.432268053785846</v>
      </c>
      <c r="M36" s="23">
        <f t="shared" ref="M36:Q36" si="8">M27-M35</f>
        <v>13.432268053785846</v>
      </c>
      <c r="N36" s="23">
        <f t="shared" si="8"/>
        <v>13.432268053785846</v>
      </c>
      <c r="O36" s="23">
        <f t="shared" si="8"/>
        <v>13.432268053785846</v>
      </c>
      <c r="P36" s="23">
        <f t="shared" si="8"/>
        <v>13.432268053785846</v>
      </c>
      <c r="Q36" s="23">
        <f t="shared" si="8"/>
        <v>13.432268053785846</v>
      </c>
      <c r="AI36" s="107"/>
    </row>
    <row r="37" spans="3:35" outlineLevel="1">
      <c r="D37" s="95"/>
      <c r="E37" s="62" t="s">
        <v>155</v>
      </c>
      <c r="F37" s="62"/>
      <c r="G37" s="62" t="s">
        <v>149</v>
      </c>
      <c r="H37" s="62"/>
      <c r="I37" s="212"/>
      <c r="J37" s="62"/>
      <c r="K37" s="62"/>
      <c r="L37" s="296">
        <f>L36-L34</f>
        <v>11.094188322926691</v>
      </c>
      <c r="M37" s="296">
        <f t="shared" ref="M37:P37" si="9">M36-M34</f>
        <v>11.094188322926691</v>
      </c>
      <c r="N37" s="296">
        <f>N36-N34</f>
        <v>11.094188322926691</v>
      </c>
      <c r="O37" s="296">
        <f t="shared" si="9"/>
        <v>11.094188322926691</v>
      </c>
      <c r="P37" s="296">
        <f t="shared" si="9"/>
        <v>11.094188322926691</v>
      </c>
      <c r="Q37" s="296">
        <f>Q36-Q34</f>
        <v>11.094188322926691</v>
      </c>
      <c r="AI37" s="107"/>
    </row>
    <row r="38" spans="3:35" outlineLevel="1">
      <c r="D38" s="317" t="s">
        <v>107</v>
      </c>
      <c r="E38" s="317"/>
      <c r="F38" s="317"/>
      <c r="G38" s="317" t="s">
        <v>149</v>
      </c>
      <c r="H38" s="317"/>
      <c r="I38" s="325"/>
      <c r="J38" s="317"/>
      <c r="K38" s="317"/>
      <c r="L38" s="405">
        <f>L34+L35+L37</f>
        <v>29.225996635739438</v>
      </c>
      <c r="M38" s="405">
        <f t="shared" ref="M38:Q38" si="10">M34+M35+M37</f>
        <v>29.225996635739438</v>
      </c>
      <c r="N38" s="405">
        <f t="shared" si="10"/>
        <v>29.225996635739438</v>
      </c>
      <c r="O38" s="405">
        <f t="shared" si="10"/>
        <v>29.225996635739438</v>
      </c>
      <c r="P38" s="405">
        <f t="shared" si="10"/>
        <v>29.225996635739438</v>
      </c>
      <c r="Q38" s="405">
        <f t="shared" si="10"/>
        <v>29.225996635739438</v>
      </c>
      <c r="AI38" s="107"/>
    </row>
    <row r="39" spans="3:35" outlineLevel="1">
      <c r="E39" s="295"/>
      <c r="L39" s="406"/>
      <c r="M39" s="406"/>
      <c r="N39" s="406"/>
      <c r="O39" s="406"/>
      <c r="P39" s="406"/>
      <c r="Q39" s="406"/>
      <c r="AI39" s="107"/>
    </row>
    <row r="40" spans="3:35" outlineLevel="1">
      <c r="D40" s="786"/>
      <c r="E40" s="787" t="s">
        <v>156</v>
      </c>
      <c r="F40" s="787"/>
      <c r="G40" s="787" t="s">
        <v>149</v>
      </c>
      <c r="H40" s="787"/>
      <c r="I40" s="788"/>
      <c r="J40" s="787"/>
      <c r="K40" s="787"/>
      <c r="L40" s="791">
        <f t="shared" ref="L40:Q40" si="11">L28-L35</f>
        <v>1.3074619867827462</v>
      </c>
      <c r="M40" s="791">
        <f t="shared" si="11"/>
        <v>1.3074619867827462</v>
      </c>
      <c r="N40" s="791">
        <f t="shared" si="11"/>
        <v>1.3074619867827462</v>
      </c>
      <c r="O40" s="791">
        <f t="shared" si="11"/>
        <v>1.3074619867827462</v>
      </c>
      <c r="P40" s="791">
        <f t="shared" si="11"/>
        <v>1.3074619867827462</v>
      </c>
      <c r="Q40" s="791">
        <f t="shared" si="11"/>
        <v>1.3074619867827462</v>
      </c>
      <c r="S40" s="103"/>
      <c r="AI40" s="107"/>
    </row>
    <row r="41" spans="3:35" outlineLevel="1">
      <c r="D41" s="95"/>
      <c r="E41" s="62" t="s">
        <v>157</v>
      </c>
      <c r="F41" s="62"/>
      <c r="G41" s="62" t="s">
        <v>149</v>
      </c>
      <c r="H41" s="62"/>
      <c r="I41" s="212"/>
      <c r="J41" s="62"/>
      <c r="K41" s="62"/>
      <c r="L41" s="296">
        <f t="shared" ref="L41:P41" si="12">L37-L40</f>
        <v>9.7867263361439445</v>
      </c>
      <c r="M41" s="296">
        <f t="shared" si="12"/>
        <v>9.7867263361439445</v>
      </c>
      <c r="N41" s="296">
        <f t="shared" si="12"/>
        <v>9.7867263361439445</v>
      </c>
      <c r="O41" s="296">
        <f t="shared" si="12"/>
        <v>9.7867263361439445</v>
      </c>
      <c r="P41" s="296">
        <f t="shared" si="12"/>
        <v>9.7867263361439445</v>
      </c>
      <c r="Q41" s="297">
        <f>Q37-Q40</f>
        <v>9.7867263361439445</v>
      </c>
      <c r="AI41" s="107"/>
    </row>
    <row r="42" spans="3:35" outlineLevel="1">
      <c r="D42" s="317" t="s">
        <v>158</v>
      </c>
      <c r="E42" s="318"/>
      <c r="F42" s="318"/>
      <c r="G42" s="317" t="s">
        <v>149</v>
      </c>
      <c r="H42" s="318"/>
      <c r="I42" s="319"/>
      <c r="J42" s="318"/>
      <c r="K42" s="318"/>
      <c r="L42" s="405">
        <f>SUM(L40:L41)</f>
        <v>11.094188322926691</v>
      </c>
      <c r="M42" s="405">
        <f t="shared" ref="M42:Q42" si="13">SUM(M40:M41)</f>
        <v>11.094188322926691</v>
      </c>
      <c r="N42" s="405">
        <f t="shared" si="13"/>
        <v>11.094188322926691</v>
      </c>
      <c r="O42" s="405">
        <f t="shared" si="13"/>
        <v>11.094188322926691</v>
      </c>
      <c r="P42" s="405">
        <f t="shared" si="13"/>
        <v>11.094188322926691</v>
      </c>
      <c r="Q42" s="326">
        <f t="shared" si="13"/>
        <v>11.094188322926691</v>
      </c>
      <c r="AI42" s="107"/>
    </row>
    <row r="43" spans="3:35" outlineLevel="1">
      <c r="E43" s="295"/>
      <c r="L43" s="406"/>
      <c r="M43" s="406"/>
      <c r="N43" s="406"/>
      <c r="O43" s="406"/>
      <c r="P43" s="406"/>
      <c r="Q43" s="294"/>
      <c r="AI43" s="107"/>
    </row>
    <row r="44" spans="3:35" outlineLevel="1">
      <c r="L44" s="84"/>
      <c r="M44" s="84"/>
      <c r="N44" s="84"/>
      <c r="O44" s="84"/>
      <c r="P44" s="84"/>
      <c r="Q44" s="84"/>
      <c r="AI44" s="107"/>
    </row>
    <row r="45" spans="3:35" outlineLevel="1">
      <c r="C45" s="184" t="s">
        <v>159</v>
      </c>
      <c r="D45" s="321"/>
      <c r="E45" s="322"/>
      <c r="F45" s="322"/>
      <c r="G45" s="322"/>
      <c r="H45" s="322"/>
      <c r="I45" s="323"/>
      <c r="J45" s="322"/>
      <c r="K45" s="322"/>
      <c r="L45" s="324"/>
      <c r="M45" s="324"/>
      <c r="N45" s="324"/>
      <c r="O45" s="324"/>
      <c r="P45" s="324"/>
      <c r="Q45" s="324"/>
      <c r="R45" s="322"/>
      <c r="S45" s="322"/>
      <c r="T45" s="322"/>
      <c r="U45" s="322"/>
      <c r="V45" s="322"/>
      <c r="W45" s="322"/>
      <c r="X45" s="322"/>
      <c r="Y45" s="322"/>
      <c r="Z45" s="322"/>
      <c r="AA45" s="322"/>
      <c r="AB45" s="322"/>
      <c r="AC45" s="322"/>
      <c r="AD45" s="322"/>
      <c r="AE45" s="322"/>
      <c r="AF45" s="322"/>
      <c r="AG45" s="322"/>
      <c r="AH45" s="322"/>
      <c r="AI45" s="107"/>
    </row>
    <row r="46" spans="3:35" outlineLevel="1">
      <c r="L46" s="84"/>
      <c r="M46" s="84"/>
      <c r="N46" s="84"/>
      <c r="O46" s="84"/>
      <c r="P46" s="84"/>
      <c r="Q46" s="84"/>
      <c r="AI46" s="107"/>
    </row>
    <row r="47" spans="3:35" outlineLevel="1">
      <c r="D47" s="786"/>
      <c r="E47" s="787" t="s">
        <v>160</v>
      </c>
      <c r="F47" s="787"/>
      <c r="G47" s="787" t="s">
        <v>161</v>
      </c>
      <c r="H47" s="787"/>
      <c r="I47" s="788"/>
      <c r="J47" s="787"/>
      <c r="K47" s="787"/>
      <c r="L47" s="792">
        <f>'Central Inputs'!C68</f>
        <v>0.46479999999999999</v>
      </c>
      <c r="M47" s="792">
        <f>'Central Inputs'!D68</f>
        <v>0.46479999999999999</v>
      </c>
      <c r="N47" s="792">
        <f>'Central Inputs'!E68</f>
        <v>0.46479999999999999</v>
      </c>
      <c r="O47" s="792">
        <f>'Central Inputs'!F68</f>
        <v>0.46479999999999999</v>
      </c>
      <c r="P47" s="792">
        <f>'Central Inputs'!G68</f>
        <v>0.46479999999999999</v>
      </c>
      <c r="Q47" s="792">
        <f>'Central Inputs'!H68</f>
        <v>0.46479999999999999</v>
      </c>
      <c r="AI47" s="107"/>
    </row>
    <row r="48" spans="3:35" outlineLevel="1">
      <c r="E48" s="10" t="s">
        <v>162</v>
      </c>
      <c r="G48" s="10" t="s">
        <v>163</v>
      </c>
      <c r="I48" s="117"/>
      <c r="L48" s="407">
        <f>'Central Inputs'!C67</f>
        <v>3.3200000000000003</v>
      </c>
      <c r="M48" s="407">
        <f>'Central Inputs'!D67</f>
        <v>3.3200000000000003</v>
      </c>
      <c r="N48" s="407">
        <f>'Central Inputs'!E67</f>
        <v>3.3200000000000003</v>
      </c>
      <c r="O48" s="407">
        <f>'Central Inputs'!F67</f>
        <v>3.3200000000000003</v>
      </c>
      <c r="P48" s="407">
        <f>'Central Inputs'!G67</f>
        <v>3.3200000000000003</v>
      </c>
      <c r="Q48" s="407">
        <f>'Central Inputs'!H67</f>
        <v>3.3200000000000003</v>
      </c>
      <c r="AI48" s="107"/>
    </row>
    <row r="49" spans="3:35" outlineLevel="1">
      <c r="E49" s="10" t="s">
        <v>164</v>
      </c>
      <c r="G49" s="10" t="s">
        <v>165</v>
      </c>
      <c r="L49" s="23">
        <f>'Central Inputs'!C69</f>
        <v>52.88</v>
      </c>
      <c r="M49" s="23">
        <f>'Central Inputs'!D69</f>
        <v>52.88</v>
      </c>
      <c r="N49" s="23">
        <f>'Central Inputs'!E69</f>
        <v>52.88</v>
      </c>
      <c r="O49" s="23">
        <f>'Central Inputs'!F69</f>
        <v>52.88</v>
      </c>
      <c r="P49" s="23">
        <f>'Central Inputs'!G69</f>
        <v>52.88</v>
      </c>
      <c r="Q49" s="23">
        <f>'Central Inputs'!H69</f>
        <v>52.88</v>
      </c>
      <c r="AI49" s="107"/>
    </row>
    <row r="50" spans="3:35" outlineLevel="1">
      <c r="D50" s="95"/>
      <c r="E50" s="62" t="s">
        <v>166</v>
      </c>
      <c r="F50" s="62"/>
      <c r="G50" s="62" t="s">
        <v>167</v>
      </c>
      <c r="H50" s="62"/>
      <c r="I50" s="212"/>
      <c r="J50" s="62"/>
      <c r="K50" s="62"/>
      <c r="L50" s="408">
        <f>'Central Inputs'!C70</f>
        <v>19</v>
      </c>
      <c r="M50" s="408">
        <f>'Central Inputs'!D70</f>
        <v>19</v>
      </c>
      <c r="N50" s="408">
        <f>'Central Inputs'!E70</f>
        <v>19</v>
      </c>
      <c r="O50" s="408">
        <f>'Central Inputs'!F70</f>
        <v>19</v>
      </c>
      <c r="P50" s="408">
        <f>'Central Inputs'!G70</f>
        <v>19</v>
      </c>
      <c r="Q50" s="408">
        <f>'Central Inputs'!H70</f>
        <v>19</v>
      </c>
      <c r="AI50" s="107"/>
    </row>
    <row r="51" spans="3:35" outlineLevel="1">
      <c r="D51" s="317" t="s">
        <v>168</v>
      </c>
      <c r="E51" s="317"/>
      <c r="F51" s="317"/>
      <c r="G51" s="317" t="s">
        <v>169</v>
      </c>
      <c r="H51" s="317"/>
      <c r="I51" s="325"/>
      <c r="J51" s="317"/>
      <c r="K51" s="317"/>
      <c r="L51" s="409">
        <f>PRODUCT(L47:L50)/12</f>
        <v>129.20163349333333</v>
      </c>
      <c r="M51" s="409">
        <f t="shared" ref="M51:Q51" si="14">PRODUCT(M47:M50)/12</f>
        <v>129.20163349333333</v>
      </c>
      <c r="N51" s="409">
        <f t="shared" si="14"/>
        <v>129.20163349333333</v>
      </c>
      <c r="O51" s="409">
        <f t="shared" si="14"/>
        <v>129.20163349333333</v>
      </c>
      <c r="P51" s="409">
        <f t="shared" si="14"/>
        <v>129.20163349333333</v>
      </c>
      <c r="Q51" s="409">
        <f t="shared" si="14"/>
        <v>129.20163349333333</v>
      </c>
      <c r="AI51" s="107"/>
    </row>
    <row r="52" spans="3:35" outlineLevel="1">
      <c r="L52" s="410"/>
      <c r="M52" s="410"/>
      <c r="N52" s="410"/>
      <c r="O52" s="410"/>
      <c r="P52" s="410"/>
      <c r="Q52" s="410"/>
      <c r="AI52" s="107"/>
    </row>
    <row r="53" spans="3:35" outlineLevel="1">
      <c r="L53" s="410"/>
      <c r="M53" s="410"/>
      <c r="N53" s="410"/>
      <c r="O53" s="410"/>
      <c r="P53" s="410"/>
      <c r="Q53" s="410"/>
      <c r="AI53" s="107"/>
    </row>
    <row r="54" spans="3:35" outlineLevel="1">
      <c r="C54" s="184" t="s">
        <v>170</v>
      </c>
      <c r="D54" s="321"/>
      <c r="E54" s="322"/>
      <c r="F54" s="322"/>
      <c r="G54" s="322"/>
      <c r="H54" s="322"/>
      <c r="I54" s="323"/>
      <c r="J54" s="322"/>
      <c r="K54" s="322"/>
      <c r="L54" s="411"/>
      <c r="M54" s="411"/>
      <c r="N54" s="411"/>
      <c r="O54" s="411"/>
      <c r="P54" s="411"/>
      <c r="Q54" s="411"/>
      <c r="R54" s="322"/>
      <c r="S54" s="322"/>
      <c r="T54" s="322"/>
      <c r="U54" s="322"/>
      <c r="V54" s="322"/>
      <c r="W54" s="322"/>
      <c r="X54" s="322"/>
      <c r="Y54" s="322"/>
      <c r="Z54" s="322"/>
      <c r="AA54" s="322"/>
      <c r="AB54" s="322"/>
      <c r="AC54" s="322"/>
      <c r="AD54" s="322"/>
      <c r="AE54" s="322"/>
      <c r="AF54" s="322"/>
      <c r="AG54" s="322"/>
      <c r="AH54" s="322"/>
      <c r="AI54" s="107"/>
    </row>
    <row r="55" spans="3:35" outlineLevel="1">
      <c r="L55" s="410"/>
      <c r="M55" s="410"/>
      <c r="N55" s="410"/>
      <c r="O55" s="410"/>
      <c r="P55" s="410"/>
      <c r="Q55" s="410"/>
      <c r="AI55" s="107"/>
    </row>
    <row r="56" spans="3:35" outlineLevel="1">
      <c r="D56" s="786"/>
      <c r="E56" s="787" t="s">
        <v>141</v>
      </c>
      <c r="F56" s="787"/>
      <c r="G56" s="787" t="s">
        <v>171</v>
      </c>
      <c r="H56" s="787"/>
      <c r="I56" s="788"/>
      <c r="J56" s="787"/>
      <c r="K56" s="787"/>
      <c r="L56" s="793">
        <f>'Historical Hedging'!$H$13</f>
        <v>0.37295140416850636</v>
      </c>
      <c r="M56" s="793">
        <f>'Historical Hedging'!$H$13</f>
        <v>0.37295140416850636</v>
      </c>
      <c r="N56" s="793">
        <f>'Historical Hedging'!$H$13</f>
        <v>0.37295140416850636</v>
      </c>
      <c r="O56" s="793">
        <f>'Historical Hedging'!$H$13</f>
        <v>0.37295140416850636</v>
      </c>
      <c r="P56" s="793">
        <f>'Historical Hedging'!$H$13</f>
        <v>0.37295140416850636</v>
      </c>
      <c r="Q56" s="793">
        <f>'Historical Hedging'!$H$13</f>
        <v>0.37295140416850636</v>
      </c>
      <c r="AI56" s="107"/>
    </row>
    <row r="57" spans="3:35" outlineLevel="1">
      <c r="E57" s="10" t="s">
        <v>143</v>
      </c>
      <c r="G57" s="10" t="s">
        <v>171</v>
      </c>
      <c r="L57" s="410">
        <f>'Historical Hedging'!$G$13</f>
        <v>2.2377084250110384</v>
      </c>
      <c r="M57" s="410">
        <f>'Historical Hedging'!$G$13</f>
        <v>2.2377084250110384</v>
      </c>
      <c r="N57" s="410">
        <f>'Historical Hedging'!$G$13</f>
        <v>2.2377084250110384</v>
      </c>
      <c r="O57" s="410">
        <f>'Historical Hedging'!$G$13</f>
        <v>2.2377084250110384</v>
      </c>
      <c r="P57" s="410">
        <f>'Historical Hedging'!$G$13</f>
        <v>2.2377084250110384</v>
      </c>
      <c r="Q57" s="410">
        <f>'Historical Hedging'!$G$13</f>
        <v>2.2377084250110384</v>
      </c>
      <c r="AI57" s="107"/>
    </row>
    <row r="58" spans="3:35" outlineLevel="1">
      <c r="E58" s="10" t="s">
        <v>144</v>
      </c>
      <c r="G58" s="10" t="s">
        <v>171</v>
      </c>
      <c r="L58" s="410">
        <f>'Historical Hedging'!$F$13</f>
        <v>13.799201954234737</v>
      </c>
      <c r="M58" s="410">
        <f>'Historical Hedging'!$F$13</f>
        <v>13.799201954234737</v>
      </c>
      <c r="N58" s="410">
        <f>'Historical Hedging'!$F$13</f>
        <v>13.799201954234737</v>
      </c>
      <c r="O58" s="410">
        <f>'Historical Hedging'!$F$13</f>
        <v>13.799201954234737</v>
      </c>
      <c r="P58" s="410">
        <f>'Historical Hedging'!$F$13</f>
        <v>13.799201954234737</v>
      </c>
      <c r="Q58" s="410">
        <f>'Historical Hedging'!$F$13</f>
        <v>13.799201954234737</v>
      </c>
      <c r="AI58" s="107"/>
    </row>
    <row r="59" spans="3:35" outlineLevel="1">
      <c r="D59" s="95"/>
      <c r="E59" s="62" t="s">
        <v>145</v>
      </c>
      <c r="F59" s="62"/>
      <c r="G59" s="62" t="s">
        <v>171</v>
      </c>
      <c r="H59" s="62"/>
      <c r="I59" s="212"/>
      <c r="J59" s="62"/>
      <c r="K59" s="62"/>
      <c r="L59" s="408">
        <f>'Historical Hedging'!$E$13</f>
        <v>49.434628990506731</v>
      </c>
      <c r="M59" s="408">
        <f>'Historical Hedging'!$E$13</f>
        <v>49.434628990506731</v>
      </c>
      <c r="N59" s="408">
        <f>'Historical Hedging'!$E$13</f>
        <v>49.434628990506731</v>
      </c>
      <c r="O59" s="408">
        <f>'Historical Hedging'!$E$13</f>
        <v>49.434628990506731</v>
      </c>
      <c r="P59" s="408">
        <f>'Historical Hedging'!$E$13</f>
        <v>49.434628990506731</v>
      </c>
      <c r="Q59" s="408">
        <f>'Historical Hedging'!$E$13</f>
        <v>49.434628990506731</v>
      </c>
      <c r="AI59" s="107"/>
    </row>
    <row r="60" spans="3:35" outlineLevel="1">
      <c r="L60" s="410"/>
      <c r="M60" s="410"/>
      <c r="N60" s="410"/>
      <c r="O60" s="410"/>
      <c r="P60" s="410"/>
      <c r="Q60" s="410"/>
      <c r="AI60" s="107"/>
    </row>
    <row r="61" spans="3:35" outlineLevel="1">
      <c r="L61" s="410"/>
      <c r="M61" s="410"/>
      <c r="N61" s="410"/>
      <c r="O61" s="410"/>
      <c r="P61" s="410"/>
      <c r="Q61" s="410"/>
      <c r="AI61" s="107"/>
    </row>
    <row r="62" spans="3:35" outlineLevel="1">
      <c r="C62" s="184" t="s">
        <v>172</v>
      </c>
      <c r="D62" s="321"/>
      <c r="E62" s="322"/>
      <c r="F62" s="322"/>
      <c r="G62" s="322"/>
      <c r="H62" s="322"/>
      <c r="I62" s="323"/>
      <c r="J62" s="322"/>
      <c r="K62" s="322"/>
      <c r="L62" s="411"/>
      <c r="M62" s="411"/>
      <c r="N62" s="411"/>
      <c r="O62" s="411"/>
      <c r="P62" s="411"/>
      <c r="Q62" s="411"/>
      <c r="R62" s="322"/>
      <c r="S62" s="322"/>
      <c r="T62" s="322"/>
      <c r="U62" s="322"/>
      <c r="V62" s="322"/>
      <c r="W62" s="322"/>
      <c r="X62" s="322"/>
      <c r="Y62" s="322"/>
      <c r="Z62" s="322"/>
      <c r="AA62" s="322"/>
      <c r="AB62" s="322"/>
      <c r="AC62" s="322"/>
      <c r="AD62" s="322"/>
      <c r="AE62" s="322"/>
      <c r="AF62" s="322"/>
      <c r="AG62" s="322"/>
      <c r="AH62" s="322"/>
      <c r="AI62" s="107"/>
    </row>
    <row r="63" spans="3:35" outlineLevel="1">
      <c r="L63" s="410"/>
      <c r="M63" s="410"/>
      <c r="N63" s="410"/>
      <c r="O63" s="410"/>
      <c r="P63" s="410"/>
      <c r="Q63" s="410"/>
      <c r="AI63" s="107"/>
    </row>
    <row r="64" spans="3:35" outlineLevel="1">
      <c r="D64" s="786"/>
      <c r="E64" s="787" t="s">
        <v>173</v>
      </c>
      <c r="F64" s="787"/>
      <c r="G64" s="787" t="s">
        <v>174</v>
      </c>
      <c r="H64" s="787"/>
      <c r="I64" s="788"/>
      <c r="J64" s="787"/>
      <c r="K64" s="787"/>
      <c r="L64" s="794">
        <f>'Central Inputs'!$C$41</f>
        <v>0.18760946329240108</v>
      </c>
      <c r="M64" s="794">
        <f>'Central Inputs'!$C$41</f>
        <v>0.18760946329240108</v>
      </c>
      <c r="N64" s="794">
        <f>'Central Inputs'!$C$41</f>
        <v>0.18760946329240108</v>
      </c>
      <c r="O64" s="794">
        <f>'Central Inputs'!$C$41</f>
        <v>0.18760946329240108</v>
      </c>
      <c r="P64" s="794">
        <f>'Central Inputs'!$C$41</f>
        <v>0.18760946329240108</v>
      </c>
      <c r="Q64" s="794">
        <f>'Central Inputs'!$C$41</f>
        <v>0.18760946329240108</v>
      </c>
      <c r="AI64" s="107"/>
    </row>
    <row r="65" spans="1:35" outlineLevel="1">
      <c r="E65" s="10" t="s">
        <v>175</v>
      </c>
      <c r="G65" s="10" t="s">
        <v>171</v>
      </c>
      <c r="L65" s="412">
        <f>'Central Inputs'!$C$42</f>
        <v>32.671687783202081</v>
      </c>
      <c r="M65" s="412">
        <f>'Central Inputs'!$C$42</f>
        <v>32.671687783202081</v>
      </c>
      <c r="N65" s="412">
        <f>'Central Inputs'!$C$42</f>
        <v>32.671687783202081</v>
      </c>
      <c r="O65" s="412">
        <f>'Central Inputs'!$C$42</f>
        <v>32.671687783202081</v>
      </c>
      <c r="P65" s="412">
        <f>'Central Inputs'!$C$42</f>
        <v>32.671687783202081</v>
      </c>
      <c r="Q65" s="412">
        <f>'Central Inputs'!$C$42</f>
        <v>32.671687783202081</v>
      </c>
      <c r="AI65" s="107"/>
    </row>
    <row r="66" spans="1:35" outlineLevel="1">
      <c r="D66" s="95"/>
      <c r="E66" s="62" t="s">
        <v>176</v>
      </c>
      <c r="F66" s="62"/>
      <c r="G66" s="62" t="s">
        <v>174</v>
      </c>
      <c r="H66" s="62"/>
      <c r="I66" s="212"/>
      <c r="J66" s="62"/>
      <c r="K66" s="62"/>
      <c r="L66" s="413">
        <f>'Central Inputs'!$C$43</f>
        <v>2.9999999999999997E-4</v>
      </c>
      <c r="M66" s="384">
        <f>'Central Inputs'!$C$43</f>
        <v>2.9999999999999997E-4</v>
      </c>
      <c r="N66" s="384">
        <f>'Central Inputs'!$C$43</f>
        <v>2.9999999999999997E-4</v>
      </c>
      <c r="O66" s="384">
        <f>'Central Inputs'!$C$43</f>
        <v>2.9999999999999997E-4</v>
      </c>
      <c r="P66" s="384">
        <f>'Central Inputs'!$C$43</f>
        <v>2.9999999999999997E-4</v>
      </c>
      <c r="Q66" s="384">
        <f>'Central Inputs'!$C$43</f>
        <v>2.9999999999999997E-4</v>
      </c>
      <c r="AI66" s="107"/>
    </row>
    <row r="67" spans="1:35" outlineLevel="1">
      <c r="L67" s="23"/>
      <c r="M67" s="23"/>
      <c r="N67" s="23"/>
      <c r="O67" s="23"/>
      <c r="P67" s="23"/>
      <c r="Q67" s="23"/>
      <c r="AI67" s="107"/>
    </row>
    <row r="68" spans="1:35">
      <c r="L68" s="410"/>
      <c r="M68" s="410"/>
      <c r="N68" s="410"/>
      <c r="O68" s="410"/>
      <c r="P68" s="410"/>
      <c r="Q68" s="410"/>
      <c r="AI68" s="107"/>
    </row>
    <row r="69" spans="1:35">
      <c r="A69" s="93" t="s">
        <v>177</v>
      </c>
      <c r="B69" s="93"/>
      <c r="C69" s="93"/>
      <c r="D69" s="93"/>
      <c r="E69" s="93"/>
      <c r="F69" s="93"/>
      <c r="G69" s="93"/>
      <c r="H69" s="93"/>
      <c r="I69" s="211"/>
      <c r="J69" s="93"/>
      <c r="K69" s="93"/>
      <c r="L69" s="414"/>
      <c r="M69" s="414"/>
      <c r="N69" s="414"/>
      <c r="O69" s="414"/>
      <c r="P69" s="414"/>
      <c r="Q69" s="414"/>
      <c r="R69" s="93"/>
      <c r="S69" s="93"/>
      <c r="T69" s="93"/>
      <c r="U69" s="93"/>
      <c r="V69" s="93"/>
      <c r="W69" s="93"/>
      <c r="X69" s="93"/>
      <c r="Y69" s="93"/>
      <c r="Z69" s="93"/>
      <c r="AA69" s="93"/>
      <c r="AB69" s="93"/>
      <c r="AC69" s="93"/>
      <c r="AD69" s="93"/>
      <c r="AE69" s="93"/>
      <c r="AF69" s="93"/>
      <c r="AG69" s="93"/>
      <c r="AH69" s="93"/>
      <c r="AI69" s="107"/>
    </row>
    <row r="70" spans="1:35" outlineLevel="1">
      <c r="L70" s="21"/>
      <c r="M70" s="21"/>
      <c r="N70" s="21"/>
      <c r="O70" s="21"/>
      <c r="P70" s="21"/>
      <c r="Q70" s="21"/>
      <c r="AI70" s="107"/>
    </row>
    <row r="71" spans="1:35" outlineLevel="1">
      <c r="L71" s="21"/>
      <c r="M71" s="21"/>
      <c r="N71" s="21"/>
      <c r="O71" s="21"/>
      <c r="P71" s="21"/>
      <c r="Q71" s="21"/>
      <c r="AI71" s="107"/>
    </row>
    <row r="72" spans="1:35" outlineLevel="1">
      <c r="C72" s="184" t="s">
        <v>178</v>
      </c>
      <c r="D72" s="321"/>
      <c r="E72" s="322"/>
      <c r="F72" s="322"/>
      <c r="G72" s="322"/>
      <c r="H72" s="322"/>
      <c r="I72" s="323"/>
      <c r="J72" s="322"/>
      <c r="K72" s="322"/>
      <c r="L72" s="411"/>
      <c r="M72" s="411"/>
      <c r="N72" s="411"/>
      <c r="O72" s="411"/>
      <c r="P72" s="411"/>
      <c r="Q72" s="411"/>
      <c r="R72" s="322"/>
      <c r="S72" s="322"/>
      <c r="T72" s="322"/>
      <c r="U72" s="322"/>
      <c r="V72" s="322"/>
      <c r="W72" s="322"/>
      <c r="X72" s="322"/>
      <c r="Y72" s="322"/>
      <c r="Z72" s="322"/>
      <c r="AA72" s="322"/>
      <c r="AB72" s="322"/>
      <c r="AC72" s="322"/>
      <c r="AD72" s="322"/>
      <c r="AE72" s="322"/>
      <c r="AF72" s="322"/>
      <c r="AG72" s="322"/>
      <c r="AH72" s="322"/>
      <c r="AI72" s="107"/>
    </row>
    <row r="73" spans="1:35" outlineLevel="1">
      <c r="L73" s="21"/>
      <c r="M73" s="21"/>
      <c r="N73" s="21"/>
      <c r="O73" s="21"/>
      <c r="P73" s="21"/>
      <c r="Q73" s="21"/>
      <c r="AI73" s="107"/>
    </row>
    <row r="74" spans="1:35" outlineLevel="1">
      <c r="D74" s="786"/>
      <c r="E74" s="787" t="s">
        <v>179</v>
      </c>
      <c r="F74" s="787"/>
      <c r="G74" s="787"/>
      <c r="H74" s="787"/>
      <c r="I74" s="788"/>
      <c r="J74" s="787"/>
      <c r="K74" s="787"/>
      <c r="L74" s="795" t="s">
        <v>141</v>
      </c>
      <c r="M74" s="795" t="s">
        <v>141</v>
      </c>
      <c r="N74" s="795" t="s">
        <v>141</v>
      </c>
      <c r="O74" s="795" t="s">
        <v>141</v>
      </c>
      <c r="P74" s="795" t="s">
        <v>141</v>
      </c>
      <c r="Q74" s="795" t="s">
        <v>141</v>
      </c>
      <c r="AI74" s="107"/>
    </row>
    <row r="75" spans="1:35" outlineLevel="1">
      <c r="L75" s="21"/>
      <c r="M75" s="21"/>
      <c r="N75" s="21"/>
      <c r="O75" s="21"/>
      <c r="P75" s="21"/>
      <c r="Q75" s="21"/>
      <c r="AI75" s="107"/>
    </row>
    <row r="76" spans="1:35" ht="12" customHeight="1" outlineLevel="1">
      <c r="C76" s="10"/>
      <c r="D76" s="27" t="s">
        <v>180</v>
      </c>
      <c r="L76" s="21"/>
      <c r="M76" s="21"/>
      <c r="N76" s="21"/>
      <c r="O76" s="21"/>
      <c r="P76" s="21"/>
      <c r="Q76" s="21"/>
      <c r="AI76" s="107"/>
    </row>
    <row r="77" spans="1:35" outlineLevel="1">
      <c r="D77" s="786"/>
      <c r="E77" s="787" t="s">
        <v>181</v>
      </c>
      <c r="F77" s="787"/>
      <c r="G77" s="787"/>
      <c r="H77" s="796" t="s">
        <v>182</v>
      </c>
      <c r="I77" s="797">
        <v>0</v>
      </c>
      <c r="J77" s="787"/>
      <c r="K77" s="787"/>
      <c r="L77" s="798">
        <f t="shared" ref="L77:Q80" si="15">$I77</f>
        <v>0</v>
      </c>
      <c r="M77" s="798">
        <f t="shared" si="15"/>
        <v>0</v>
      </c>
      <c r="N77" s="798">
        <f t="shared" si="15"/>
        <v>0</v>
      </c>
      <c r="O77" s="798">
        <f t="shared" si="15"/>
        <v>0</v>
      </c>
      <c r="P77" s="798">
        <f t="shared" si="15"/>
        <v>0</v>
      </c>
      <c r="Q77" s="798">
        <f t="shared" si="15"/>
        <v>0</v>
      </c>
      <c r="AI77" s="107"/>
    </row>
    <row r="78" spans="1:35" outlineLevel="1">
      <c r="E78" s="10" t="s">
        <v>183</v>
      </c>
      <c r="H78" s="57" t="s">
        <v>182</v>
      </c>
      <c r="I78" s="751">
        <v>0</v>
      </c>
      <c r="L78" s="222">
        <f t="shared" si="15"/>
        <v>0</v>
      </c>
      <c r="M78" s="222">
        <f t="shared" si="15"/>
        <v>0</v>
      </c>
      <c r="N78" s="222">
        <f t="shared" si="15"/>
        <v>0</v>
      </c>
      <c r="O78" s="222">
        <f t="shared" si="15"/>
        <v>0</v>
      </c>
      <c r="P78" s="222">
        <f t="shared" si="15"/>
        <v>0</v>
      </c>
      <c r="Q78" s="222">
        <f t="shared" si="15"/>
        <v>0</v>
      </c>
      <c r="AI78" s="107"/>
    </row>
    <row r="79" spans="1:35" outlineLevel="1">
      <c r="E79" s="10" t="s">
        <v>184</v>
      </c>
      <c r="H79" s="57" t="s">
        <v>182</v>
      </c>
      <c r="I79" s="749">
        <v>0.35</v>
      </c>
      <c r="L79" s="222">
        <f t="shared" si="15"/>
        <v>0.35</v>
      </c>
      <c r="M79" s="222">
        <f t="shared" si="15"/>
        <v>0.35</v>
      </c>
      <c r="N79" s="222">
        <f t="shared" si="15"/>
        <v>0.35</v>
      </c>
      <c r="O79" s="222">
        <f t="shared" si="15"/>
        <v>0.35</v>
      </c>
      <c r="P79" s="222">
        <f t="shared" si="15"/>
        <v>0.35</v>
      </c>
      <c r="Q79" s="222">
        <f t="shared" si="15"/>
        <v>0.35</v>
      </c>
      <c r="R79" s="222"/>
      <c r="S79" s="222"/>
      <c r="T79" s="222"/>
      <c r="U79" s="222"/>
      <c r="V79" s="222"/>
      <c r="W79" s="222"/>
      <c r="X79" s="222"/>
      <c r="Y79" s="222"/>
      <c r="Z79" s="222"/>
      <c r="AA79" s="222"/>
      <c r="AB79" s="222"/>
      <c r="AC79" s="222"/>
      <c r="AD79" s="222"/>
      <c r="AE79" s="222"/>
      <c r="AF79" s="222"/>
      <c r="AG79" s="222"/>
      <c r="AH79" s="222"/>
      <c r="AI79" s="222"/>
    </row>
    <row r="80" spans="1:35" outlineLevel="1">
      <c r="D80" s="95"/>
      <c r="E80" s="62" t="s">
        <v>185</v>
      </c>
      <c r="F80" s="62"/>
      <c r="G80" s="62"/>
      <c r="H80" s="197" t="s">
        <v>182</v>
      </c>
      <c r="I80" s="750">
        <v>0.65</v>
      </c>
      <c r="J80" s="62"/>
      <c r="K80" s="62"/>
      <c r="L80" s="415">
        <f t="shared" si="15"/>
        <v>0.65</v>
      </c>
      <c r="M80" s="415">
        <f t="shared" si="15"/>
        <v>0.65</v>
      </c>
      <c r="N80" s="415">
        <f t="shared" si="15"/>
        <v>0.65</v>
      </c>
      <c r="O80" s="415">
        <f t="shared" si="15"/>
        <v>0.65</v>
      </c>
      <c r="P80" s="415">
        <f t="shared" si="15"/>
        <v>0.65</v>
      </c>
      <c r="Q80" s="415">
        <f t="shared" si="15"/>
        <v>0.65</v>
      </c>
      <c r="R80" s="222"/>
      <c r="S80" s="222"/>
      <c r="T80" s="222"/>
      <c r="U80" s="222"/>
      <c r="V80" s="222"/>
      <c r="W80" s="222"/>
      <c r="X80" s="222"/>
      <c r="Y80" s="222"/>
      <c r="Z80" s="222"/>
      <c r="AA80" s="222"/>
      <c r="AB80" s="222"/>
      <c r="AC80" s="222"/>
      <c r="AD80" s="222"/>
      <c r="AE80" s="222"/>
      <c r="AF80" s="222"/>
      <c r="AG80" s="222"/>
      <c r="AH80" s="222"/>
      <c r="AI80" s="222"/>
    </row>
    <row r="81" spans="3:35" outlineLevel="1">
      <c r="L81" s="21"/>
      <c r="M81" s="21"/>
      <c r="N81" s="21"/>
      <c r="O81" s="21"/>
      <c r="P81" s="21"/>
      <c r="Q81" s="21"/>
      <c r="AI81" s="107"/>
    </row>
    <row r="82" spans="3:35" outlineLevel="1">
      <c r="C82" s="184" t="s">
        <v>186</v>
      </c>
      <c r="D82" s="321"/>
      <c r="E82" s="322"/>
      <c r="F82" s="322"/>
      <c r="G82" s="322"/>
      <c r="H82" s="322"/>
      <c r="I82" s="323"/>
      <c r="J82" s="322"/>
      <c r="K82" s="322"/>
      <c r="L82" s="411"/>
      <c r="M82" s="411"/>
      <c r="N82" s="411"/>
      <c r="O82" s="411"/>
      <c r="P82" s="411"/>
      <c r="Q82" s="411"/>
      <c r="R82" s="322"/>
      <c r="S82" s="322"/>
      <c r="T82" s="322"/>
      <c r="U82" s="322"/>
      <c r="V82" s="322"/>
      <c r="W82" s="322"/>
      <c r="X82" s="322"/>
      <c r="Y82" s="322"/>
      <c r="Z82" s="322"/>
      <c r="AA82" s="322"/>
      <c r="AB82" s="322"/>
      <c r="AC82" s="322"/>
      <c r="AD82" s="322"/>
      <c r="AE82" s="322"/>
      <c r="AF82" s="322"/>
      <c r="AG82" s="322"/>
      <c r="AH82" s="322"/>
      <c r="AI82" s="107"/>
    </row>
    <row r="83" spans="3:35" outlineLevel="1">
      <c r="L83" s="21"/>
      <c r="M83" s="21"/>
      <c r="N83" s="21"/>
      <c r="O83" s="21"/>
      <c r="P83" s="21"/>
      <c r="Q83" s="21"/>
      <c r="AI83" s="107"/>
    </row>
    <row r="84" spans="3:35" outlineLevel="1">
      <c r="C84" s="10"/>
      <c r="D84" s="27" t="s">
        <v>187</v>
      </c>
      <c r="L84" s="21"/>
      <c r="M84" s="21"/>
      <c r="N84" s="21"/>
      <c r="O84" s="21"/>
      <c r="P84" s="21"/>
      <c r="Q84" s="21"/>
      <c r="AI84" s="107"/>
    </row>
    <row r="85" spans="3:35" outlineLevel="1">
      <c r="C85" s="10"/>
      <c r="E85" s="10" t="s">
        <v>188</v>
      </c>
      <c r="L85" s="236">
        <f>'Central Inputs'!C56</f>
        <v>0.05</v>
      </c>
      <c r="M85" s="236">
        <f>'Central Inputs'!D56</f>
        <v>0.04</v>
      </c>
      <c r="N85" s="236">
        <f>'Central Inputs'!E56</f>
        <v>0.03</v>
      </c>
      <c r="O85" s="236">
        <f>'Central Inputs'!F56</f>
        <v>1.9999999999999997E-2</v>
      </c>
      <c r="P85" s="236">
        <f>'Central Inputs'!G56</f>
        <v>9.9999999999999967E-3</v>
      </c>
      <c r="Q85" s="236">
        <f>'Central Inputs'!H56</f>
        <v>0</v>
      </c>
      <c r="AI85" s="107"/>
    </row>
    <row r="86" spans="3:35" outlineLevel="1">
      <c r="D86" s="786"/>
      <c r="E86" s="787" t="s">
        <v>179</v>
      </c>
      <c r="F86" s="787"/>
      <c r="G86" s="787"/>
      <c r="H86" s="787"/>
      <c r="I86" s="788"/>
      <c r="J86" s="787"/>
      <c r="K86" s="787"/>
      <c r="L86" s="799">
        <f>INDEX(L$13:L$16,MATCH(L74,$E$13:$E$16,0))</f>
        <v>8.4153209337216039E-2</v>
      </c>
      <c r="M86" s="799">
        <f t="shared" ref="M86:P86" si="16">INDEX(M$13:M$16,MATCH(M74,$E$13:$E$16,0))</f>
        <v>8.4837531026891302E-2</v>
      </c>
      <c r="N86" s="799">
        <f t="shared" si="16"/>
        <v>8.5719675018101751E-2</v>
      </c>
      <c r="O86" s="799">
        <f t="shared" si="16"/>
        <v>8.6500857266587086E-2</v>
      </c>
      <c r="P86" s="799">
        <f t="shared" si="16"/>
        <v>8.7163837734718599E-2</v>
      </c>
      <c r="Q86" s="799">
        <f>INDEX(Q$13:Q$16,MATCH(Q74,$E$13:$E$16,0))</f>
        <v>8.7654376894712407E-2</v>
      </c>
      <c r="AI86" s="107"/>
    </row>
    <row r="87" spans="3:35" outlineLevel="1">
      <c r="E87" s="10" t="s">
        <v>189</v>
      </c>
      <c r="L87" s="416">
        <f>SUMPRODUCT(L$13:L$16,L$77:L$80)</f>
        <v>0.10657763195626366</v>
      </c>
      <c r="M87" s="416">
        <f t="shared" ref="L87:Q88" si="17">SUMPRODUCT(M$13:M$16,M$77:M$80)</f>
        <v>0.10726195364593892</v>
      </c>
      <c r="N87" s="416">
        <f t="shared" si="17"/>
        <v>0.10814409763714937</v>
      </c>
      <c r="O87" s="416">
        <f t="shared" si="17"/>
        <v>0.1089252798856347</v>
      </c>
      <c r="P87" s="416">
        <f t="shared" si="17"/>
        <v>0.10958826035376622</v>
      </c>
      <c r="Q87" s="416">
        <f t="shared" si="17"/>
        <v>0.11007879951376003</v>
      </c>
      <c r="AI87" s="107"/>
    </row>
    <row r="88" spans="3:35" outlineLevel="1">
      <c r="D88" s="95"/>
      <c r="E88" s="62" t="s">
        <v>190</v>
      </c>
      <c r="F88" s="62"/>
      <c r="G88" s="62"/>
      <c r="H88" s="62"/>
      <c r="I88" s="212"/>
      <c r="J88" s="62"/>
      <c r="K88" s="62"/>
      <c r="L88" s="401">
        <f t="shared" si="17"/>
        <v>0.10657763195626366</v>
      </c>
      <c r="M88" s="400">
        <f t="shared" si="17"/>
        <v>0.10726195364593892</v>
      </c>
      <c r="N88" s="400">
        <f t="shared" si="17"/>
        <v>0.10814409763714937</v>
      </c>
      <c r="O88" s="400">
        <f t="shared" si="17"/>
        <v>0.1089252798856347</v>
      </c>
      <c r="P88" s="400">
        <f t="shared" si="17"/>
        <v>0.10958826035376622</v>
      </c>
      <c r="Q88" s="400">
        <f>SUMPRODUCT(Q$13:Q$16,Q$77:Q$80)</f>
        <v>0.11007879951376003</v>
      </c>
      <c r="R88"/>
      <c r="S88"/>
      <c r="T88"/>
      <c r="U88"/>
      <c r="V88"/>
      <c r="W88"/>
      <c r="X88"/>
      <c r="Y88"/>
      <c r="Z88"/>
      <c r="AA88"/>
      <c r="AB88"/>
      <c r="AC88"/>
      <c r="AD88"/>
      <c r="AE88"/>
      <c r="AF88"/>
      <c r="AG88"/>
      <c r="AH88"/>
      <c r="AI88"/>
    </row>
    <row r="89" spans="3:35" outlineLevel="1">
      <c r="C89" s="10"/>
      <c r="E89" s="103" t="s">
        <v>191</v>
      </c>
      <c r="L89" s="417">
        <f>L86*L28/L32+L87*(1-L28/L32)</f>
        <v>9.3456289016900368E-2</v>
      </c>
      <c r="M89" s="417">
        <f t="shared" ref="M89:Q89" si="18">M86*M28/M32+M87*(1-M28/M32)</f>
        <v>9.4140610706575645E-2</v>
      </c>
      <c r="N89" s="417">
        <f t="shared" si="18"/>
        <v>9.5022754697786094E-2</v>
      </c>
      <c r="O89" s="417">
        <f t="shared" si="18"/>
        <v>9.5803936946271429E-2</v>
      </c>
      <c r="P89" s="417">
        <f t="shared" si="18"/>
        <v>9.6466917414402942E-2</v>
      </c>
      <c r="Q89" s="417">
        <f t="shared" si="18"/>
        <v>9.695745657439675E-2</v>
      </c>
      <c r="X89" s="13"/>
      <c r="AA89" s="91"/>
      <c r="AB89" s="91"/>
      <c r="AC89" s="91"/>
      <c r="AD89" s="91"/>
      <c r="AE89" s="91"/>
      <c r="AF89" s="91"/>
      <c r="AI89" s="107"/>
    </row>
    <row r="90" spans="3:35" outlineLevel="1">
      <c r="D90" s="27" t="s">
        <v>192</v>
      </c>
      <c r="L90" s="21"/>
      <c r="M90" s="21"/>
      <c r="N90" s="21"/>
      <c r="O90" s="21"/>
      <c r="P90" s="21"/>
      <c r="Q90" s="21"/>
      <c r="AI90" s="107"/>
    </row>
    <row r="91" spans="3:35" outlineLevel="1">
      <c r="D91" s="786"/>
      <c r="E91" s="787" t="s">
        <v>179</v>
      </c>
      <c r="F91" s="787"/>
      <c r="G91" s="787"/>
      <c r="H91" s="787"/>
      <c r="I91" s="788"/>
      <c r="J91" s="787"/>
      <c r="K91" s="787"/>
      <c r="L91" s="800">
        <f>INDEX($L$19:$Q$22, MATCH(L74,$E$19:$E$22,0), MATCH(L$3,$L$3:$Q$3,0))</f>
        <v>5.9999999999999995E-4</v>
      </c>
      <c r="M91" s="800">
        <f t="shared" ref="M91:Q91" si="19">INDEX($L$19:$Q$22, MATCH(M74,$E$19:$E$22,0), MATCH(M$3,$L$3:$Q$3,0))</f>
        <v>5.9999999999999995E-4</v>
      </c>
      <c r="N91" s="800">
        <f t="shared" si="19"/>
        <v>5.9999999999999995E-4</v>
      </c>
      <c r="O91" s="800">
        <f t="shared" si="19"/>
        <v>5.9999999999999995E-4</v>
      </c>
      <c r="P91" s="800">
        <f t="shared" si="19"/>
        <v>5.9999999999999995E-4</v>
      </c>
      <c r="Q91" s="800">
        <f t="shared" si="19"/>
        <v>5.9999999999999995E-4</v>
      </c>
      <c r="AI91" s="107"/>
    </row>
    <row r="92" spans="3:35" outlineLevel="1">
      <c r="E92" s="10" t="s">
        <v>189</v>
      </c>
      <c r="L92" s="390">
        <f>(L$77*L$19)+(L$78*L$20)+(L$79*L$21)+(L$80*L$22)</f>
        <v>7.952987188889292E-2</v>
      </c>
      <c r="M92" s="390">
        <f t="shared" ref="M92:Q93" si="20">(M$77*M$19)+(M$78*M$20)+(M$79*M$21)+(M$80*M$22)</f>
        <v>7.952987188889292E-2</v>
      </c>
      <c r="N92" s="390">
        <f t="shared" si="20"/>
        <v>7.952987188889292E-2</v>
      </c>
      <c r="O92" s="390">
        <f t="shared" si="20"/>
        <v>7.952987188889292E-2</v>
      </c>
      <c r="P92" s="390">
        <f t="shared" si="20"/>
        <v>7.952987188889292E-2</v>
      </c>
      <c r="Q92" s="390">
        <f t="shared" si="20"/>
        <v>7.952987188889292E-2</v>
      </c>
      <c r="AI92" s="107"/>
    </row>
    <row r="93" spans="3:35" outlineLevel="1">
      <c r="D93" s="95"/>
      <c r="E93" s="62" t="s">
        <v>190</v>
      </c>
      <c r="F93" s="62"/>
      <c r="G93" s="62"/>
      <c r="H93" s="62"/>
      <c r="I93" s="212"/>
      <c r="J93" s="62"/>
      <c r="K93" s="62"/>
      <c r="L93" s="361">
        <f>(L$77*L$19)+(L$78*L$20)+(L$79*L$21)+(L$80*L$22)</f>
        <v>7.952987188889292E-2</v>
      </c>
      <c r="M93" s="361">
        <f t="shared" si="20"/>
        <v>7.952987188889292E-2</v>
      </c>
      <c r="N93" s="361">
        <f t="shared" si="20"/>
        <v>7.952987188889292E-2</v>
      </c>
      <c r="O93" s="361">
        <f t="shared" si="20"/>
        <v>7.952987188889292E-2</v>
      </c>
      <c r="P93" s="361">
        <f t="shared" si="20"/>
        <v>7.952987188889292E-2</v>
      </c>
      <c r="Q93" s="361">
        <f t="shared" si="20"/>
        <v>7.952987188889292E-2</v>
      </c>
      <c r="AI93" s="107"/>
    </row>
    <row r="94" spans="3:35" outlineLevel="1">
      <c r="L94" s="21"/>
      <c r="M94" s="21"/>
      <c r="N94" s="21"/>
      <c r="O94" s="21"/>
      <c r="P94" s="21"/>
      <c r="Q94" s="21"/>
      <c r="AI94" s="107"/>
    </row>
    <row r="95" spans="3:35" outlineLevel="1">
      <c r="L95" s="21"/>
      <c r="M95" s="21"/>
      <c r="N95" s="21"/>
      <c r="O95" s="21"/>
      <c r="P95" s="21"/>
      <c r="Q95" s="21"/>
      <c r="AI95" s="107"/>
    </row>
    <row r="96" spans="3:35" outlineLevel="1">
      <c r="C96" s="184" t="s">
        <v>193</v>
      </c>
      <c r="D96" s="321"/>
      <c r="E96" s="322"/>
      <c r="F96" s="322"/>
      <c r="G96" s="322"/>
      <c r="H96" s="322"/>
      <c r="I96" s="323"/>
      <c r="J96" s="322"/>
      <c r="K96" s="322"/>
      <c r="L96" s="411"/>
      <c r="M96" s="411"/>
      <c r="N96" s="411"/>
      <c r="O96" s="411"/>
      <c r="P96" s="411"/>
      <c r="Q96" s="411"/>
      <c r="R96" s="322"/>
      <c r="S96" s="322"/>
      <c r="T96" s="322"/>
      <c r="U96" s="322"/>
      <c r="V96" s="322"/>
      <c r="W96" s="322"/>
      <c r="X96" s="322"/>
      <c r="Y96" s="322"/>
      <c r="Z96" s="322"/>
      <c r="AA96" s="322"/>
      <c r="AB96" s="322"/>
      <c r="AC96" s="322"/>
      <c r="AD96" s="322"/>
      <c r="AE96" s="322"/>
      <c r="AF96" s="322"/>
      <c r="AG96" s="322"/>
      <c r="AH96" s="322"/>
      <c r="AI96" s="107"/>
    </row>
    <row r="97" spans="1:35" outlineLevel="1">
      <c r="L97" s="410"/>
      <c r="M97" s="410"/>
      <c r="N97" s="410"/>
      <c r="O97" s="410"/>
      <c r="P97" s="410"/>
      <c r="Q97" s="410"/>
      <c r="AI97" s="107"/>
    </row>
    <row r="98" spans="1:35" outlineLevel="1">
      <c r="C98" s="10"/>
      <c r="D98" s="27" t="s">
        <v>137</v>
      </c>
      <c r="L98" s="21"/>
      <c r="M98" s="21"/>
      <c r="N98" s="21"/>
      <c r="O98" s="21"/>
      <c r="P98" s="21"/>
      <c r="Q98" s="21"/>
      <c r="AI98" s="107"/>
    </row>
    <row r="99" spans="1:35" outlineLevel="1">
      <c r="D99" s="786"/>
      <c r="E99" s="787" t="s">
        <v>194</v>
      </c>
      <c r="F99" s="787"/>
      <c r="G99" s="787" t="s">
        <v>171</v>
      </c>
      <c r="H99" s="787" t="s">
        <v>195</v>
      </c>
      <c r="I99" s="801">
        <f>'Central Inputs'!C11</f>
        <v>59.654274496232148</v>
      </c>
      <c r="J99" s="787"/>
      <c r="K99" s="787"/>
      <c r="L99" s="793">
        <f>$I99*L$7</f>
        <v>156.16090272812178</v>
      </c>
      <c r="M99" s="793">
        <f>$I99*M$7</f>
        <v>181.35712631764952</v>
      </c>
      <c r="N99" s="793">
        <f t="shared" ref="M99:Q101" si="21">$I99*N$7</f>
        <v>150.49379588727138</v>
      </c>
      <c r="O99" s="793">
        <f t="shared" si="21"/>
        <v>139.60529280537395</v>
      </c>
      <c r="P99" s="793">
        <f t="shared" si="21"/>
        <v>139.60529280537395</v>
      </c>
      <c r="Q99" s="793">
        <f t="shared" si="21"/>
        <v>139.60529280537395</v>
      </c>
      <c r="AI99" s="107"/>
    </row>
    <row r="100" spans="1:35" outlineLevel="1">
      <c r="E100" s="10" t="s">
        <v>196</v>
      </c>
      <c r="G100" s="10" t="s">
        <v>171</v>
      </c>
      <c r="H100" s="10" t="s">
        <v>197</v>
      </c>
      <c r="I100" s="267">
        <f>'Central Inputs'!C12</f>
        <v>87.439504760929992</v>
      </c>
      <c r="L100" s="410">
        <f>$I100*L$7</f>
        <v>228.89612040171866</v>
      </c>
      <c r="M100" s="410">
        <f t="shared" si="21"/>
        <v>265.82801390170789</v>
      </c>
      <c r="N100" s="410">
        <f>$I100*N$7</f>
        <v>220.58943961855812</v>
      </c>
      <c r="O100" s="410">
        <f t="shared" si="21"/>
        <v>204.62938771768205</v>
      </c>
      <c r="P100" s="410">
        <f t="shared" si="21"/>
        <v>204.62938771768205</v>
      </c>
      <c r="Q100" s="410">
        <f t="shared" si="21"/>
        <v>204.62938771768205</v>
      </c>
      <c r="AI100" s="107"/>
    </row>
    <row r="101" spans="1:35" outlineLevel="1">
      <c r="E101" s="10" t="s">
        <v>198</v>
      </c>
      <c r="G101" s="10" t="s">
        <v>171</v>
      </c>
      <c r="H101" s="10" t="s">
        <v>199</v>
      </c>
      <c r="I101" s="267">
        <f>'Central Inputs'!C13</f>
        <v>72.63448774856073</v>
      </c>
      <c r="L101" s="410">
        <f t="shared" ref="L101:Q102" si="22">$I101*L$7</f>
        <v>190.1400573856005</v>
      </c>
      <c r="M101" s="410">
        <f t="shared" si="21"/>
        <v>220.81874401918185</v>
      </c>
      <c r="N101" s="410">
        <f t="shared" si="21"/>
        <v>183.23984099913633</v>
      </c>
      <c r="O101" s="410">
        <f t="shared" si="21"/>
        <v>169.98210129177977</v>
      </c>
      <c r="P101" s="410">
        <f t="shared" si="21"/>
        <v>169.98210129177977</v>
      </c>
      <c r="Q101" s="410">
        <f t="shared" si="21"/>
        <v>169.98210129177977</v>
      </c>
      <c r="AI101" s="107"/>
    </row>
    <row r="102" spans="1:35" outlineLevel="1">
      <c r="E102" s="10" t="s">
        <v>200</v>
      </c>
      <c r="G102" s="10" t="s">
        <v>171</v>
      </c>
      <c r="I102" s="267">
        <f>'Central Inputs'!$C$14</f>
        <v>46</v>
      </c>
      <c r="L102" s="410">
        <f t="shared" si="22"/>
        <v>120.41721378989054</v>
      </c>
      <c r="M102" s="410">
        <f t="shared" si="22"/>
        <v>139.84627054912551</v>
      </c>
      <c r="N102" s="410">
        <f t="shared" si="22"/>
        <v>116.04725175648113</v>
      </c>
      <c r="O102" s="410">
        <f t="shared" si="22"/>
        <v>107.65101953344205</v>
      </c>
      <c r="P102" s="410">
        <f t="shared" si="22"/>
        <v>107.65101953344205</v>
      </c>
      <c r="Q102" s="410">
        <f t="shared" si="22"/>
        <v>107.65101953344205</v>
      </c>
      <c r="AI102" s="107"/>
    </row>
    <row r="103" spans="1:35" outlineLevel="1">
      <c r="D103" s="95"/>
      <c r="E103" s="62" t="s">
        <v>201</v>
      </c>
      <c r="F103" s="62"/>
      <c r="G103" s="62"/>
      <c r="H103" s="62"/>
      <c r="I103" s="212"/>
      <c r="J103" s="62"/>
      <c r="K103" s="62"/>
      <c r="L103" s="363">
        <f>'Policy Requirements'!D13</f>
        <v>0</v>
      </c>
      <c r="M103" s="363">
        <f>'Policy Requirements'!E13</f>
        <v>0</v>
      </c>
      <c r="N103" s="363">
        <f>'Policy Requirements'!F13</f>
        <v>0</v>
      </c>
      <c r="O103" s="363">
        <f>'Policy Requirements'!G13</f>
        <v>0</v>
      </c>
      <c r="P103" s="363">
        <f>'Policy Requirements'!H13</f>
        <v>0</v>
      </c>
      <c r="Q103" s="363">
        <f>'Policy Requirements'!I13</f>
        <v>0</v>
      </c>
      <c r="AI103" s="107"/>
    </row>
    <row r="104" spans="1:35" outlineLevel="1">
      <c r="L104" s="222"/>
      <c r="M104" s="222"/>
      <c r="N104" s="222"/>
      <c r="O104" s="222"/>
      <c r="P104" s="222"/>
      <c r="Q104" s="222"/>
      <c r="AI104" s="107"/>
    </row>
    <row r="105" spans="1:35" outlineLevel="1">
      <c r="C105" s="10"/>
      <c r="D105" s="27" t="s">
        <v>202</v>
      </c>
      <c r="L105" s="21"/>
      <c r="M105" s="21"/>
      <c r="N105" s="21"/>
      <c r="O105" s="21"/>
      <c r="P105" s="21"/>
      <c r="Q105" s="21"/>
      <c r="AI105" s="107"/>
    </row>
    <row r="106" spans="1:35" outlineLevel="1">
      <c r="D106" s="786"/>
      <c r="E106" s="787" t="s">
        <v>203</v>
      </c>
      <c r="F106" s="787"/>
      <c r="G106" s="787" t="s">
        <v>171</v>
      </c>
      <c r="H106" s="787"/>
      <c r="I106" s="788"/>
      <c r="J106" s="787"/>
      <c r="K106" s="787"/>
      <c r="L106" s="802">
        <f t="shared" ref="L106:Q108" si="23">L99*L$103</f>
        <v>0</v>
      </c>
      <c r="M106" s="802">
        <f t="shared" si="23"/>
        <v>0</v>
      </c>
      <c r="N106" s="802">
        <f t="shared" si="23"/>
        <v>0</v>
      </c>
      <c r="O106" s="802">
        <f t="shared" si="23"/>
        <v>0</v>
      </c>
      <c r="P106" s="802">
        <f t="shared" si="23"/>
        <v>0</v>
      </c>
      <c r="Q106" s="802">
        <f t="shared" si="23"/>
        <v>0</v>
      </c>
      <c r="AI106" s="107"/>
    </row>
    <row r="107" spans="1:35" outlineLevel="1">
      <c r="E107" s="10" t="s">
        <v>204</v>
      </c>
      <c r="G107" s="10" t="s">
        <v>171</v>
      </c>
      <c r="L107" s="418">
        <f t="shared" si="23"/>
        <v>0</v>
      </c>
      <c r="M107" s="418">
        <f t="shared" si="23"/>
        <v>0</v>
      </c>
      <c r="N107" s="418">
        <f t="shared" si="23"/>
        <v>0</v>
      </c>
      <c r="O107" s="418">
        <f t="shared" si="23"/>
        <v>0</v>
      </c>
      <c r="P107" s="418">
        <f t="shared" si="23"/>
        <v>0</v>
      </c>
      <c r="Q107" s="418">
        <f t="shared" si="23"/>
        <v>0</v>
      </c>
      <c r="AI107" s="107"/>
    </row>
    <row r="108" spans="1:35" outlineLevel="1">
      <c r="E108" s="10" t="s">
        <v>205</v>
      </c>
      <c r="G108" s="10" t="s">
        <v>171</v>
      </c>
      <c r="L108" s="418">
        <f t="shared" si="23"/>
        <v>0</v>
      </c>
      <c r="M108" s="418">
        <f t="shared" si="23"/>
        <v>0</v>
      </c>
      <c r="N108" s="418">
        <f t="shared" si="23"/>
        <v>0</v>
      </c>
      <c r="O108" s="418">
        <f t="shared" si="23"/>
        <v>0</v>
      </c>
      <c r="P108" s="418">
        <f t="shared" si="23"/>
        <v>0</v>
      </c>
      <c r="Q108" s="418">
        <f t="shared" si="23"/>
        <v>0</v>
      </c>
      <c r="AI108" s="107"/>
    </row>
    <row r="109" spans="1:35" outlineLevel="1">
      <c r="E109" s="268" t="s">
        <v>206</v>
      </c>
      <c r="F109" s="268"/>
      <c r="G109" s="268" t="s">
        <v>171</v>
      </c>
      <c r="H109" s="268"/>
      <c r="I109" s="269"/>
      <c r="J109" s="268"/>
      <c r="K109" s="268"/>
      <c r="L109" s="419">
        <f t="shared" ref="L109:Q111" si="24">L106*L86</f>
        <v>0</v>
      </c>
      <c r="M109" s="419">
        <f t="shared" si="24"/>
        <v>0</v>
      </c>
      <c r="N109" s="419">
        <f t="shared" si="24"/>
        <v>0</v>
      </c>
      <c r="O109" s="419">
        <f t="shared" si="24"/>
        <v>0</v>
      </c>
      <c r="P109" s="419">
        <f t="shared" si="24"/>
        <v>0</v>
      </c>
      <c r="Q109" s="419">
        <f t="shared" si="24"/>
        <v>0</v>
      </c>
      <c r="AI109" s="107"/>
    </row>
    <row r="110" spans="1:35" outlineLevel="1">
      <c r="E110" s="10" t="s">
        <v>207</v>
      </c>
      <c r="G110" s="10" t="s">
        <v>171</v>
      </c>
      <c r="L110" s="418">
        <f t="shared" si="24"/>
        <v>0</v>
      </c>
      <c r="M110" s="418">
        <f t="shared" si="24"/>
        <v>0</v>
      </c>
      <c r="N110" s="418">
        <f t="shared" si="24"/>
        <v>0</v>
      </c>
      <c r="O110" s="418">
        <f t="shared" si="24"/>
        <v>0</v>
      </c>
      <c r="P110" s="418">
        <f t="shared" si="24"/>
        <v>0</v>
      </c>
      <c r="Q110" s="418">
        <f t="shared" si="24"/>
        <v>0</v>
      </c>
      <c r="AI110" s="107"/>
    </row>
    <row r="111" spans="1:35" outlineLevel="1">
      <c r="E111" s="10" t="s">
        <v>208</v>
      </c>
      <c r="G111" s="10" t="s">
        <v>171</v>
      </c>
      <c r="L111" s="418">
        <f t="shared" si="24"/>
        <v>0</v>
      </c>
      <c r="M111" s="418">
        <f t="shared" si="24"/>
        <v>0</v>
      </c>
      <c r="N111" s="418">
        <f t="shared" si="24"/>
        <v>0</v>
      </c>
      <c r="O111" s="418">
        <f t="shared" si="24"/>
        <v>0</v>
      </c>
      <c r="P111" s="418">
        <f t="shared" si="24"/>
        <v>0</v>
      </c>
      <c r="Q111" s="418">
        <f t="shared" si="24"/>
        <v>0</v>
      </c>
      <c r="AI111" s="107"/>
    </row>
    <row r="112" spans="1:35" outlineLevel="1">
      <c r="A112" s="27"/>
      <c r="B112" s="27"/>
      <c r="D112" s="270" t="s">
        <v>209</v>
      </c>
      <c r="E112" s="270"/>
      <c r="F112" s="270"/>
      <c r="G112" s="270" t="s">
        <v>210</v>
      </c>
      <c r="H112" s="270"/>
      <c r="I112" s="271"/>
      <c r="J112" s="270"/>
      <c r="K112" s="270"/>
      <c r="L112" s="420">
        <f t="shared" ref="L112:Q114" si="25">L109*L28</f>
        <v>0</v>
      </c>
      <c r="M112" s="420">
        <f t="shared" si="25"/>
        <v>0</v>
      </c>
      <c r="N112" s="420">
        <f t="shared" si="25"/>
        <v>0</v>
      </c>
      <c r="O112" s="420">
        <f t="shared" si="25"/>
        <v>0</v>
      </c>
      <c r="P112" s="420">
        <f t="shared" si="25"/>
        <v>0</v>
      </c>
      <c r="Q112" s="420">
        <f t="shared" si="25"/>
        <v>0</v>
      </c>
      <c r="R112" s="27"/>
      <c r="S112" s="27"/>
      <c r="T112" s="27"/>
      <c r="U112" s="27"/>
      <c r="V112" s="27"/>
      <c r="W112" s="27"/>
      <c r="X112" s="27"/>
      <c r="Y112" s="27"/>
      <c r="Z112" s="27"/>
      <c r="AA112" s="27"/>
      <c r="AB112" s="27"/>
      <c r="AC112" s="27"/>
      <c r="AD112" s="27"/>
      <c r="AE112" s="27"/>
      <c r="AF112" s="27"/>
      <c r="AG112" s="27"/>
      <c r="AH112" s="27"/>
      <c r="AI112" s="107"/>
    </row>
    <row r="113" spans="1:35" outlineLevel="1">
      <c r="A113" s="27"/>
      <c r="B113" s="27"/>
      <c r="D113" s="27" t="s">
        <v>211</v>
      </c>
      <c r="E113" s="27"/>
      <c r="F113" s="27"/>
      <c r="G113" s="27" t="s">
        <v>210</v>
      </c>
      <c r="H113" s="27"/>
      <c r="I113" s="163"/>
      <c r="J113" s="27"/>
      <c r="K113" s="27"/>
      <c r="L113" s="421">
        <f t="shared" si="25"/>
        <v>0</v>
      </c>
      <c r="M113" s="421">
        <f t="shared" si="25"/>
        <v>0</v>
      </c>
      <c r="N113" s="421">
        <f t="shared" si="25"/>
        <v>0</v>
      </c>
      <c r="O113" s="421">
        <f t="shared" si="25"/>
        <v>0</v>
      </c>
      <c r="P113" s="421">
        <f t="shared" si="25"/>
        <v>0</v>
      </c>
      <c r="Q113" s="421">
        <f t="shared" si="25"/>
        <v>0</v>
      </c>
      <c r="R113" s="27"/>
      <c r="S113" s="27"/>
      <c r="T113" s="27"/>
      <c r="U113" s="27"/>
      <c r="V113" s="27"/>
      <c r="W113" s="27"/>
      <c r="X113" s="27"/>
      <c r="Y113" s="27"/>
      <c r="Z113" s="27"/>
      <c r="AA113" s="27"/>
      <c r="AB113" s="27"/>
      <c r="AC113" s="27"/>
      <c r="AD113" s="27"/>
      <c r="AE113" s="27"/>
      <c r="AF113" s="27"/>
      <c r="AG113" s="27"/>
      <c r="AH113" s="27"/>
      <c r="AI113" s="107"/>
    </row>
    <row r="114" spans="1:35" outlineLevel="1">
      <c r="A114" s="27"/>
      <c r="B114" s="27"/>
      <c r="D114" s="27" t="s">
        <v>211</v>
      </c>
      <c r="E114" s="95"/>
      <c r="F114" s="95"/>
      <c r="G114" s="95" t="s">
        <v>210</v>
      </c>
      <c r="H114" s="95"/>
      <c r="I114" s="213"/>
      <c r="J114" s="95"/>
      <c r="K114" s="95"/>
      <c r="L114" s="422">
        <f t="shared" si="25"/>
        <v>0</v>
      </c>
      <c r="M114" s="422">
        <f t="shared" si="25"/>
        <v>0</v>
      </c>
      <c r="N114" s="422">
        <f t="shared" si="25"/>
        <v>0</v>
      </c>
      <c r="O114" s="422">
        <f t="shared" si="25"/>
        <v>0</v>
      </c>
      <c r="P114" s="422">
        <f t="shared" si="25"/>
        <v>0</v>
      </c>
      <c r="Q114" s="422">
        <f t="shared" si="25"/>
        <v>0</v>
      </c>
      <c r="R114" s="27"/>
      <c r="S114" s="27"/>
      <c r="T114" s="27"/>
      <c r="U114" s="27"/>
      <c r="V114" s="27"/>
      <c r="W114" s="27"/>
      <c r="X114" s="27"/>
      <c r="Y114" s="27"/>
      <c r="Z114" s="27"/>
      <c r="AA114" s="27"/>
      <c r="AB114" s="27"/>
      <c r="AC114" s="27"/>
      <c r="AD114" s="27"/>
      <c r="AE114" s="27"/>
      <c r="AF114" s="27"/>
      <c r="AG114" s="27"/>
      <c r="AH114" s="27"/>
      <c r="AI114" s="107"/>
    </row>
    <row r="115" spans="1:35" outlineLevel="1">
      <c r="A115" s="27"/>
      <c r="B115" s="27"/>
      <c r="E115" s="27"/>
      <c r="F115" s="27"/>
      <c r="G115" s="27"/>
      <c r="H115" s="27"/>
      <c r="I115" s="163"/>
      <c r="J115" s="27"/>
      <c r="K115" s="27"/>
      <c r="L115" s="421"/>
      <c r="M115" s="421"/>
      <c r="N115" s="421"/>
      <c r="O115" s="421"/>
      <c r="P115" s="421"/>
      <c r="Q115" s="421"/>
      <c r="R115" s="27"/>
      <c r="S115" s="27"/>
      <c r="T115" s="27"/>
      <c r="U115" s="27"/>
      <c r="V115" s="27"/>
      <c r="W115" s="27"/>
      <c r="X115" s="27"/>
      <c r="Y115" s="27"/>
      <c r="Z115" s="27"/>
      <c r="AA115" s="27"/>
      <c r="AB115" s="27"/>
      <c r="AC115" s="27"/>
      <c r="AD115" s="27"/>
      <c r="AE115" s="27"/>
      <c r="AF115" s="27"/>
      <c r="AG115" s="27"/>
      <c r="AH115" s="27"/>
      <c r="AI115" s="107"/>
    </row>
    <row r="116" spans="1:35" outlineLevel="1">
      <c r="D116" s="786" t="s">
        <v>212</v>
      </c>
      <c r="E116" s="787"/>
      <c r="F116" s="787"/>
      <c r="G116" s="787" t="s">
        <v>210</v>
      </c>
      <c r="H116" s="787"/>
      <c r="I116" s="788"/>
      <c r="J116" s="787"/>
      <c r="K116" s="787"/>
      <c r="L116" s="802">
        <f>SUM(L113:L114)*L$34/L$31</f>
        <v>0</v>
      </c>
      <c r="M116" s="802">
        <f t="shared" ref="M116:Q116" si="26">SUM(M113:M114)*M$34/M$31</f>
        <v>0</v>
      </c>
      <c r="N116" s="802">
        <f t="shared" si="26"/>
        <v>0</v>
      </c>
      <c r="O116" s="802">
        <f t="shared" si="26"/>
        <v>0</v>
      </c>
      <c r="P116" s="802">
        <f t="shared" si="26"/>
        <v>0</v>
      </c>
      <c r="Q116" s="802">
        <f t="shared" si="26"/>
        <v>0</v>
      </c>
      <c r="AI116" s="107"/>
    </row>
    <row r="117" spans="1:35" outlineLevel="1">
      <c r="D117" s="27" t="s">
        <v>213</v>
      </c>
      <c r="G117" s="10" t="s">
        <v>210</v>
      </c>
      <c r="L117" s="418">
        <f>L112-L118+SUM(L113:L114)-L116</f>
        <v>0</v>
      </c>
      <c r="M117" s="418">
        <f t="shared" ref="M117:Q117" si="27">M112-M118+SUM(M113:M114)-M116</f>
        <v>0</v>
      </c>
      <c r="N117" s="418">
        <f t="shared" si="27"/>
        <v>0</v>
      </c>
      <c r="O117" s="418">
        <f t="shared" si="27"/>
        <v>0</v>
      </c>
      <c r="P117" s="418">
        <f t="shared" si="27"/>
        <v>0</v>
      </c>
      <c r="Q117" s="418">
        <f t="shared" si="27"/>
        <v>0</v>
      </c>
      <c r="AI117" s="107"/>
    </row>
    <row r="118" spans="1:35" outlineLevel="1">
      <c r="D118" s="95" t="s">
        <v>214</v>
      </c>
      <c r="E118" s="62"/>
      <c r="F118" s="62"/>
      <c r="G118" s="62" t="s">
        <v>210</v>
      </c>
      <c r="H118" s="62"/>
      <c r="I118" s="212"/>
      <c r="J118" s="62"/>
      <c r="K118" s="62"/>
      <c r="L118" s="423">
        <f>L112*L$35/L$28</f>
        <v>0</v>
      </c>
      <c r="M118" s="423">
        <f t="shared" ref="M118:Q118" si="28">M112*M$35/M$28</f>
        <v>0</v>
      </c>
      <c r="N118" s="423">
        <f t="shared" si="28"/>
        <v>0</v>
      </c>
      <c r="O118" s="423">
        <f t="shared" si="28"/>
        <v>0</v>
      </c>
      <c r="P118" s="423">
        <f t="shared" si="28"/>
        <v>0</v>
      </c>
      <c r="Q118" s="423">
        <f t="shared" si="28"/>
        <v>0</v>
      </c>
      <c r="AI118" s="107"/>
    </row>
    <row r="119" spans="1:35" outlineLevel="1">
      <c r="L119" s="21"/>
      <c r="M119" s="21"/>
      <c r="N119" s="21"/>
      <c r="O119" s="21"/>
      <c r="P119" s="21"/>
      <c r="Q119" s="21"/>
      <c r="AI119" s="107"/>
    </row>
    <row r="120" spans="1:35" outlineLevel="1">
      <c r="D120" s="27" t="s">
        <v>215</v>
      </c>
      <c r="L120" s="21"/>
      <c r="M120" s="21"/>
      <c r="N120" s="21"/>
      <c r="O120" s="21"/>
      <c r="P120" s="21"/>
      <c r="Q120" s="21"/>
      <c r="AI120" s="107"/>
    </row>
    <row r="121" spans="1:35" outlineLevel="1">
      <c r="D121" s="786"/>
      <c r="E121" s="787" t="s">
        <v>216</v>
      </c>
      <c r="F121" s="787"/>
      <c r="G121" s="787" t="s">
        <v>171</v>
      </c>
      <c r="H121" s="787"/>
      <c r="I121" s="788"/>
      <c r="J121" s="787"/>
      <c r="K121" s="787"/>
      <c r="L121" s="793">
        <f>L99-L$102-L106</f>
        <v>35.743688938231244</v>
      </c>
      <c r="M121" s="793">
        <f t="shared" ref="M121:Q122" si="29">M99-M$102-M106</f>
        <v>41.51085576852401</v>
      </c>
      <c r="N121" s="793">
        <f t="shared" si="29"/>
        <v>34.446544130790244</v>
      </c>
      <c r="O121" s="793">
        <f t="shared" si="29"/>
        <v>31.954273271931896</v>
      </c>
      <c r="P121" s="793">
        <f t="shared" si="29"/>
        <v>31.954273271931896</v>
      </c>
      <c r="Q121" s="793">
        <f t="shared" si="29"/>
        <v>31.954273271931896</v>
      </c>
      <c r="AI121" s="107"/>
    </row>
    <row r="122" spans="1:35" outlineLevel="1">
      <c r="E122" s="10" t="s">
        <v>217</v>
      </c>
      <c r="G122" s="10" t="s">
        <v>171</v>
      </c>
      <c r="L122" s="410">
        <f>L100-L$102-L107</f>
        <v>108.47890661182812</v>
      </c>
      <c r="M122" s="410">
        <f t="shared" si="29"/>
        <v>125.98174335258238</v>
      </c>
      <c r="N122" s="410">
        <f>N100-N$102-N107</f>
        <v>104.54218786207699</v>
      </c>
      <c r="O122" s="410">
        <f t="shared" si="29"/>
        <v>96.978368184239997</v>
      </c>
      <c r="P122" s="410">
        <f t="shared" si="29"/>
        <v>96.978368184239997</v>
      </c>
      <c r="Q122" s="410">
        <f t="shared" si="29"/>
        <v>96.978368184239997</v>
      </c>
      <c r="AI122" s="107"/>
    </row>
    <row r="123" spans="1:35" outlineLevel="1">
      <c r="E123" s="10" t="s">
        <v>218</v>
      </c>
      <c r="G123" s="10" t="s">
        <v>171</v>
      </c>
      <c r="L123" s="410">
        <f t="shared" ref="L123:Q123" si="30">L101-L108</f>
        <v>190.1400573856005</v>
      </c>
      <c r="M123" s="410">
        <f t="shared" si="30"/>
        <v>220.81874401918185</v>
      </c>
      <c r="N123" s="410">
        <f>N101-N108</f>
        <v>183.23984099913633</v>
      </c>
      <c r="O123" s="410">
        <f t="shared" si="30"/>
        <v>169.98210129177977</v>
      </c>
      <c r="P123" s="410">
        <f t="shared" si="30"/>
        <v>169.98210129177977</v>
      </c>
      <c r="Q123" s="410">
        <f t="shared" si="30"/>
        <v>169.98210129177977</v>
      </c>
      <c r="AI123" s="107"/>
    </row>
    <row r="124" spans="1:35" outlineLevel="1">
      <c r="E124" s="268" t="s">
        <v>219</v>
      </c>
      <c r="F124" s="268"/>
      <c r="G124" s="268" t="s">
        <v>171</v>
      </c>
      <c r="H124" s="268"/>
      <c r="I124" s="269"/>
      <c r="J124" s="268"/>
      <c r="K124" s="268"/>
      <c r="L124" s="424">
        <f t="shared" ref="L124:Q126" si="31">L121*L86</f>
        <v>3.0079461377033074</v>
      </c>
      <c r="M124" s="424">
        <f t="shared" si="31"/>
        <v>3.5216785142149654</v>
      </c>
      <c r="N124" s="424">
        <f t="shared" si="31"/>
        <v>2.9527465683880401</v>
      </c>
      <c r="O124" s="424">
        <f t="shared" si="31"/>
        <v>2.7640720313528995</v>
      </c>
      <c r="P124" s="424">
        <f t="shared" si="31"/>
        <v>2.7852570904055276</v>
      </c>
      <c r="Q124" s="424">
        <f t="shared" si="31"/>
        <v>2.8009319127745536</v>
      </c>
      <c r="S124" s="103"/>
      <c r="AI124" s="107"/>
    </row>
    <row r="125" spans="1:35" outlineLevel="1">
      <c r="E125" s="10" t="s">
        <v>220</v>
      </c>
      <c r="G125" s="10" t="s">
        <v>171</v>
      </c>
      <c r="L125" s="22">
        <f>L122*L87</f>
        <v>11.561424983893314</v>
      </c>
      <c r="M125" s="22">
        <f t="shared" si="31"/>
        <v>13.513047915719266</v>
      </c>
      <c r="N125" s="22">
        <f t="shared" si="31"/>
        <v>11.305620571357665</v>
      </c>
      <c r="O125" s="22">
        <f t="shared" si="31"/>
        <v>10.563395897320474</v>
      </c>
      <c r="P125" s="22">
        <f t="shared" si="31"/>
        <v>10.627690661257891</v>
      </c>
      <c r="Q125" s="22">
        <f t="shared" si="31"/>
        <v>10.675262348524559</v>
      </c>
      <c r="S125" s="103"/>
      <c r="AI125" s="107"/>
    </row>
    <row r="126" spans="1:35" outlineLevel="1">
      <c r="E126" s="10" t="s">
        <v>221</v>
      </c>
      <c r="G126" s="10" t="s">
        <v>171</v>
      </c>
      <c r="L126" s="22">
        <f t="shared" si="31"/>
        <v>20.264677056185381</v>
      </c>
      <c r="M126" s="22">
        <f t="shared" si="31"/>
        <v>23.685449885139935</v>
      </c>
      <c r="N126" s="22">
        <f t="shared" si="31"/>
        <v>19.816307256026327</v>
      </c>
      <c r="O126" s="22">
        <f t="shared" si="31"/>
        <v>18.51534795875542</v>
      </c>
      <c r="P126" s="22">
        <f t="shared" si="31"/>
        <v>18.628042771843823</v>
      </c>
      <c r="Q126" s="22">
        <f t="shared" si="31"/>
        <v>18.711425649025475</v>
      </c>
      <c r="S126" s="103"/>
      <c r="AI126" s="107"/>
    </row>
    <row r="127" spans="1:35" outlineLevel="1">
      <c r="E127" s="270" t="s">
        <v>222</v>
      </c>
      <c r="F127" s="270"/>
      <c r="G127" s="270" t="s">
        <v>210</v>
      </c>
      <c r="H127" s="270"/>
      <c r="I127" s="271"/>
      <c r="J127" s="270"/>
      <c r="K127" s="270"/>
      <c r="L127" s="425">
        <f t="shared" ref="L127:Q129" si="32">L124*L28</f>
        <v>51.439460121358699</v>
      </c>
      <c r="M127" s="425">
        <f t="shared" si="32"/>
        <v>60.224895393414371</v>
      </c>
      <c r="N127" s="425">
        <f t="shared" si="32"/>
        <v>50.495481767186142</v>
      </c>
      <c r="O127" s="425">
        <f t="shared" si="32"/>
        <v>47.268922553880095</v>
      </c>
      <c r="P127" s="425">
        <f t="shared" si="32"/>
        <v>47.631212285949026</v>
      </c>
      <c r="Q127" s="425">
        <f t="shared" si="32"/>
        <v>47.899270410412832</v>
      </c>
      <c r="AI127" s="107"/>
    </row>
    <row r="128" spans="1:35" outlineLevel="1">
      <c r="E128" s="27" t="s">
        <v>223</v>
      </c>
      <c r="F128" s="27"/>
      <c r="G128" s="27" t="s">
        <v>210</v>
      </c>
      <c r="H128" s="27"/>
      <c r="I128" s="163"/>
      <c r="J128" s="27"/>
      <c r="K128" s="27"/>
      <c r="L128" s="426">
        <f t="shared" si="32"/>
        <v>96.253793989040304</v>
      </c>
      <c r="M128" s="426">
        <f t="shared" si="32"/>
        <v>112.50188727217494</v>
      </c>
      <c r="N128" s="426">
        <f t="shared" si="32"/>
        <v>94.124113152984535</v>
      </c>
      <c r="O128" s="426">
        <f t="shared" si="32"/>
        <v>87.944776179567597</v>
      </c>
      <c r="P128" s="426">
        <f t="shared" si="32"/>
        <v>88.480057511343546</v>
      </c>
      <c r="Q128" s="426">
        <f t="shared" si="32"/>
        <v>88.876112097370438</v>
      </c>
      <c r="AI128" s="107"/>
    </row>
    <row r="129" spans="3:35" outlineLevel="1">
      <c r="E129" s="27" t="s">
        <v>224</v>
      </c>
      <c r="F129" s="27"/>
      <c r="G129" s="27" t="s">
        <v>210</v>
      </c>
      <c r="H129" s="27"/>
      <c r="I129" s="163"/>
      <c r="J129" s="27"/>
      <c r="K129" s="27"/>
      <c r="L129" s="426">
        <f t="shared" si="32"/>
        <v>76.993199850894612</v>
      </c>
      <c r="M129" s="426">
        <f t="shared" si="32"/>
        <v>89.99001422567973</v>
      </c>
      <c r="N129" s="426">
        <f t="shared" si="32"/>
        <v>75.289672795662582</v>
      </c>
      <c r="O129" s="426">
        <f t="shared" si="32"/>
        <v>70.346834629777035</v>
      </c>
      <c r="P129" s="426">
        <f t="shared" si="32"/>
        <v>70.775004999441336</v>
      </c>
      <c r="Q129" s="426">
        <f t="shared" si="32"/>
        <v>71.091808198879932</v>
      </c>
      <c r="AI129" s="107"/>
    </row>
    <row r="130" spans="3:35" outlineLevel="1">
      <c r="D130" s="273" t="s">
        <v>225</v>
      </c>
      <c r="E130" s="274"/>
      <c r="F130" s="274"/>
      <c r="G130" s="273" t="s">
        <v>210</v>
      </c>
      <c r="H130" s="273"/>
      <c r="I130" s="275"/>
      <c r="J130" s="273"/>
      <c r="K130" s="273"/>
      <c r="L130" s="427">
        <f>SUM(L127:L129)</f>
        <v>224.68645396129364</v>
      </c>
      <c r="M130" s="427">
        <f t="shared" ref="M130:Q130" si="33">SUM(M127:M129)</f>
        <v>262.71679689126904</v>
      </c>
      <c r="N130" s="427">
        <f t="shared" si="33"/>
        <v>219.90926771583327</v>
      </c>
      <c r="O130" s="427">
        <f t="shared" si="33"/>
        <v>205.56053336322475</v>
      </c>
      <c r="P130" s="427">
        <f t="shared" si="33"/>
        <v>206.88627479673391</v>
      </c>
      <c r="Q130" s="427">
        <f t="shared" si="33"/>
        <v>207.86719070666319</v>
      </c>
      <c r="AI130" s="107"/>
    </row>
    <row r="131" spans="3:35" outlineLevel="1">
      <c r="L131" s="23"/>
      <c r="M131" s="21"/>
      <c r="N131" s="21"/>
      <c r="O131" s="21"/>
      <c r="P131" s="21"/>
      <c r="Q131" s="21"/>
      <c r="AI131" s="107"/>
    </row>
    <row r="132" spans="3:35" outlineLevel="1">
      <c r="D132" s="786" t="s">
        <v>212</v>
      </c>
      <c r="E132" s="787"/>
      <c r="F132" s="787"/>
      <c r="G132" s="787" t="s">
        <v>210</v>
      </c>
      <c r="H132" s="787"/>
      <c r="I132" s="788"/>
      <c r="J132" s="787"/>
      <c r="K132" s="787"/>
      <c r="L132" s="803">
        <f t="shared" ref="L132:Q132" si="34">L$130*L34/L$38</f>
        <v>17.974916316903489</v>
      </c>
      <c r="M132" s="803">
        <f t="shared" si="34"/>
        <v>21.017343751301521</v>
      </c>
      <c r="N132" s="803">
        <f t="shared" si="34"/>
        <v>17.592741417266659</v>
      </c>
      <c r="O132" s="803">
        <f t="shared" si="34"/>
        <v>16.44484266905798</v>
      </c>
      <c r="P132" s="803">
        <f t="shared" si="34"/>
        <v>16.550901983738711</v>
      </c>
      <c r="Q132" s="803">
        <f t="shared" si="34"/>
        <v>16.629375256533056</v>
      </c>
      <c r="AI132" s="107"/>
    </row>
    <row r="133" spans="3:35" outlineLevel="1">
      <c r="D133" s="27" t="s">
        <v>213</v>
      </c>
      <c r="G133" s="10" t="s">
        <v>210</v>
      </c>
      <c r="L133" s="22">
        <f t="shared" ref="L133:Q133" si="35">L$130*L37/L$38</f>
        <v>85.290977923707061</v>
      </c>
      <c r="M133" s="22">
        <f t="shared" si="35"/>
        <v>99.727296099925724</v>
      </c>
      <c r="N133" s="22">
        <f t="shared" si="35"/>
        <v>83.477558024930303</v>
      </c>
      <c r="O133" s="22">
        <f t="shared" si="35"/>
        <v>78.030778464680111</v>
      </c>
      <c r="P133" s="22">
        <f t="shared" si="35"/>
        <v>78.534029912840197</v>
      </c>
      <c r="Q133" s="22">
        <f t="shared" si="35"/>
        <v>78.906385592249336</v>
      </c>
      <c r="AI133" s="107"/>
    </row>
    <row r="134" spans="3:35" outlineLevel="1">
      <c r="D134" s="95" t="s">
        <v>214</v>
      </c>
      <c r="E134" s="62"/>
      <c r="F134" s="62"/>
      <c r="G134" s="62" t="s">
        <v>210</v>
      </c>
      <c r="H134" s="62"/>
      <c r="I134" s="212"/>
      <c r="J134" s="62"/>
      <c r="K134" s="62"/>
      <c r="L134" s="428">
        <f t="shared" ref="L134:Q134" si="36">L$130*L35/L$38</f>
        <v>121.42055972068307</v>
      </c>
      <c r="M134" s="428">
        <f t="shared" si="36"/>
        <v>141.97215704004179</v>
      </c>
      <c r="N134" s="428">
        <f t="shared" si="36"/>
        <v>118.8389682736363</v>
      </c>
      <c r="O134" s="428">
        <f t="shared" si="36"/>
        <v>111.08491222948665</v>
      </c>
      <c r="P134" s="428">
        <f t="shared" si="36"/>
        <v>111.80134290015502</v>
      </c>
      <c r="Q134" s="428">
        <f t="shared" si="36"/>
        <v>112.33142985788079</v>
      </c>
      <c r="AI134" s="107"/>
    </row>
    <row r="135" spans="3:35" outlineLevel="1">
      <c r="L135" s="429" t="str">
        <f>IF(ROUND(SUM(L132:L134)-L130,5)=0,"OK","FAIL")</f>
        <v>OK</v>
      </c>
      <c r="M135" s="429"/>
      <c r="N135" s="429"/>
      <c r="O135" s="429"/>
      <c r="P135" s="429"/>
      <c r="Q135" s="429"/>
      <c r="AI135" s="107"/>
    </row>
    <row r="136" spans="3:35" outlineLevel="1">
      <c r="L136" s="21"/>
      <c r="M136" s="21"/>
      <c r="N136" s="21"/>
      <c r="O136" s="21"/>
      <c r="P136" s="21"/>
      <c r="Q136" s="21"/>
      <c r="AI136" s="107"/>
    </row>
    <row r="137" spans="3:35" outlineLevel="1">
      <c r="C137" s="184" t="s">
        <v>226</v>
      </c>
      <c r="D137" s="321"/>
      <c r="E137" s="322"/>
      <c r="F137" s="322"/>
      <c r="G137" s="322"/>
      <c r="H137" s="322"/>
      <c r="I137" s="323"/>
      <c r="J137" s="322"/>
      <c r="K137" s="322"/>
      <c r="L137" s="411"/>
      <c r="M137" s="411"/>
      <c r="N137" s="411"/>
      <c r="O137" s="411"/>
      <c r="P137" s="411"/>
      <c r="Q137" s="411"/>
      <c r="R137" s="322"/>
      <c r="S137" s="322"/>
      <c r="T137" s="322"/>
      <c r="U137" s="322"/>
      <c r="V137" s="322"/>
      <c r="W137" s="322"/>
      <c r="X137" s="322"/>
      <c r="Y137" s="322"/>
      <c r="Z137" s="322"/>
      <c r="AA137" s="322"/>
      <c r="AB137" s="322"/>
      <c r="AC137" s="322"/>
      <c r="AD137" s="322"/>
      <c r="AE137" s="322"/>
      <c r="AF137" s="322"/>
      <c r="AG137" s="322"/>
      <c r="AH137" s="322"/>
      <c r="AI137" s="107"/>
    </row>
    <row r="138" spans="3:35" outlineLevel="1">
      <c r="L138" s="21"/>
      <c r="M138" s="21"/>
      <c r="N138" s="21"/>
      <c r="O138" s="21"/>
      <c r="P138" s="21"/>
      <c r="Q138" s="21"/>
      <c r="AI138" s="107"/>
    </row>
    <row r="139" spans="3:35" outlineLevel="1">
      <c r="D139" s="27" t="s">
        <v>137</v>
      </c>
      <c r="L139" s="21"/>
      <c r="M139" s="21"/>
      <c r="N139" s="21"/>
      <c r="O139" s="21"/>
      <c r="P139" s="21"/>
      <c r="Q139" s="21"/>
      <c r="AI139" s="107"/>
    </row>
    <row r="140" spans="3:35" outlineLevel="1">
      <c r="D140" s="786"/>
      <c r="E140" s="787" t="s">
        <v>227</v>
      </c>
      <c r="F140" s="787"/>
      <c r="G140" s="787" t="s">
        <v>171</v>
      </c>
      <c r="H140" s="786"/>
      <c r="I140" s="804"/>
      <c r="J140" s="787"/>
      <c r="K140" s="787"/>
      <c r="L140" s="793">
        <f>L$51</f>
        <v>129.20163349333333</v>
      </c>
      <c r="M140" s="793">
        <f t="shared" ref="M140:Q140" si="37">M$51</f>
        <v>129.20163349333333</v>
      </c>
      <c r="N140" s="793">
        <f t="shared" si="37"/>
        <v>129.20163349333333</v>
      </c>
      <c r="O140" s="793">
        <f t="shared" si="37"/>
        <v>129.20163349333333</v>
      </c>
      <c r="P140" s="793">
        <f t="shared" si="37"/>
        <v>129.20163349333333</v>
      </c>
      <c r="Q140" s="793">
        <f t="shared" si="37"/>
        <v>129.20163349333333</v>
      </c>
      <c r="AI140" s="107"/>
    </row>
    <row r="141" spans="3:35" outlineLevel="1">
      <c r="D141" s="95"/>
      <c r="E141" s="62" t="s">
        <v>228</v>
      </c>
      <c r="F141" s="62"/>
      <c r="G141" s="62"/>
      <c r="H141" s="62"/>
      <c r="I141" s="212"/>
      <c r="J141" s="62"/>
      <c r="K141" s="62"/>
      <c r="L141" s="363">
        <f>'Policy Requirements'!D25</f>
        <v>0</v>
      </c>
      <c r="M141" s="363">
        <f>'Policy Requirements'!E25</f>
        <v>0</v>
      </c>
      <c r="N141" s="363">
        <f>'Policy Requirements'!F25</f>
        <v>0</v>
      </c>
      <c r="O141" s="363">
        <f>'Policy Requirements'!G25</f>
        <v>0</v>
      </c>
      <c r="P141" s="363">
        <f>'Policy Requirements'!H25</f>
        <v>0</v>
      </c>
      <c r="Q141" s="363">
        <f>'Policy Requirements'!I25</f>
        <v>0</v>
      </c>
      <c r="AI141" s="107"/>
    </row>
    <row r="142" spans="3:35" outlineLevel="1">
      <c r="L142" s="222"/>
      <c r="M142" s="222"/>
      <c r="N142" s="222"/>
      <c r="O142" s="222"/>
      <c r="P142" s="222"/>
      <c r="Q142" s="222"/>
      <c r="AI142" s="107"/>
    </row>
    <row r="143" spans="3:35" outlineLevel="1">
      <c r="D143" s="27" t="s">
        <v>229</v>
      </c>
      <c r="L143" s="222"/>
      <c r="M143" s="222"/>
      <c r="N143" s="222"/>
      <c r="O143" s="222"/>
      <c r="P143" s="222"/>
      <c r="Q143" s="222"/>
      <c r="AI143" s="107"/>
    </row>
    <row r="144" spans="3:35" outlineLevel="1">
      <c r="D144" s="786"/>
      <c r="E144" s="787" t="s">
        <v>230</v>
      </c>
      <c r="F144" s="787"/>
      <c r="G144" s="787" t="s">
        <v>171</v>
      </c>
      <c r="H144" s="787"/>
      <c r="I144" s="788"/>
      <c r="J144" s="787"/>
      <c r="K144" s="787"/>
      <c r="L144" s="802">
        <f t="shared" ref="L144:Q144" si="38">L140*L$141</f>
        <v>0</v>
      </c>
      <c r="M144" s="802">
        <f t="shared" si="38"/>
        <v>0</v>
      </c>
      <c r="N144" s="802">
        <f t="shared" si="38"/>
        <v>0</v>
      </c>
      <c r="O144" s="802">
        <f t="shared" si="38"/>
        <v>0</v>
      </c>
      <c r="P144" s="802">
        <f t="shared" si="38"/>
        <v>0</v>
      </c>
      <c r="Q144" s="802">
        <f t="shared" si="38"/>
        <v>0</v>
      </c>
      <c r="AI144" s="107"/>
    </row>
    <row r="145" spans="4:35" outlineLevel="1">
      <c r="E145" s="268" t="s">
        <v>231</v>
      </c>
      <c r="F145" s="268"/>
      <c r="G145" s="268" t="s">
        <v>171</v>
      </c>
      <c r="H145" s="268"/>
      <c r="I145" s="269"/>
      <c r="J145" s="268"/>
      <c r="K145" s="268"/>
      <c r="L145" s="419">
        <f t="shared" ref="L145:Q147" si="39">L$144*L86</f>
        <v>0</v>
      </c>
      <c r="M145" s="419">
        <f t="shared" si="39"/>
        <v>0</v>
      </c>
      <c r="N145" s="419">
        <f t="shared" si="39"/>
        <v>0</v>
      </c>
      <c r="O145" s="419">
        <f t="shared" si="39"/>
        <v>0</v>
      </c>
      <c r="P145" s="419">
        <f t="shared" si="39"/>
        <v>0</v>
      </c>
      <c r="Q145" s="419">
        <f t="shared" si="39"/>
        <v>0</v>
      </c>
      <c r="AI145" s="107"/>
    </row>
    <row r="146" spans="4:35" outlineLevel="1">
      <c r="E146" s="10" t="s">
        <v>232</v>
      </c>
      <c r="G146" s="10" t="s">
        <v>171</v>
      </c>
      <c r="L146" s="418">
        <f t="shared" si="39"/>
        <v>0</v>
      </c>
      <c r="M146" s="418">
        <f t="shared" si="39"/>
        <v>0</v>
      </c>
      <c r="N146" s="418">
        <f t="shared" si="39"/>
        <v>0</v>
      </c>
      <c r="O146" s="418">
        <f t="shared" si="39"/>
        <v>0</v>
      </c>
      <c r="P146" s="418">
        <f t="shared" si="39"/>
        <v>0</v>
      </c>
      <c r="Q146" s="418">
        <f t="shared" si="39"/>
        <v>0</v>
      </c>
      <c r="AI146" s="107"/>
    </row>
    <row r="147" spans="4:35" outlineLevel="1">
      <c r="E147" s="10" t="s">
        <v>233</v>
      </c>
      <c r="G147" s="10" t="s">
        <v>171</v>
      </c>
      <c r="L147" s="418">
        <f t="shared" si="39"/>
        <v>0</v>
      </c>
      <c r="M147" s="418">
        <f t="shared" si="39"/>
        <v>0</v>
      </c>
      <c r="N147" s="418">
        <f t="shared" si="39"/>
        <v>0</v>
      </c>
      <c r="O147" s="418">
        <f t="shared" si="39"/>
        <v>0</v>
      </c>
      <c r="P147" s="418">
        <f t="shared" si="39"/>
        <v>0</v>
      </c>
      <c r="Q147" s="418">
        <f t="shared" si="39"/>
        <v>0</v>
      </c>
      <c r="AI147" s="107"/>
    </row>
    <row r="148" spans="4:35" outlineLevel="1">
      <c r="D148" s="270" t="s">
        <v>234</v>
      </c>
      <c r="E148" s="270"/>
      <c r="F148" s="270"/>
      <c r="G148" s="270" t="s">
        <v>210</v>
      </c>
      <c r="H148" s="270"/>
      <c r="I148" s="271"/>
      <c r="J148" s="270"/>
      <c r="K148" s="270"/>
      <c r="L148" s="420">
        <f t="shared" ref="L148:Q150" si="40">L145*L28</f>
        <v>0</v>
      </c>
      <c r="M148" s="420">
        <f t="shared" si="40"/>
        <v>0</v>
      </c>
      <c r="N148" s="420">
        <f t="shared" si="40"/>
        <v>0</v>
      </c>
      <c r="O148" s="420">
        <f t="shared" si="40"/>
        <v>0</v>
      </c>
      <c r="P148" s="420">
        <f t="shared" si="40"/>
        <v>0</v>
      </c>
      <c r="Q148" s="420">
        <f t="shared" si="40"/>
        <v>0</v>
      </c>
      <c r="AI148" s="107"/>
    </row>
    <row r="149" spans="4:35" outlineLevel="1">
      <c r="D149" s="27" t="s">
        <v>235</v>
      </c>
      <c r="E149" s="27"/>
      <c r="F149" s="27"/>
      <c r="G149" s="27" t="s">
        <v>210</v>
      </c>
      <c r="H149" s="27"/>
      <c r="I149" s="163"/>
      <c r="J149" s="27"/>
      <c r="K149" s="27"/>
      <c r="L149" s="421">
        <f t="shared" si="40"/>
        <v>0</v>
      </c>
      <c r="M149" s="421">
        <f t="shared" si="40"/>
        <v>0</v>
      </c>
      <c r="N149" s="421">
        <f t="shared" si="40"/>
        <v>0</v>
      </c>
      <c r="O149" s="421">
        <f t="shared" si="40"/>
        <v>0</v>
      </c>
      <c r="P149" s="421">
        <f t="shared" si="40"/>
        <v>0</v>
      </c>
      <c r="Q149" s="421">
        <f t="shared" si="40"/>
        <v>0</v>
      </c>
      <c r="AI149" s="107"/>
    </row>
    <row r="150" spans="4:35" outlineLevel="1">
      <c r="D150" s="95" t="s">
        <v>236</v>
      </c>
      <c r="E150" s="95"/>
      <c r="F150" s="95"/>
      <c r="G150" s="95" t="s">
        <v>210</v>
      </c>
      <c r="H150" s="95"/>
      <c r="I150" s="213"/>
      <c r="J150" s="95"/>
      <c r="K150" s="95"/>
      <c r="L150" s="422">
        <f t="shared" si="40"/>
        <v>0</v>
      </c>
      <c r="M150" s="422">
        <f t="shared" si="40"/>
        <v>0</v>
      </c>
      <c r="N150" s="422">
        <f t="shared" si="40"/>
        <v>0</v>
      </c>
      <c r="O150" s="422">
        <f t="shared" si="40"/>
        <v>0</v>
      </c>
      <c r="P150" s="422">
        <f t="shared" si="40"/>
        <v>0</v>
      </c>
      <c r="Q150" s="422">
        <f t="shared" si="40"/>
        <v>0</v>
      </c>
      <c r="AI150" s="107"/>
    </row>
    <row r="151" spans="4:35" outlineLevel="1">
      <c r="E151" s="27"/>
      <c r="F151" s="27"/>
      <c r="G151" s="27"/>
      <c r="H151" s="27"/>
      <c r="I151" s="163"/>
      <c r="J151" s="27"/>
      <c r="K151" s="27"/>
      <c r="L151" s="146"/>
      <c r="M151" s="146"/>
      <c r="N151" s="146"/>
      <c r="O151" s="146"/>
      <c r="P151" s="146"/>
      <c r="Q151" s="146"/>
      <c r="AI151" s="107"/>
    </row>
    <row r="152" spans="4:35" outlineLevel="1">
      <c r="D152" s="786" t="s">
        <v>212</v>
      </c>
      <c r="E152" s="787"/>
      <c r="F152" s="787"/>
      <c r="G152" s="787" t="s">
        <v>210</v>
      </c>
      <c r="H152" s="787"/>
      <c r="I152" s="788"/>
      <c r="J152" s="787"/>
      <c r="K152" s="787"/>
      <c r="L152" s="802">
        <f>SUM(L149:L150)*L$34/L$31</f>
        <v>0</v>
      </c>
      <c r="M152" s="802">
        <f t="shared" ref="M152:Q152" si="41">SUM(M149:M150)*M$34/M$31</f>
        <v>0</v>
      </c>
      <c r="N152" s="802">
        <f t="shared" si="41"/>
        <v>0</v>
      </c>
      <c r="O152" s="802">
        <f t="shared" si="41"/>
        <v>0</v>
      </c>
      <c r="P152" s="802">
        <f t="shared" si="41"/>
        <v>0</v>
      </c>
      <c r="Q152" s="802">
        <f t="shared" si="41"/>
        <v>0</v>
      </c>
      <c r="AI152" s="107"/>
    </row>
    <row r="153" spans="4:35" outlineLevel="1">
      <c r="D153" s="27" t="s">
        <v>213</v>
      </c>
      <c r="G153" s="10" t="s">
        <v>210</v>
      </c>
      <c r="L153" s="418">
        <f>L148-L154+SUM(L149:L150)-L152</f>
        <v>0</v>
      </c>
      <c r="M153" s="418">
        <f t="shared" ref="M153" si="42">M148-M154+SUM(M149:M150)-M152</f>
        <v>0</v>
      </c>
      <c r="N153" s="418">
        <f t="shared" ref="N153" si="43">N148-N154+SUM(N149:N150)-N152</f>
        <v>0</v>
      </c>
      <c r="O153" s="418">
        <f t="shared" ref="O153" si="44">O148-O154+SUM(O149:O150)-O152</f>
        <v>0</v>
      </c>
      <c r="P153" s="418">
        <f t="shared" ref="P153" si="45">P148-P154+SUM(P149:P150)-P152</f>
        <v>0</v>
      </c>
      <c r="Q153" s="418">
        <f t="shared" ref="Q153" si="46">Q148-Q154+SUM(Q149:Q150)-Q152</f>
        <v>0</v>
      </c>
      <c r="AI153" s="107"/>
    </row>
    <row r="154" spans="4:35" outlineLevel="1">
      <c r="D154" s="95" t="s">
        <v>214</v>
      </c>
      <c r="E154" s="62"/>
      <c r="F154" s="62"/>
      <c r="G154" s="62" t="s">
        <v>210</v>
      </c>
      <c r="H154" s="62"/>
      <c r="I154" s="212"/>
      <c r="J154" s="62"/>
      <c r="K154" s="62"/>
      <c r="L154" s="423">
        <f>L148*L$35/L$28</f>
        <v>0</v>
      </c>
      <c r="M154" s="423">
        <f t="shared" ref="M154:Q154" si="47">M148*M$35/M$28</f>
        <v>0</v>
      </c>
      <c r="N154" s="423">
        <f t="shared" si="47"/>
        <v>0</v>
      </c>
      <c r="O154" s="423">
        <f t="shared" si="47"/>
        <v>0</v>
      </c>
      <c r="P154" s="423">
        <f t="shared" si="47"/>
        <v>0</v>
      </c>
      <c r="Q154" s="423">
        <f t="shared" si="47"/>
        <v>0</v>
      </c>
      <c r="AI154" s="107"/>
    </row>
    <row r="155" spans="4:35" outlineLevel="1">
      <c r="L155" s="21"/>
      <c r="M155" s="21"/>
      <c r="N155" s="21"/>
      <c r="O155" s="21"/>
      <c r="P155" s="21"/>
      <c r="Q155" s="21"/>
      <c r="AI155" s="107"/>
    </row>
    <row r="156" spans="4:35" outlineLevel="1">
      <c r="D156" s="27" t="s">
        <v>237</v>
      </c>
      <c r="L156" s="21"/>
      <c r="M156" s="21"/>
      <c r="N156" s="21"/>
      <c r="O156" s="21"/>
      <c r="P156" s="21"/>
      <c r="Q156" s="21"/>
      <c r="AI156" s="107"/>
    </row>
    <row r="157" spans="4:35" outlineLevel="1">
      <c r="D157" s="786"/>
      <c r="E157" s="787" t="s">
        <v>238</v>
      </c>
      <c r="F157" s="787"/>
      <c r="G157" s="787" t="s">
        <v>171</v>
      </c>
      <c r="H157" s="787"/>
      <c r="I157" s="788"/>
      <c r="J157" s="787"/>
      <c r="K157" s="787"/>
      <c r="L157" s="793">
        <f>L$140-L$144</f>
        <v>129.20163349333333</v>
      </c>
      <c r="M157" s="793">
        <f t="shared" ref="M157:Q159" si="48">M$140-M$144</f>
        <v>129.20163349333333</v>
      </c>
      <c r="N157" s="793">
        <f t="shared" si="48"/>
        <v>129.20163349333333</v>
      </c>
      <c r="O157" s="793">
        <f t="shared" si="48"/>
        <v>129.20163349333333</v>
      </c>
      <c r="P157" s="793">
        <f t="shared" si="48"/>
        <v>129.20163349333333</v>
      </c>
      <c r="Q157" s="793">
        <f t="shared" si="48"/>
        <v>129.20163349333333</v>
      </c>
      <c r="S157" s="230"/>
      <c r="AI157" s="107"/>
    </row>
    <row r="158" spans="4:35" outlineLevel="1">
      <c r="E158" s="10" t="s">
        <v>239</v>
      </c>
      <c r="G158" s="10" t="s">
        <v>171</v>
      </c>
      <c r="L158" s="410">
        <f>L$140-L$144</f>
        <v>129.20163349333333</v>
      </c>
      <c r="M158" s="410">
        <f t="shared" si="48"/>
        <v>129.20163349333333</v>
      </c>
      <c r="N158" s="410">
        <f t="shared" si="48"/>
        <v>129.20163349333333</v>
      </c>
      <c r="O158" s="410">
        <f t="shared" si="48"/>
        <v>129.20163349333333</v>
      </c>
      <c r="P158" s="410">
        <f t="shared" si="48"/>
        <v>129.20163349333333</v>
      </c>
      <c r="Q158" s="410">
        <f t="shared" si="48"/>
        <v>129.20163349333333</v>
      </c>
      <c r="S158" s="230"/>
      <c r="AI158" s="107"/>
    </row>
    <row r="159" spans="4:35" outlineLevel="1">
      <c r="E159" s="10" t="s">
        <v>240</v>
      </c>
      <c r="G159" s="10" t="s">
        <v>171</v>
      </c>
      <c r="L159" s="410">
        <f>L$140-L$144</f>
        <v>129.20163349333333</v>
      </c>
      <c r="M159" s="410">
        <f t="shared" si="48"/>
        <v>129.20163349333333</v>
      </c>
      <c r="N159" s="410">
        <f t="shared" si="48"/>
        <v>129.20163349333333</v>
      </c>
      <c r="O159" s="410">
        <f t="shared" si="48"/>
        <v>129.20163349333333</v>
      </c>
      <c r="P159" s="410">
        <f t="shared" si="48"/>
        <v>129.20163349333333</v>
      </c>
      <c r="Q159" s="410">
        <f t="shared" si="48"/>
        <v>129.20163349333333</v>
      </c>
      <c r="S159" s="230"/>
      <c r="AI159" s="107"/>
    </row>
    <row r="160" spans="4:35" outlineLevel="1">
      <c r="E160" s="268" t="s">
        <v>241</v>
      </c>
      <c r="F160" s="268"/>
      <c r="G160" s="268" t="s">
        <v>171</v>
      </c>
      <c r="H160" s="268"/>
      <c r="I160" s="269"/>
      <c r="J160" s="268"/>
      <c r="K160" s="268"/>
      <c r="L160" s="424">
        <f>L157*L86</f>
        <v>10.872732110074743</v>
      </c>
      <c r="M160" s="424">
        <f t="shared" ref="L160:Q162" si="49">M157*M86</f>
        <v>10.961147590215704</v>
      </c>
      <c r="N160" s="424">
        <f t="shared" si="49"/>
        <v>11.075122034856424</v>
      </c>
      <c r="O160" s="424">
        <f t="shared" si="49"/>
        <v>11.176052057416724</v>
      </c>
      <c r="P160" s="424">
        <f t="shared" si="49"/>
        <v>11.261710216873491</v>
      </c>
      <c r="Q160" s="424">
        <f t="shared" si="49"/>
        <v>11.325088677637138</v>
      </c>
      <c r="AI160" s="107"/>
    </row>
    <row r="161" spans="3:35" outlineLevel="1">
      <c r="E161" s="10" t="s">
        <v>242</v>
      </c>
      <c r="G161" s="10" t="s">
        <v>171</v>
      </c>
      <c r="L161" s="22">
        <f>L158*L87</f>
        <v>13.770004142600547</v>
      </c>
      <c r="M161" s="22">
        <f t="shared" si="49"/>
        <v>13.85841962274151</v>
      </c>
      <c r="N161" s="22">
        <f t="shared" si="49"/>
        <v>13.972394067382227</v>
      </c>
      <c r="O161" s="22">
        <f t="shared" si="49"/>
        <v>14.073324089942528</v>
      </c>
      <c r="P161" s="22">
        <f t="shared" si="49"/>
        <v>14.158982249399294</v>
      </c>
      <c r="Q161" s="22">
        <f t="shared" si="49"/>
        <v>14.222360710162942</v>
      </c>
      <c r="AI161" s="107"/>
    </row>
    <row r="162" spans="3:35" outlineLevel="1">
      <c r="E162" s="10" t="s">
        <v>243</v>
      </c>
      <c r="G162" s="10" t="s">
        <v>171</v>
      </c>
      <c r="L162" s="22">
        <f t="shared" si="49"/>
        <v>13.770004142600547</v>
      </c>
      <c r="M162" s="22">
        <f t="shared" si="49"/>
        <v>13.85841962274151</v>
      </c>
      <c r="N162" s="22">
        <f t="shared" si="49"/>
        <v>13.972394067382227</v>
      </c>
      <c r="O162" s="22">
        <f t="shared" si="49"/>
        <v>14.073324089942528</v>
      </c>
      <c r="P162" s="22">
        <f t="shared" si="49"/>
        <v>14.158982249399294</v>
      </c>
      <c r="Q162" s="22">
        <f t="shared" si="49"/>
        <v>14.222360710162942</v>
      </c>
      <c r="AI162" s="107"/>
    </row>
    <row r="163" spans="3:35" outlineLevel="1">
      <c r="E163" s="270" t="s">
        <v>244</v>
      </c>
      <c r="F163" s="270"/>
      <c r="G163" s="270" t="s">
        <v>210</v>
      </c>
      <c r="H163" s="270"/>
      <c r="I163" s="271"/>
      <c r="J163" s="270"/>
      <c r="K163" s="270"/>
      <c r="L163" s="425">
        <f t="shared" ref="L163:Q165" si="50">L160*L28</f>
        <v>185.93666381720695</v>
      </c>
      <c r="M163" s="425">
        <f t="shared" si="50"/>
        <v>187.44867379232386</v>
      </c>
      <c r="N163" s="425">
        <f t="shared" si="50"/>
        <v>189.39777249009069</v>
      </c>
      <c r="O163" s="425">
        <f t="shared" si="50"/>
        <v>191.12379604000122</v>
      </c>
      <c r="P163" s="425">
        <f t="shared" si="50"/>
        <v>192.58865254863861</v>
      </c>
      <c r="Q163" s="425">
        <f t="shared" si="50"/>
        <v>193.67249968411093</v>
      </c>
      <c r="AI163" s="107"/>
    </row>
    <row r="164" spans="3:35" outlineLevel="1">
      <c r="E164" s="27" t="s">
        <v>245</v>
      </c>
      <c r="F164" s="27"/>
      <c r="G164" s="27" t="s">
        <v>210</v>
      </c>
      <c r="H164" s="27"/>
      <c r="I164" s="163"/>
      <c r="J164" s="27"/>
      <c r="K164" s="27"/>
      <c r="L164" s="426">
        <f t="shared" si="50"/>
        <v>114.64115745391192</v>
      </c>
      <c r="M164" s="426">
        <f t="shared" si="50"/>
        <v>115.37725403567295</v>
      </c>
      <c r="N164" s="426">
        <f t="shared" si="50"/>
        <v>116.32613989790414</v>
      </c>
      <c r="O164" s="426">
        <f t="shared" si="50"/>
        <v>117.16642538281302</v>
      </c>
      <c r="P164" s="426">
        <f t="shared" si="50"/>
        <v>117.87956609386882</v>
      </c>
      <c r="Q164" s="426">
        <f t="shared" si="50"/>
        <v>118.40721881091584</v>
      </c>
      <c r="AI164" s="107"/>
    </row>
    <row r="165" spans="3:35" outlineLevel="1">
      <c r="E165" s="27" t="s">
        <v>246</v>
      </c>
      <c r="F165" s="27"/>
      <c r="G165" s="27" t="s">
        <v>210</v>
      </c>
      <c r="H165" s="27"/>
      <c r="I165" s="163"/>
      <c r="J165" s="27"/>
      <c r="K165" s="27"/>
      <c r="L165" s="426">
        <f t="shared" si="50"/>
        <v>52.317472316949022</v>
      </c>
      <c r="M165" s="426">
        <f t="shared" si="50"/>
        <v>52.653396285218143</v>
      </c>
      <c r="N165" s="426">
        <f t="shared" si="50"/>
        <v>53.08642846085003</v>
      </c>
      <c r="O165" s="426">
        <f t="shared" si="50"/>
        <v>53.469899925823043</v>
      </c>
      <c r="P165" s="426">
        <f t="shared" si="50"/>
        <v>53.795347786236967</v>
      </c>
      <c r="Q165" s="426">
        <f t="shared" si="50"/>
        <v>54.036146614774339</v>
      </c>
      <c r="AI165" s="107"/>
    </row>
    <row r="166" spans="3:35" outlineLevel="1">
      <c r="D166" s="273" t="s">
        <v>247</v>
      </c>
      <c r="E166" s="273"/>
      <c r="F166" s="273"/>
      <c r="G166" s="273" t="s">
        <v>210</v>
      </c>
      <c r="H166" s="273"/>
      <c r="I166" s="275"/>
      <c r="J166" s="273"/>
      <c r="K166" s="273"/>
      <c r="L166" s="427">
        <f>SUM(L163:L165)</f>
        <v>352.89529358806789</v>
      </c>
      <c r="M166" s="427">
        <f t="shared" ref="M166:Q166" si="51">SUM(M163:M165)</f>
        <v>355.47932411321494</v>
      </c>
      <c r="N166" s="427">
        <f t="shared" si="51"/>
        <v>358.81034084884482</v>
      </c>
      <c r="O166" s="427">
        <f t="shared" si="51"/>
        <v>361.76012134863726</v>
      </c>
      <c r="P166" s="427">
        <f t="shared" si="51"/>
        <v>364.26356642874435</v>
      </c>
      <c r="Q166" s="427">
        <f t="shared" si="51"/>
        <v>366.11586510980112</v>
      </c>
      <c r="AI166" s="107"/>
    </row>
    <row r="167" spans="3:35" outlineLevel="1">
      <c r="L167" s="23"/>
      <c r="M167" s="21"/>
      <c r="N167" s="21"/>
      <c r="O167" s="21"/>
      <c r="P167" s="21"/>
      <c r="Q167" s="21"/>
      <c r="AI167" s="107"/>
    </row>
    <row r="168" spans="3:35" outlineLevel="1">
      <c r="D168" s="786" t="s">
        <v>212</v>
      </c>
      <c r="E168" s="787"/>
      <c r="F168" s="787"/>
      <c r="G168" s="787" t="s">
        <v>210</v>
      </c>
      <c r="H168" s="787"/>
      <c r="I168" s="788"/>
      <c r="J168" s="787"/>
      <c r="K168" s="787"/>
      <c r="L168" s="803">
        <f t="shared" ref="L168:Q168" si="52">L$166*L34/L$38</f>
        <v>28.231623487045429</v>
      </c>
      <c r="M168" s="803">
        <f t="shared" si="52"/>
        <v>28.438345929057196</v>
      </c>
      <c r="N168" s="803">
        <f t="shared" si="52"/>
        <v>28.704827267907586</v>
      </c>
      <c r="O168" s="803">
        <f t="shared" si="52"/>
        <v>28.940809707890981</v>
      </c>
      <c r="P168" s="803">
        <f t="shared" si="52"/>
        <v>29.141085314299549</v>
      </c>
      <c r="Q168" s="803">
        <f t="shared" si="52"/>
        <v>29.289269208784091</v>
      </c>
      <c r="AI168" s="107"/>
    </row>
    <row r="169" spans="3:35" outlineLevel="1">
      <c r="D169" s="27" t="s">
        <v>213</v>
      </c>
      <c r="G169" s="10" t="s">
        <v>210</v>
      </c>
      <c r="L169" s="22">
        <f t="shared" ref="L169:Q169" si="53">L$166*L37/L$38</f>
        <v>133.95905344603057</v>
      </c>
      <c r="M169" s="22">
        <f t="shared" si="53"/>
        <v>134.93995143337639</v>
      </c>
      <c r="N169" s="22">
        <f t="shared" si="53"/>
        <v>136.20440538622148</v>
      </c>
      <c r="O169" s="22">
        <f t="shared" si="53"/>
        <v>137.3241420639427</v>
      </c>
      <c r="P169" s="22">
        <f t="shared" si="53"/>
        <v>138.27444981635136</v>
      </c>
      <c r="Q169" s="22">
        <f t="shared" si="53"/>
        <v>138.97758239568051</v>
      </c>
      <c r="AI169" s="107"/>
    </row>
    <row r="170" spans="3:35" outlineLevel="1">
      <c r="D170" s="95" t="s">
        <v>214</v>
      </c>
      <c r="E170" s="62"/>
      <c r="F170" s="62"/>
      <c r="G170" s="62" t="s">
        <v>210</v>
      </c>
      <c r="H170" s="62"/>
      <c r="I170" s="212"/>
      <c r="J170" s="62"/>
      <c r="K170" s="62"/>
      <c r="L170" s="428">
        <f t="shared" ref="L170:Q170" si="54">L$166*L35/L$38</f>
        <v>190.7046166549919</v>
      </c>
      <c r="M170" s="428">
        <f t="shared" si="54"/>
        <v>192.10102675078136</v>
      </c>
      <c r="N170" s="428">
        <f t="shared" si="54"/>
        <v>193.90110819471573</v>
      </c>
      <c r="O170" s="428">
        <f t="shared" si="54"/>
        <v>195.49516957680356</v>
      </c>
      <c r="P170" s="428">
        <f t="shared" si="54"/>
        <v>196.84803129809347</v>
      </c>
      <c r="Q170" s="428">
        <f t="shared" si="54"/>
        <v>197.84901350533653</v>
      </c>
      <c r="AI170" s="107"/>
    </row>
    <row r="171" spans="3:35" outlineLevel="1">
      <c r="L171" s="429" t="str">
        <f>IF(ROUND(SUM(L168:L170)-L166,5)=0,"OK","FAIL")</f>
        <v>OK</v>
      </c>
      <c r="M171" s="429"/>
      <c r="N171" s="429"/>
      <c r="O171" s="429"/>
      <c r="P171" s="429"/>
      <c r="Q171" s="429"/>
      <c r="AI171" s="107"/>
    </row>
    <row r="172" spans="3:35" outlineLevel="1">
      <c r="L172" s="21"/>
      <c r="M172" s="21"/>
      <c r="N172" s="21"/>
      <c r="O172" s="21"/>
      <c r="P172" s="21"/>
      <c r="Q172" s="21"/>
      <c r="AI172" s="107"/>
    </row>
    <row r="173" spans="3:35" outlineLevel="1">
      <c r="C173" s="184" t="s">
        <v>248</v>
      </c>
      <c r="D173" s="321"/>
      <c r="E173" s="322"/>
      <c r="F173" s="322"/>
      <c r="G173" s="322"/>
      <c r="H173" s="322"/>
      <c r="I173" s="323"/>
      <c r="J173" s="322"/>
      <c r="K173" s="322"/>
      <c r="L173" s="411"/>
      <c r="M173" s="411"/>
      <c r="N173" s="411"/>
      <c r="O173" s="411"/>
      <c r="P173" s="411"/>
      <c r="Q173" s="411"/>
      <c r="R173" s="322"/>
      <c r="S173" s="322"/>
      <c r="T173" s="322"/>
      <c r="U173" s="322"/>
      <c r="V173" s="322"/>
      <c r="W173" s="322"/>
      <c r="X173" s="322"/>
      <c r="Y173" s="322"/>
      <c r="Z173" s="322"/>
      <c r="AA173" s="322"/>
      <c r="AB173" s="322"/>
      <c r="AC173" s="322"/>
      <c r="AD173" s="322"/>
      <c r="AE173" s="322"/>
      <c r="AF173" s="322"/>
      <c r="AG173" s="322"/>
      <c r="AH173" s="322"/>
      <c r="AI173" s="107"/>
    </row>
    <row r="174" spans="3:35" outlineLevel="1">
      <c r="L174" s="21"/>
      <c r="M174" s="21"/>
      <c r="N174" s="21"/>
      <c r="O174" s="21"/>
      <c r="P174" s="21"/>
      <c r="Q174" s="21"/>
      <c r="AI174" s="107"/>
    </row>
    <row r="175" spans="3:35" outlineLevel="1">
      <c r="D175" s="27" t="s">
        <v>249</v>
      </c>
      <c r="L175" s="21"/>
      <c r="M175" s="21"/>
      <c r="N175" s="21"/>
      <c r="O175" s="21"/>
      <c r="P175" s="21"/>
      <c r="Q175" s="21"/>
      <c r="AI175" s="107"/>
    </row>
    <row r="176" spans="3:35" outlineLevel="1">
      <c r="E176" s="787" t="s">
        <v>250</v>
      </c>
      <c r="F176" s="787"/>
      <c r="G176" s="787" t="s">
        <v>142</v>
      </c>
      <c r="H176" s="787"/>
      <c r="I176" s="788"/>
      <c r="J176" s="787"/>
      <c r="K176" s="787"/>
      <c r="L176" s="805">
        <f>'Central Inputs'!$C$17</f>
        <v>0.75</v>
      </c>
      <c r="M176" s="805">
        <f>'Central Inputs'!$C$17</f>
        <v>0.75</v>
      </c>
      <c r="N176" s="805">
        <f>'Central Inputs'!$C$17</f>
        <v>0.75</v>
      </c>
      <c r="O176" s="805">
        <f>'Central Inputs'!$C$17</f>
        <v>0.75</v>
      </c>
      <c r="P176" s="805">
        <f>'Central Inputs'!$C$17</f>
        <v>0.75</v>
      </c>
      <c r="Q176" s="805">
        <f>'Central Inputs'!$C$17</f>
        <v>0.75</v>
      </c>
      <c r="AI176" s="107"/>
    </row>
    <row r="177" spans="4:35" outlineLevel="1">
      <c r="E177" s="10" t="s">
        <v>251</v>
      </c>
      <c r="G177" s="10" t="s">
        <v>142</v>
      </c>
      <c r="L177" s="383">
        <f>'Central Inputs'!$C$18</f>
        <v>0.2</v>
      </c>
      <c r="M177" s="383">
        <f>'Central Inputs'!$C$18</f>
        <v>0.2</v>
      </c>
      <c r="N177" s="383">
        <f>'Central Inputs'!$C$18</f>
        <v>0.2</v>
      </c>
      <c r="O177" s="383">
        <f>'Central Inputs'!$C$18</f>
        <v>0.2</v>
      </c>
      <c r="P177" s="383">
        <f>'Central Inputs'!$C$18</f>
        <v>0.2</v>
      </c>
      <c r="Q177" s="383">
        <f>'Central Inputs'!$C$18</f>
        <v>0.2</v>
      </c>
      <c r="AI177" s="107"/>
    </row>
    <row r="178" spans="4:35" outlineLevel="1">
      <c r="E178" s="10" t="s">
        <v>252</v>
      </c>
      <c r="G178" s="10" t="s">
        <v>142</v>
      </c>
      <c r="L178" s="385">
        <f>'Central Inputs'!$C$19</f>
        <v>0</v>
      </c>
      <c r="M178" s="385">
        <f>'Central Inputs'!$C$19</f>
        <v>0</v>
      </c>
      <c r="N178" s="385">
        <f>'Central Inputs'!$C$19</f>
        <v>0</v>
      </c>
      <c r="O178" s="385">
        <f>'Central Inputs'!$C$19</f>
        <v>0</v>
      </c>
      <c r="P178" s="385">
        <f>'Central Inputs'!$C$19</f>
        <v>0</v>
      </c>
      <c r="Q178" s="385">
        <f>'Central Inputs'!$C$19</f>
        <v>0</v>
      </c>
      <c r="AI178" s="107"/>
    </row>
    <row r="179" spans="4:35" outlineLevel="1">
      <c r="E179" s="10" t="s">
        <v>253</v>
      </c>
      <c r="G179" s="10" t="s">
        <v>171</v>
      </c>
      <c r="I179" s="277">
        <f>'Historical Hedging'!$E$32</f>
        <v>178.10692115930257</v>
      </c>
      <c r="L179" s="22">
        <f>$I$179*L$7</f>
        <v>466.24215658041123</v>
      </c>
      <c r="M179" s="22">
        <f t="shared" ref="M179:Q179" si="55">$I$179*M$7</f>
        <v>541.46931919816507</v>
      </c>
      <c r="N179" s="22">
        <f t="shared" si="55"/>
        <v>449.32214607272437</v>
      </c>
      <c r="O179" s="22">
        <f t="shared" si="55"/>
        <v>416.81286192959362</v>
      </c>
      <c r="P179" s="22">
        <f t="shared" si="55"/>
        <v>416.81286192959362</v>
      </c>
      <c r="Q179" s="22">
        <f t="shared" si="55"/>
        <v>416.81286192959362</v>
      </c>
      <c r="AI179" s="107"/>
    </row>
    <row r="180" spans="4:35" outlineLevel="1">
      <c r="D180" s="95" t="s">
        <v>254</v>
      </c>
      <c r="E180" s="62"/>
      <c r="F180" s="62"/>
      <c r="G180" s="62" t="s">
        <v>171</v>
      </c>
      <c r="H180" s="62"/>
      <c r="I180" s="212"/>
      <c r="J180" s="62"/>
      <c r="K180" s="62"/>
      <c r="L180" s="430">
        <f>'Policy Requirements'!D$39*L179</f>
        <v>0</v>
      </c>
      <c r="M180" s="430">
        <f>'Policy Requirements'!E$39*M179</f>
        <v>0</v>
      </c>
      <c r="N180" s="430">
        <f>'Policy Requirements'!F$39*N179</f>
        <v>0</v>
      </c>
      <c r="O180" s="430">
        <f>'Policy Requirements'!G$39*O179</f>
        <v>0</v>
      </c>
      <c r="P180" s="430">
        <f>'Policy Requirements'!H$39*P179</f>
        <v>0</v>
      </c>
      <c r="Q180" s="430">
        <f>'Policy Requirements'!I$39*Q179</f>
        <v>0</v>
      </c>
      <c r="AI180" s="107"/>
    </row>
    <row r="181" spans="4:35" outlineLevel="1">
      <c r="L181" s="21"/>
      <c r="M181" s="21"/>
      <c r="N181" s="21"/>
      <c r="O181" s="21"/>
      <c r="P181" s="21"/>
      <c r="Q181" s="21"/>
      <c r="AI181" s="107"/>
    </row>
    <row r="182" spans="4:35" outlineLevel="1">
      <c r="D182" s="27" t="s">
        <v>255</v>
      </c>
      <c r="L182" s="21"/>
      <c r="M182" s="21"/>
      <c r="N182" s="21"/>
      <c r="O182" s="21"/>
      <c r="P182" s="21"/>
      <c r="Q182" s="21"/>
      <c r="AI182" s="107"/>
    </row>
    <row r="183" spans="4:35" outlineLevel="1">
      <c r="D183" s="786"/>
      <c r="E183" s="787" t="s">
        <v>179</v>
      </c>
      <c r="F183" s="787"/>
      <c r="G183" s="787" t="s">
        <v>171</v>
      </c>
      <c r="H183" s="787"/>
      <c r="I183" s="788"/>
      <c r="J183" s="787"/>
      <c r="K183" s="787"/>
      <c r="L183" s="802">
        <f>L179*L$176</f>
        <v>349.68161743530845</v>
      </c>
      <c r="M183" s="802">
        <f t="shared" ref="M183:Q183" si="56">M179*M$176</f>
        <v>406.1019893986238</v>
      </c>
      <c r="N183" s="802">
        <f t="shared" si="56"/>
        <v>336.99160955454329</v>
      </c>
      <c r="O183" s="802">
        <f t="shared" si="56"/>
        <v>312.60964644719525</v>
      </c>
      <c r="P183" s="802">
        <f t="shared" si="56"/>
        <v>312.60964644719525</v>
      </c>
      <c r="Q183" s="802">
        <f t="shared" si="56"/>
        <v>312.60964644719525</v>
      </c>
      <c r="S183" s="230"/>
      <c r="AI183" s="107"/>
    </row>
    <row r="184" spans="4:35" outlineLevel="1">
      <c r="E184" s="10" t="s">
        <v>189</v>
      </c>
      <c r="G184" s="10" t="s">
        <v>171</v>
      </c>
      <c r="L184" s="418">
        <f>L$177*L179</f>
        <v>93.248431316082247</v>
      </c>
      <c r="M184" s="418">
        <f t="shared" ref="M184:Q184" si="57">M$177*M179</f>
        <v>108.29386383963302</v>
      </c>
      <c r="N184" s="418">
        <f t="shared" si="57"/>
        <v>89.864429214544884</v>
      </c>
      <c r="O184" s="418">
        <f t="shared" si="57"/>
        <v>83.362572385918725</v>
      </c>
      <c r="P184" s="418">
        <f t="shared" si="57"/>
        <v>83.362572385918725</v>
      </c>
      <c r="Q184" s="418">
        <f t="shared" si="57"/>
        <v>83.362572385918725</v>
      </c>
      <c r="S184" s="230"/>
      <c r="AI184" s="107"/>
    </row>
    <row r="185" spans="4:35" outlineLevel="1">
      <c r="D185" s="95"/>
      <c r="E185" s="62" t="s">
        <v>190</v>
      </c>
      <c r="F185" s="62"/>
      <c r="G185" s="62" t="s">
        <v>171</v>
      </c>
      <c r="H185" s="62"/>
      <c r="I185" s="212"/>
      <c r="J185" s="62"/>
      <c r="K185" s="62"/>
      <c r="L185" s="423">
        <f>L$178*L179</f>
        <v>0</v>
      </c>
      <c r="M185" s="423">
        <f>M$178*M179</f>
        <v>0</v>
      </c>
      <c r="N185" s="423">
        <f t="shared" ref="N185:Q185" si="58">N$178*N179</f>
        <v>0</v>
      </c>
      <c r="O185" s="423">
        <f t="shared" si="58"/>
        <v>0</v>
      </c>
      <c r="P185" s="423">
        <f t="shared" si="58"/>
        <v>0</v>
      </c>
      <c r="Q185" s="423">
        <f t="shared" si="58"/>
        <v>0</v>
      </c>
      <c r="AI185" s="107"/>
    </row>
    <row r="186" spans="4:35" outlineLevel="1">
      <c r="L186" s="418"/>
      <c r="M186" s="418"/>
      <c r="N186" s="418"/>
      <c r="O186" s="418"/>
      <c r="P186" s="418"/>
      <c r="Q186" s="418"/>
      <c r="R186" s="51"/>
      <c r="S186" s="51"/>
      <c r="AI186" s="107"/>
    </row>
    <row r="187" spans="4:35" outlineLevel="1">
      <c r="D187" s="27" t="s">
        <v>256</v>
      </c>
      <c r="L187" s="418"/>
      <c r="M187" s="418"/>
      <c r="N187" s="418"/>
      <c r="O187" s="418"/>
      <c r="P187" s="418"/>
      <c r="Q187" s="418"/>
      <c r="R187" s="51"/>
      <c r="S187" s="51"/>
      <c r="AI187" s="107"/>
    </row>
    <row r="188" spans="4:35" outlineLevel="1">
      <c r="D188" s="786"/>
      <c r="E188" s="787" t="s">
        <v>179</v>
      </c>
      <c r="F188" s="787"/>
      <c r="G188" s="787" t="s">
        <v>171</v>
      </c>
      <c r="H188" s="787"/>
      <c r="I188" s="788"/>
      <c r="J188" s="787"/>
      <c r="K188" s="787"/>
      <c r="L188" s="802">
        <f>MAX(L$180-L183,0)</f>
        <v>0</v>
      </c>
      <c r="M188" s="802">
        <f t="shared" ref="M188:Q188" si="59">MAX(M$180-M183,0)</f>
        <v>0</v>
      </c>
      <c r="N188" s="802">
        <f t="shared" si="59"/>
        <v>0</v>
      </c>
      <c r="O188" s="802">
        <f t="shared" si="59"/>
        <v>0</v>
      </c>
      <c r="P188" s="802">
        <f t="shared" si="59"/>
        <v>0</v>
      </c>
      <c r="Q188" s="802">
        <f t="shared" si="59"/>
        <v>0</v>
      </c>
      <c r="R188" s="51"/>
      <c r="S188" s="51"/>
      <c r="AI188" s="107"/>
    </row>
    <row r="189" spans="4:35" outlineLevel="1">
      <c r="E189" s="10" t="s">
        <v>189</v>
      </c>
      <c r="G189" s="10" t="s">
        <v>171</v>
      </c>
      <c r="L189" s="418">
        <f t="shared" ref="L189:Q189" si="60">MAX(L$180-L184,0)</f>
        <v>0</v>
      </c>
      <c r="M189" s="418">
        <f t="shared" si="60"/>
        <v>0</v>
      </c>
      <c r="N189" s="418">
        <f t="shared" si="60"/>
        <v>0</v>
      </c>
      <c r="O189" s="418">
        <f t="shared" si="60"/>
        <v>0</v>
      </c>
      <c r="P189" s="418">
        <f t="shared" si="60"/>
        <v>0</v>
      </c>
      <c r="Q189" s="418">
        <f t="shared" si="60"/>
        <v>0</v>
      </c>
      <c r="R189" s="51"/>
      <c r="S189" s="51"/>
      <c r="AI189" s="107"/>
    </row>
    <row r="190" spans="4:35" outlineLevel="1">
      <c r="D190" s="95"/>
      <c r="E190" s="62" t="s">
        <v>190</v>
      </c>
      <c r="F190" s="62"/>
      <c r="G190" s="62" t="s">
        <v>171</v>
      </c>
      <c r="H190" s="62"/>
      <c r="I190" s="212"/>
      <c r="J190" s="62"/>
      <c r="K190" s="62"/>
      <c r="L190" s="423">
        <f t="shared" ref="L190:Q190" si="61">MAX(L$180-L185,0)</f>
        <v>0</v>
      </c>
      <c r="M190" s="423">
        <f t="shared" si="61"/>
        <v>0</v>
      </c>
      <c r="N190" s="423">
        <f t="shared" si="61"/>
        <v>0</v>
      </c>
      <c r="O190" s="423">
        <f t="shared" si="61"/>
        <v>0</v>
      </c>
      <c r="P190" s="423">
        <f t="shared" si="61"/>
        <v>0</v>
      </c>
      <c r="Q190" s="423">
        <f t="shared" si="61"/>
        <v>0</v>
      </c>
      <c r="R190" s="51"/>
      <c r="S190" s="51"/>
      <c r="AI190" s="107"/>
    </row>
    <row r="191" spans="4:35" outlineLevel="1">
      <c r="L191" s="418"/>
      <c r="M191" s="418"/>
      <c r="N191" s="418"/>
      <c r="O191" s="418"/>
      <c r="P191" s="418"/>
      <c r="Q191" s="418"/>
      <c r="R191" s="51"/>
      <c r="S191" s="51"/>
      <c r="AI191" s="107"/>
    </row>
    <row r="192" spans="4:35" outlineLevel="1">
      <c r="D192" s="27" t="s">
        <v>257</v>
      </c>
      <c r="L192" s="418"/>
      <c r="M192" s="418"/>
      <c r="N192" s="418"/>
      <c r="O192" s="418"/>
      <c r="P192" s="418"/>
      <c r="Q192" s="418"/>
      <c r="R192" s="51"/>
      <c r="S192" s="51"/>
      <c r="AI192" s="107"/>
    </row>
    <row r="193" spans="4:35" outlineLevel="1">
      <c r="D193" s="786"/>
      <c r="E193" s="787" t="s">
        <v>179</v>
      </c>
      <c r="F193" s="787"/>
      <c r="G193" s="787" t="s">
        <v>171</v>
      </c>
      <c r="H193" s="787"/>
      <c r="I193" s="788"/>
      <c r="J193" s="787"/>
      <c r="K193" s="787"/>
      <c r="L193" s="802">
        <f>L188*L86</f>
        <v>0</v>
      </c>
      <c r="M193" s="802">
        <f t="shared" ref="M193:Q195" si="62">M188*M88</f>
        <v>0</v>
      </c>
      <c r="N193" s="802">
        <f t="shared" si="62"/>
        <v>0</v>
      </c>
      <c r="O193" s="802">
        <f t="shared" si="62"/>
        <v>0</v>
      </c>
      <c r="P193" s="802">
        <f t="shared" si="62"/>
        <v>0</v>
      </c>
      <c r="Q193" s="802">
        <f t="shared" si="62"/>
        <v>0</v>
      </c>
      <c r="R193" s="51"/>
      <c r="S193" s="51"/>
      <c r="AI193" s="107"/>
    </row>
    <row r="194" spans="4:35" outlineLevel="1">
      <c r="E194" s="10" t="s">
        <v>189</v>
      </c>
      <c r="G194" s="10" t="s">
        <v>171</v>
      </c>
      <c r="L194" s="418">
        <f>L189*L87</f>
        <v>0</v>
      </c>
      <c r="M194" s="418">
        <f t="shared" si="62"/>
        <v>0</v>
      </c>
      <c r="N194" s="418">
        <f t="shared" si="62"/>
        <v>0</v>
      </c>
      <c r="O194" s="418">
        <f t="shared" si="62"/>
        <v>0</v>
      </c>
      <c r="P194" s="418">
        <f t="shared" si="62"/>
        <v>0</v>
      </c>
      <c r="Q194" s="418">
        <f t="shared" si="62"/>
        <v>0</v>
      </c>
      <c r="R194" s="51"/>
      <c r="S194" s="51"/>
      <c r="AI194" s="107"/>
    </row>
    <row r="195" spans="4:35" outlineLevel="1">
      <c r="D195" s="95"/>
      <c r="E195" s="62" t="s">
        <v>190</v>
      </c>
      <c r="F195" s="62"/>
      <c r="G195" s="62" t="s">
        <v>171</v>
      </c>
      <c r="H195" s="62"/>
      <c r="I195" s="212"/>
      <c r="J195" s="62"/>
      <c r="K195" s="62"/>
      <c r="L195" s="423">
        <f>L190*L88</f>
        <v>0</v>
      </c>
      <c r="M195" s="423">
        <f t="shared" si="62"/>
        <v>0</v>
      </c>
      <c r="N195" s="423">
        <f t="shared" si="62"/>
        <v>0</v>
      </c>
      <c r="O195" s="423">
        <f t="shared" si="62"/>
        <v>0</v>
      </c>
      <c r="P195" s="423">
        <f t="shared" si="62"/>
        <v>0</v>
      </c>
      <c r="Q195" s="423">
        <f t="shared" si="62"/>
        <v>0</v>
      </c>
      <c r="R195" s="51"/>
      <c r="S195" s="51"/>
      <c r="AI195" s="107"/>
    </row>
    <row r="196" spans="4:35" outlineLevel="1">
      <c r="L196" s="418"/>
      <c r="M196" s="418"/>
      <c r="N196" s="418"/>
      <c r="O196" s="418"/>
      <c r="P196" s="418"/>
      <c r="Q196" s="418"/>
      <c r="R196" s="51"/>
      <c r="S196" s="51"/>
      <c r="AI196" s="107"/>
    </row>
    <row r="197" spans="4:35" outlineLevel="1">
      <c r="D197" s="27" t="s">
        <v>258</v>
      </c>
      <c r="L197" s="418"/>
      <c r="M197" s="418"/>
      <c r="N197" s="418"/>
      <c r="O197" s="418"/>
      <c r="P197" s="418"/>
      <c r="Q197" s="418"/>
      <c r="R197" s="51"/>
      <c r="S197" s="51"/>
      <c r="AI197" s="107"/>
    </row>
    <row r="198" spans="4:35" outlineLevel="1">
      <c r="D198" s="786"/>
      <c r="E198" s="787" t="s">
        <v>179</v>
      </c>
      <c r="F198" s="787"/>
      <c r="G198" s="787" t="s">
        <v>171</v>
      </c>
      <c r="H198" s="787"/>
      <c r="I198" s="788"/>
      <c r="J198" s="787"/>
      <c r="K198" s="787"/>
      <c r="L198" s="802">
        <f t="shared" ref="L198:Q200" si="63">L183+L188</f>
        <v>349.68161743530845</v>
      </c>
      <c r="M198" s="802">
        <f t="shared" si="63"/>
        <v>406.1019893986238</v>
      </c>
      <c r="N198" s="802">
        <f t="shared" si="63"/>
        <v>336.99160955454329</v>
      </c>
      <c r="O198" s="802">
        <f t="shared" si="63"/>
        <v>312.60964644719525</v>
      </c>
      <c r="P198" s="802">
        <f t="shared" si="63"/>
        <v>312.60964644719525</v>
      </c>
      <c r="Q198" s="802">
        <f t="shared" si="63"/>
        <v>312.60964644719525</v>
      </c>
      <c r="R198" s="51"/>
      <c r="S198" s="51"/>
      <c r="AI198" s="107"/>
    </row>
    <row r="199" spans="4:35" outlineLevel="1">
      <c r="E199" s="10" t="s">
        <v>189</v>
      </c>
      <c r="G199" s="10" t="s">
        <v>171</v>
      </c>
      <c r="L199" s="418">
        <f t="shared" si="63"/>
        <v>93.248431316082247</v>
      </c>
      <c r="M199" s="418">
        <f t="shared" si="63"/>
        <v>108.29386383963302</v>
      </c>
      <c r="N199" s="418">
        <f t="shared" si="63"/>
        <v>89.864429214544884</v>
      </c>
      <c r="O199" s="418">
        <f t="shared" si="63"/>
        <v>83.362572385918725</v>
      </c>
      <c r="P199" s="418">
        <f t="shared" si="63"/>
        <v>83.362572385918725</v>
      </c>
      <c r="Q199" s="418">
        <f t="shared" si="63"/>
        <v>83.362572385918725</v>
      </c>
      <c r="R199" s="51"/>
      <c r="S199" s="51"/>
      <c r="AI199" s="107"/>
    </row>
    <row r="200" spans="4:35" outlineLevel="1">
      <c r="D200" s="95"/>
      <c r="E200" s="62" t="s">
        <v>190</v>
      </c>
      <c r="F200" s="62"/>
      <c r="G200" s="62" t="s">
        <v>171</v>
      </c>
      <c r="H200" s="62"/>
      <c r="I200" s="212"/>
      <c r="J200" s="62"/>
      <c r="K200" s="62"/>
      <c r="L200" s="423">
        <f t="shared" si="63"/>
        <v>0</v>
      </c>
      <c r="M200" s="423">
        <f t="shared" si="63"/>
        <v>0</v>
      </c>
      <c r="N200" s="423">
        <f t="shared" si="63"/>
        <v>0</v>
      </c>
      <c r="O200" s="423">
        <f t="shared" si="63"/>
        <v>0</v>
      </c>
      <c r="P200" s="423">
        <f t="shared" si="63"/>
        <v>0</v>
      </c>
      <c r="Q200" s="423">
        <f t="shared" si="63"/>
        <v>0</v>
      </c>
      <c r="R200" s="51"/>
      <c r="S200" s="51"/>
      <c r="AI200" s="107"/>
    </row>
    <row r="201" spans="4:35" outlineLevel="1">
      <c r="L201" s="418"/>
      <c r="M201" s="418"/>
      <c r="N201" s="418"/>
      <c r="O201" s="418"/>
      <c r="P201" s="418"/>
      <c r="Q201" s="418"/>
      <c r="R201" s="51"/>
      <c r="S201" s="51"/>
      <c r="AI201" s="107"/>
    </row>
    <row r="202" spans="4:35" outlineLevel="1">
      <c r="D202" s="27" t="s">
        <v>259</v>
      </c>
      <c r="L202" s="418"/>
      <c r="M202" s="418"/>
      <c r="N202" s="418"/>
      <c r="O202" s="418"/>
      <c r="P202" s="418"/>
      <c r="Q202" s="418"/>
      <c r="R202" s="51"/>
      <c r="S202" s="51"/>
      <c r="AI202" s="107"/>
    </row>
    <row r="203" spans="4:35" outlineLevel="1">
      <c r="D203" s="786"/>
      <c r="E203" s="787" t="s">
        <v>179</v>
      </c>
      <c r="F203" s="787"/>
      <c r="G203" s="787" t="s">
        <v>171</v>
      </c>
      <c r="H203" s="787"/>
      <c r="I203" s="788"/>
      <c r="J203" s="787"/>
      <c r="K203" s="787"/>
      <c r="L203" s="802">
        <f>L198*L86</f>
        <v>29.426830353409805</v>
      </c>
      <c r="M203" s="802">
        <f t="shared" ref="M203:Q203" si="64">M198*M86</f>
        <v>34.452690125688029</v>
      </c>
      <c r="N203" s="802">
        <f t="shared" si="64"/>
        <v>28.886811254842485</v>
      </c>
      <c r="O203" s="802">
        <f t="shared" si="64"/>
        <v>27.041002407487088</v>
      </c>
      <c r="P203" s="802">
        <f t="shared" si="64"/>
        <v>27.248256497231075</v>
      </c>
      <c r="Q203" s="802">
        <f t="shared" si="64"/>
        <v>27.401603770605245</v>
      </c>
      <c r="R203" s="51"/>
      <c r="S203" s="103"/>
      <c r="AI203" s="107"/>
    </row>
    <row r="204" spans="4:35" outlineLevel="1">
      <c r="E204" s="10" t="s">
        <v>189</v>
      </c>
      <c r="G204" s="10" t="s">
        <v>171</v>
      </c>
      <c r="L204" s="418">
        <f>L199*L87</f>
        <v>9.9381969933043433</v>
      </c>
      <c r="M204" s="418">
        <f t="shared" ref="M204:Q204" si="65">M199*M87</f>
        <v>11.615811403306338</v>
      </c>
      <c r="N204" s="418">
        <f t="shared" si="65"/>
        <v>9.7183076070844407</v>
      </c>
      <c r="O204" s="418">
        <f t="shared" si="65"/>
        <v>9.0802915291226807</v>
      </c>
      <c r="P204" s="418">
        <f t="shared" si="65"/>
        <v>9.1355592863877426</v>
      </c>
      <c r="Q204" s="418">
        <f t="shared" si="65"/>
        <v>9.1764518926208556</v>
      </c>
      <c r="R204" s="51"/>
      <c r="S204" s="103"/>
      <c r="AI204" s="107"/>
    </row>
    <row r="205" spans="4:35" outlineLevel="1">
      <c r="D205" s="95"/>
      <c r="E205" s="62" t="s">
        <v>190</v>
      </c>
      <c r="F205" s="62"/>
      <c r="G205" s="62" t="s">
        <v>171</v>
      </c>
      <c r="H205" s="62"/>
      <c r="I205" s="212"/>
      <c r="J205" s="62"/>
      <c r="K205" s="62"/>
      <c r="L205" s="418">
        <f>L200*L88</f>
        <v>0</v>
      </c>
      <c r="M205" s="418">
        <f t="shared" ref="M205:Q205" si="66">M200*M88</f>
        <v>0</v>
      </c>
      <c r="N205" s="418">
        <f t="shared" si="66"/>
        <v>0</v>
      </c>
      <c r="O205" s="418">
        <f t="shared" si="66"/>
        <v>0</v>
      </c>
      <c r="P205" s="418">
        <f t="shared" si="66"/>
        <v>0</v>
      </c>
      <c r="Q205" s="418">
        <f t="shared" si="66"/>
        <v>0</v>
      </c>
      <c r="R205" s="418"/>
      <c r="S205" s="418"/>
      <c r="T205" s="418"/>
      <c r="U205" s="418"/>
      <c r="V205" s="418"/>
      <c r="W205" s="418"/>
      <c r="X205" s="418"/>
      <c r="Y205" s="418"/>
      <c r="Z205" s="418"/>
      <c r="AA205" s="418"/>
      <c r="AB205" s="418"/>
      <c r="AC205" s="418"/>
      <c r="AD205" s="418"/>
      <c r="AE205" s="418"/>
      <c r="AF205" s="418"/>
      <c r="AG205" s="418"/>
      <c r="AH205" s="418"/>
      <c r="AI205" s="418"/>
    </row>
    <row r="206" spans="4:35" outlineLevel="1">
      <c r="D206" s="786" t="s">
        <v>260</v>
      </c>
      <c r="E206" s="787"/>
      <c r="F206" s="787"/>
      <c r="G206" s="787" t="s">
        <v>210</v>
      </c>
      <c r="H206" s="787"/>
      <c r="I206" s="788"/>
      <c r="J206" s="787"/>
      <c r="K206" s="787"/>
      <c r="L206" s="806">
        <f>L203*L$28</f>
        <v>503.23383370753601</v>
      </c>
      <c r="M206" s="806">
        <f t="shared" ref="M206:Q206" si="67">M203*M$28</f>
        <v>589.18201944501175</v>
      </c>
      <c r="N206" s="806">
        <f t="shared" si="67"/>
        <v>493.99886419217904</v>
      </c>
      <c r="O206" s="806">
        <f t="shared" si="67"/>
        <v>462.4333353400948</v>
      </c>
      <c r="P206" s="806">
        <f t="shared" si="67"/>
        <v>465.97762702495675</v>
      </c>
      <c r="Q206" s="806">
        <f t="shared" si="67"/>
        <v>468.60004797012454</v>
      </c>
      <c r="R206" s="51"/>
      <c r="S206" s="51"/>
      <c r="AI206" s="107"/>
    </row>
    <row r="207" spans="4:35" outlineLevel="1">
      <c r="D207" s="27" t="s">
        <v>261</v>
      </c>
      <c r="G207" s="10" t="s">
        <v>210</v>
      </c>
      <c r="L207" s="421">
        <f>L204*L$29</f>
        <v>82.739728653576776</v>
      </c>
      <c r="M207" s="421">
        <f t="shared" ref="M207:Q207" si="68">M204*M$29</f>
        <v>96.706584126698573</v>
      </c>
      <c r="N207" s="421">
        <f t="shared" si="68"/>
        <v>80.909055729514805</v>
      </c>
      <c r="O207" s="421">
        <f t="shared" si="68"/>
        <v>75.597299763846081</v>
      </c>
      <c r="P207" s="421">
        <f t="shared" si="68"/>
        <v>76.057427415017003</v>
      </c>
      <c r="Q207" s="421">
        <f t="shared" si="68"/>
        <v>76.397875802782394</v>
      </c>
      <c r="R207" s="51"/>
      <c r="S207" s="51"/>
      <c r="AI207" s="107"/>
    </row>
    <row r="208" spans="4:35" outlineLevel="1">
      <c r="D208" s="95" t="s">
        <v>262</v>
      </c>
      <c r="E208" s="62"/>
      <c r="F208" s="62"/>
      <c r="G208" s="62" t="s">
        <v>210</v>
      </c>
      <c r="H208" s="62"/>
      <c r="I208" s="212"/>
      <c r="J208" s="62"/>
      <c r="K208" s="62"/>
      <c r="L208" s="422">
        <f>L205*L$30</f>
        <v>0</v>
      </c>
      <c r="M208" s="422">
        <f t="shared" ref="M208:Q208" si="69">M205*M$30</f>
        <v>0</v>
      </c>
      <c r="N208" s="422">
        <f t="shared" si="69"/>
        <v>0</v>
      </c>
      <c r="O208" s="422">
        <f t="shared" si="69"/>
        <v>0</v>
      </c>
      <c r="P208" s="422">
        <f t="shared" si="69"/>
        <v>0</v>
      </c>
      <c r="Q208" s="422">
        <f t="shared" si="69"/>
        <v>0</v>
      </c>
      <c r="R208" s="51"/>
      <c r="S208" s="51"/>
      <c r="AI208" s="107"/>
    </row>
    <row r="209" spans="4:35" outlineLevel="1">
      <c r="L209" s="418"/>
      <c r="M209" s="418"/>
      <c r="N209" s="418"/>
      <c r="O209" s="418"/>
      <c r="P209" s="418"/>
      <c r="Q209" s="418"/>
      <c r="AI209" s="107"/>
    </row>
    <row r="210" spans="4:35" outlineLevel="1">
      <c r="D210" s="786" t="s">
        <v>212</v>
      </c>
      <c r="E210" s="787"/>
      <c r="F210" s="787"/>
      <c r="G210" s="787" t="s">
        <v>210</v>
      </c>
      <c r="H210" s="787"/>
      <c r="I210" s="788"/>
      <c r="J210" s="787"/>
      <c r="K210" s="787"/>
      <c r="L210" s="802">
        <f t="shared" ref="L210:Q210" si="70">SUM(L207:L208)*L$34/L$31</f>
        <v>15.955066120866213</v>
      </c>
      <c r="M210" s="802">
        <f t="shared" si="70"/>
        <v>18.648356347949974</v>
      </c>
      <c r="N210" s="802">
        <f t="shared" si="70"/>
        <v>15.602049401759224</v>
      </c>
      <c r="O210" s="802">
        <f t="shared" si="70"/>
        <v>14.577760114988806</v>
      </c>
      <c r="P210" s="802">
        <f t="shared" si="70"/>
        <v>14.666488555581216</v>
      </c>
      <c r="Q210" s="802">
        <f t="shared" si="70"/>
        <v>14.732138716947853</v>
      </c>
      <c r="AI210" s="107"/>
    </row>
    <row r="211" spans="4:35" outlineLevel="1">
      <c r="D211" s="27" t="s">
        <v>213</v>
      </c>
      <c r="G211" s="10" t="s">
        <v>210</v>
      </c>
      <c r="L211" s="418">
        <f t="shared" ref="L211:Q211" si="71">L206-L212+SUM(L207:L208)-L210</f>
        <v>105.25912461129855</v>
      </c>
      <c r="M211" s="418">
        <f t="shared" si="71"/>
        <v>123.10381046049102</v>
      </c>
      <c r="N211" s="418">
        <f t="shared" si="71"/>
        <v>103.07541396283017</v>
      </c>
      <c r="O211" s="418">
        <f t="shared" si="71"/>
        <v>96.374622381147375</v>
      </c>
      <c r="P211" s="418">
        <f t="shared" si="71"/>
        <v>97.016998435671397</v>
      </c>
      <c r="Q211" s="418">
        <f t="shared" si="71"/>
        <v>97.492292392783639</v>
      </c>
      <c r="AI211" s="107"/>
    </row>
    <row r="212" spans="4:35" outlineLevel="1">
      <c r="D212" s="95" t="s">
        <v>214</v>
      </c>
      <c r="E212" s="62"/>
      <c r="F212" s="62"/>
      <c r="G212" s="62" t="s">
        <v>210</v>
      </c>
      <c r="H212" s="62"/>
      <c r="I212" s="212"/>
      <c r="J212" s="62"/>
      <c r="K212" s="62"/>
      <c r="L212" s="423">
        <f t="shared" ref="L212:Q212" si="72">L206*L$35/L$28</f>
        <v>464.75937162894803</v>
      </c>
      <c r="M212" s="423">
        <f t="shared" si="72"/>
        <v>544.13643676326933</v>
      </c>
      <c r="N212" s="423">
        <f t="shared" si="72"/>
        <v>456.23045655710445</v>
      </c>
      <c r="O212" s="423">
        <f t="shared" si="72"/>
        <v>427.0782526078047</v>
      </c>
      <c r="P212" s="423">
        <f t="shared" si="72"/>
        <v>430.35156744872114</v>
      </c>
      <c r="Q212" s="423">
        <f t="shared" si="72"/>
        <v>432.77349266317543</v>
      </c>
      <c r="AI212" s="107"/>
    </row>
    <row r="213" spans="4:35" outlineLevel="1">
      <c r="E213" s="10" t="s">
        <v>263</v>
      </c>
      <c r="L213" s="429" t="str">
        <f>IF(ROUND(SUM(L210:L212)-SUM(L206:L208),5)=0,"OK","FAIL")</f>
        <v>OK</v>
      </c>
      <c r="M213" s="429" t="str">
        <f t="shared" ref="M213:Q213" si="73">IF(ROUND(SUM(M210:M212)-SUM(M206:M208),5)=0,"OK","FAIL")</f>
        <v>OK</v>
      </c>
      <c r="N213" s="429" t="str">
        <f t="shared" si="73"/>
        <v>OK</v>
      </c>
      <c r="O213" s="429" t="str">
        <f t="shared" si="73"/>
        <v>OK</v>
      </c>
      <c r="P213" s="429" t="str">
        <f t="shared" si="73"/>
        <v>OK</v>
      </c>
      <c r="Q213" s="429" t="str">
        <f t="shared" si="73"/>
        <v>OK</v>
      </c>
      <c r="AI213" s="107"/>
    </row>
    <row r="214" spans="4:35" outlineLevel="1">
      <c r="D214" s="27" t="s">
        <v>264</v>
      </c>
      <c r="L214" s="418"/>
      <c r="M214" s="418"/>
      <c r="N214" s="418"/>
      <c r="O214" s="418"/>
      <c r="P214" s="418"/>
      <c r="Q214" s="418"/>
      <c r="AI214" s="107"/>
    </row>
    <row r="215" spans="4:35" outlineLevel="1">
      <c r="D215" s="786"/>
      <c r="E215" s="787" t="s">
        <v>179</v>
      </c>
      <c r="F215" s="787"/>
      <c r="G215" s="787" t="s">
        <v>171</v>
      </c>
      <c r="H215" s="787"/>
      <c r="I215" s="788"/>
      <c r="J215" s="787"/>
      <c r="K215" s="787"/>
      <c r="L215" s="802">
        <f>L$179-L198</f>
        <v>116.56053914510278</v>
      </c>
      <c r="M215" s="802">
        <f t="shared" ref="L215:Q217" si="74">M$179-M198</f>
        <v>135.36732979954127</v>
      </c>
      <c r="N215" s="802">
        <f t="shared" si="74"/>
        <v>112.33053651818108</v>
      </c>
      <c r="O215" s="802">
        <f t="shared" si="74"/>
        <v>104.20321548239838</v>
      </c>
      <c r="P215" s="802">
        <f t="shared" si="74"/>
        <v>104.20321548239838</v>
      </c>
      <c r="Q215" s="802">
        <f>Q$179-Q198</f>
        <v>104.20321548239838</v>
      </c>
      <c r="AI215" s="107"/>
    </row>
    <row r="216" spans="4:35" outlineLevel="1">
      <c r="E216" s="10" t="s">
        <v>189</v>
      </c>
      <c r="G216" s="10" t="s">
        <v>171</v>
      </c>
      <c r="L216" s="418">
        <f t="shared" si="74"/>
        <v>372.99372526432899</v>
      </c>
      <c r="M216" s="418">
        <f t="shared" si="74"/>
        <v>433.17545535853208</v>
      </c>
      <c r="N216" s="418">
        <f t="shared" si="74"/>
        <v>359.45771685817948</v>
      </c>
      <c r="O216" s="418">
        <f t="shared" si="74"/>
        <v>333.4502895436749</v>
      </c>
      <c r="P216" s="418">
        <f t="shared" si="74"/>
        <v>333.4502895436749</v>
      </c>
      <c r="Q216" s="418">
        <f t="shared" si="74"/>
        <v>333.4502895436749</v>
      </c>
      <c r="AI216" s="107"/>
    </row>
    <row r="217" spans="4:35" outlineLevel="1">
      <c r="D217" s="95"/>
      <c r="E217" s="62" t="s">
        <v>190</v>
      </c>
      <c r="F217" s="62"/>
      <c r="G217" s="62" t="s">
        <v>171</v>
      </c>
      <c r="H217" s="62"/>
      <c r="I217" s="212"/>
      <c r="J217" s="62"/>
      <c r="K217" s="62"/>
      <c r="L217" s="423">
        <f t="shared" si="74"/>
        <v>466.24215658041123</v>
      </c>
      <c r="M217" s="423">
        <f t="shared" si="74"/>
        <v>541.46931919816507</v>
      </c>
      <c r="N217" s="423">
        <f t="shared" si="74"/>
        <v>449.32214607272437</v>
      </c>
      <c r="O217" s="423">
        <f t="shared" si="74"/>
        <v>416.81286192959362</v>
      </c>
      <c r="P217" s="423">
        <f t="shared" si="74"/>
        <v>416.81286192959362</v>
      </c>
      <c r="Q217" s="423">
        <f t="shared" si="74"/>
        <v>416.81286192959362</v>
      </c>
      <c r="AI217" s="107"/>
    </row>
    <row r="218" spans="4:35" outlineLevel="1">
      <c r="E218" s="27"/>
      <c r="F218" s="27"/>
      <c r="G218" s="27"/>
      <c r="H218" s="27"/>
      <c r="I218" s="163"/>
      <c r="J218" s="27"/>
      <c r="K218" s="27"/>
      <c r="L218" s="421"/>
      <c r="M218" s="421"/>
      <c r="N218" s="421"/>
      <c r="O218" s="421"/>
      <c r="P218" s="421"/>
      <c r="Q218" s="421"/>
      <c r="AI218" s="107"/>
    </row>
    <row r="219" spans="4:35" outlineLevel="1">
      <c r="D219" s="27" t="s">
        <v>265</v>
      </c>
      <c r="L219" s="418"/>
      <c r="M219" s="418"/>
      <c r="N219" s="418"/>
      <c r="O219" s="418"/>
      <c r="P219" s="418"/>
      <c r="Q219" s="418"/>
      <c r="AI219" s="107"/>
    </row>
    <row r="220" spans="4:35" outlineLevel="1">
      <c r="D220" s="786"/>
      <c r="E220" s="787" t="s">
        <v>179</v>
      </c>
      <c r="F220" s="787"/>
      <c r="G220" s="787" t="s">
        <v>171</v>
      </c>
      <c r="H220" s="787"/>
      <c r="I220" s="788"/>
      <c r="J220" s="787"/>
      <c r="K220" s="787"/>
      <c r="L220" s="802">
        <f>L215*L86</f>
        <v>9.8089434511365994</v>
      </c>
      <c r="M220" s="802">
        <f t="shared" ref="M220:Q220" si="75">M215*M86</f>
        <v>11.48423004189601</v>
      </c>
      <c r="N220" s="802">
        <f t="shared" si="75"/>
        <v>9.6289370849474931</v>
      </c>
      <c r="O220" s="802">
        <f t="shared" si="75"/>
        <v>9.0136674691623604</v>
      </c>
      <c r="P220" s="802">
        <f t="shared" si="75"/>
        <v>9.0827521657436883</v>
      </c>
      <c r="Q220" s="802">
        <f t="shared" si="75"/>
        <v>9.1338679235350781</v>
      </c>
      <c r="S220" s="103"/>
      <c r="AI220" s="107"/>
    </row>
    <row r="221" spans="4:35" outlineLevel="1">
      <c r="E221" s="10" t="s">
        <v>189</v>
      </c>
      <c r="G221" s="10" t="s">
        <v>171</v>
      </c>
      <c r="L221" s="418">
        <f>L216*L87</f>
        <v>39.752787973217373</v>
      </c>
      <c r="M221" s="418">
        <f t="shared" ref="M221:Q221" si="76">M216*M87</f>
        <v>46.463245613225354</v>
      </c>
      <c r="N221" s="418">
        <f t="shared" si="76"/>
        <v>38.873230428337756</v>
      </c>
      <c r="O221" s="418">
        <f t="shared" si="76"/>
        <v>36.321166116490723</v>
      </c>
      <c r="P221" s="418">
        <f t="shared" si="76"/>
        <v>36.54223714555097</v>
      </c>
      <c r="Q221" s="418">
        <f t="shared" si="76"/>
        <v>36.705807570483422</v>
      </c>
      <c r="S221" s="103"/>
      <c r="AI221" s="107"/>
    </row>
    <row r="222" spans="4:35" outlineLevel="1">
      <c r="D222" s="95"/>
      <c r="E222" s="62" t="s">
        <v>190</v>
      </c>
      <c r="F222" s="62"/>
      <c r="G222" s="62" t="s">
        <v>171</v>
      </c>
      <c r="H222" s="62"/>
      <c r="I222" s="212"/>
      <c r="J222" s="62"/>
      <c r="K222" s="62"/>
      <c r="L222" s="423">
        <f>L217*L88</f>
        <v>49.690984966521718</v>
      </c>
      <c r="M222" s="423">
        <f t="shared" ref="M222:Q222" si="77">M217*M88</f>
        <v>58.079057016531685</v>
      </c>
      <c r="N222" s="423">
        <f t="shared" si="77"/>
        <v>48.591538035422197</v>
      </c>
      <c r="O222" s="423">
        <f t="shared" si="77"/>
        <v>45.401457645613398</v>
      </c>
      <c r="P222" s="423">
        <f t="shared" si="77"/>
        <v>45.677796431938717</v>
      </c>
      <c r="Q222" s="423">
        <f t="shared" si="77"/>
        <v>45.882259463104276</v>
      </c>
      <c r="S222" s="103"/>
      <c r="AI222" s="107"/>
    </row>
    <row r="223" spans="4:35" outlineLevel="1">
      <c r="D223" s="807"/>
      <c r="E223" s="808" t="s">
        <v>179</v>
      </c>
      <c r="F223" s="808"/>
      <c r="G223" s="808" t="s">
        <v>210</v>
      </c>
      <c r="H223" s="808"/>
      <c r="I223" s="809"/>
      <c r="J223" s="808"/>
      <c r="K223" s="808"/>
      <c r="L223" s="802">
        <f>L220*L$28</f>
        <v>167.7446112358453</v>
      </c>
      <c r="M223" s="802">
        <f t="shared" ref="M223:P223" si="78">M220*M$28</f>
        <v>196.39400648167057</v>
      </c>
      <c r="N223" s="802">
        <f t="shared" si="78"/>
        <v>164.66628806405964</v>
      </c>
      <c r="O223" s="802">
        <f t="shared" si="78"/>
        <v>154.1444451133649</v>
      </c>
      <c r="P223" s="802">
        <f t="shared" si="78"/>
        <v>155.32587567498553</v>
      </c>
      <c r="Q223" s="802">
        <f>Q220*Q$28</f>
        <v>156.20001599004144</v>
      </c>
      <c r="AI223" s="107"/>
    </row>
    <row r="224" spans="4:35" outlineLevel="1">
      <c r="D224" s="201"/>
      <c r="E224" s="51" t="s">
        <v>189</v>
      </c>
      <c r="F224" s="51"/>
      <c r="G224" s="51" t="s">
        <v>210</v>
      </c>
      <c r="H224" s="51"/>
      <c r="I224" s="128"/>
      <c r="J224" s="51"/>
      <c r="K224" s="51"/>
      <c r="L224" s="418">
        <f>L221*L$29</f>
        <v>330.9589146143071</v>
      </c>
      <c r="M224" s="418">
        <f t="shared" ref="M224:Q224" si="79">M221*M$29</f>
        <v>386.82633650679429</v>
      </c>
      <c r="N224" s="418">
        <f t="shared" si="79"/>
        <v>323.63622291805916</v>
      </c>
      <c r="O224" s="418">
        <f t="shared" si="79"/>
        <v>302.38919905538432</v>
      </c>
      <c r="P224" s="418">
        <f t="shared" si="79"/>
        <v>304.22970966006801</v>
      </c>
      <c r="Q224" s="418">
        <f t="shared" si="79"/>
        <v>305.59150321112958</v>
      </c>
      <c r="AI224" s="107"/>
    </row>
    <row r="225" spans="3:35" outlineLevel="1">
      <c r="D225" s="201"/>
      <c r="E225" s="51" t="s">
        <v>190</v>
      </c>
      <c r="F225" s="51"/>
      <c r="G225" s="51" t="s">
        <v>210</v>
      </c>
      <c r="H225" s="51"/>
      <c r="I225" s="128"/>
      <c r="J225" s="51"/>
      <c r="K225" s="51"/>
      <c r="L225" s="418">
        <f>L222*L$30</f>
        <v>188.79491272955855</v>
      </c>
      <c r="M225" s="418">
        <f t="shared" ref="M225:Q225" si="80">M222*M$30</f>
        <v>220.66438224636963</v>
      </c>
      <c r="N225" s="418">
        <f t="shared" si="80"/>
        <v>184.61769652932503</v>
      </c>
      <c r="O225" s="418">
        <f t="shared" si="80"/>
        <v>172.4973702930873</v>
      </c>
      <c r="P225" s="418">
        <f t="shared" si="80"/>
        <v>173.54728623021813</v>
      </c>
      <c r="Q225" s="418">
        <f t="shared" si="80"/>
        <v>174.32411889214524</v>
      </c>
      <c r="AI225" s="107"/>
    </row>
    <row r="226" spans="3:35" outlineLevel="1">
      <c r="D226" s="276" t="s">
        <v>107</v>
      </c>
      <c r="E226" s="276"/>
      <c r="F226" s="276"/>
      <c r="G226" s="276" t="s">
        <v>210</v>
      </c>
      <c r="H226" s="276"/>
      <c r="I226" s="278"/>
      <c r="J226" s="276"/>
      <c r="K226" s="276"/>
      <c r="L226" s="431">
        <f>SUM(L223:L225)</f>
        <v>687.49843857971098</v>
      </c>
      <c r="M226" s="431">
        <f t="shared" ref="M226" si="81">SUM(M223:M225)</f>
        <v>803.88472523483449</v>
      </c>
      <c r="N226" s="431">
        <f t="shared" ref="N226" si="82">SUM(N223:N225)</f>
        <v>672.92020751144378</v>
      </c>
      <c r="O226" s="431">
        <f t="shared" ref="O226" si="83">SUM(O223:O225)</f>
        <v>629.03101446183655</v>
      </c>
      <c r="P226" s="431">
        <f t="shared" ref="P226" si="84">SUM(P223:P225)</f>
        <v>633.1028715652717</v>
      </c>
      <c r="Q226" s="431">
        <f>SUM(Q223:Q225)</f>
        <v>636.11563809331619</v>
      </c>
      <c r="AI226" s="107"/>
    </row>
    <row r="227" spans="3:35" outlineLevel="1">
      <c r="L227" s="418"/>
      <c r="M227" s="418"/>
      <c r="N227" s="418"/>
      <c r="O227" s="418"/>
      <c r="P227" s="418"/>
      <c r="Q227" s="418"/>
      <c r="AI227" s="107"/>
    </row>
    <row r="228" spans="3:35" outlineLevel="1">
      <c r="D228" s="807" t="s">
        <v>212</v>
      </c>
      <c r="E228" s="808"/>
      <c r="F228" s="808"/>
      <c r="G228" s="808" t="s">
        <v>210</v>
      </c>
      <c r="H228" s="808"/>
      <c r="I228" s="809"/>
      <c r="J228" s="808"/>
      <c r="K228" s="808"/>
      <c r="L228" s="802">
        <f>L226*L$34/L$38</f>
        <v>54.999875086376875</v>
      </c>
      <c r="M228" s="802">
        <f t="shared" ref="M228:Q228" si="85">M226*M$34/M$38</f>
        <v>64.310778018786763</v>
      </c>
      <c r="N228" s="802">
        <f t="shared" si="85"/>
        <v>53.833616600915498</v>
      </c>
      <c r="O228" s="802">
        <f t="shared" si="85"/>
        <v>50.322481156946921</v>
      </c>
      <c r="P228" s="802">
        <f t="shared" si="85"/>
        <v>50.648229725221739</v>
      </c>
      <c r="Q228" s="802">
        <f t="shared" si="85"/>
        <v>50.889251047465294</v>
      </c>
      <c r="AI228" s="107"/>
    </row>
    <row r="229" spans="3:35" outlineLevel="1">
      <c r="D229" s="201" t="s">
        <v>213</v>
      </c>
      <c r="E229" s="51"/>
      <c r="F229" s="51"/>
      <c r="G229" s="51" t="s">
        <v>210</v>
      </c>
      <c r="H229" s="51"/>
      <c r="I229" s="128"/>
      <c r="J229" s="51"/>
      <c r="K229" s="51"/>
      <c r="L229" s="418">
        <f>L226*L$37/L$38</f>
        <v>260.97440728485827</v>
      </c>
      <c r="M229" s="418">
        <f t="shared" ref="M229:Q229" si="86">M226*M$37/M$38</f>
        <v>305.15464169914321</v>
      </c>
      <c r="N229" s="418">
        <f t="shared" si="86"/>
        <v>255.44051077134404</v>
      </c>
      <c r="O229" s="418">
        <f t="shared" si="86"/>
        <v>238.78017308971314</v>
      </c>
      <c r="P229" s="418">
        <f t="shared" si="86"/>
        <v>240.32585004617715</v>
      </c>
      <c r="Q229" s="418">
        <f t="shared" si="86"/>
        <v>241.46949622022282</v>
      </c>
      <c r="AI229" s="107"/>
    </row>
    <row r="230" spans="3:35" outlineLevel="1">
      <c r="D230" s="202" t="s">
        <v>214</v>
      </c>
      <c r="E230" s="183"/>
      <c r="F230" s="183"/>
      <c r="G230" s="183" t="s">
        <v>210</v>
      </c>
      <c r="H230" s="183"/>
      <c r="I230" s="177"/>
      <c r="J230" s="183"/>
      <c r="K230" s="183"/>
      <c r="L230" s="423">
        <f>L226*L$35/L$38</f>
        <v>371.5241562084758</v>
      </c>
      <c r="M230" s="423">
        <f t="shared" ref="M230:Q230" si="87">M226*M$35/M$38</f>
        <v>434.41930551690456</v>
      </c>
      <c r="N230" s="423">
        <f t="shared" si="87"/>
        <v>363.64608013918422</v>
      </c>
      <c r="O230" s="423">
        <f t="shared" si="87"/>
        <v>339.9283602151765</v>
      </c>
      <c r="P230" s="423">
        <f t="shared" si="87"/>
        <v>342.12879179387284</v>
      </c>
      <c r="Q230" s="423">
        <f t="shared" si="87"/>
        <v>343.75689082562809</v>
      </c>
      <c r="AI230" s="107"/>
    </row>
    <row r="231" spans="3:35" outlineLevel="1">
      <c r="L231" s="429" t="str">
        <f>IF(ROUND(SUM(L228:L230)-SUM(L226),5)=0,"OK","FAIL")</f>
        <v>OK</v>
      </c>
      <c r="M231" s="429"/>
      <c r="N231" s="429"/>
      <c r="O231" s="429"/>
      <c r="P231" s="429"/>
      <c r="Q231" s="429"/>
      <c r="AI231" s="107"/>
    </row>
    <row r="232" spans="3:35" outlineLevel="1">
      <c r="L232" s="418">
        <f>L226+SUM(L206:L208)</f>
        <v>1273.4720009408238</v>
      </c>
      <c r="M232" s="418"/>
      <c r="N232" s="418"/>
      <c r="O232" s="418"/>
      <c r="P232" s="418"/>
      <c r="Q232" s="418"/>
      <c r="AI232" s="107"/>
    </row>
    <row r="233" spans="3:35" outlineLevel="1">
      <c r="C233" s="184" t="s">
        <v>266</v>
      </c>
      <c r="D233" s="321"/>
      <c r="E233" s="322"/>
      <c r="F233" s="322"/>
      <c r="G233" s="322"/>
      <c r="H233" s="322"/>
      <c r="I233" s="323"/>
      <c r="J233" s="322"/>
      <c r="K233" s="322"/>
      <c r="L233" s="411"/>
      <c r="M233" s="411"/>
      <c r="N233" s="411"/>
      <c r="O233" s="411"/>
      <c r="P233" s="411"/>
      <c r="Q233" s="411"/>
      <c r="R233" s="322"/>
      <c r="S233" s="322"/>
      <c r="T233" s="322"/>
      <c r="U233" s="322"/>
      <c r="V233" s="322"/>
      <c r="W233" s="322"/>
      <c r="X233" s="322"/>
      <c r="Y233" s="322"/>
      <c r="Z233" s="322"/>
      <c r="AA233" s="322"/>
      <c r="AB233" s="322"/>
      <c r="AC233" s="322"/>
      <c r="AD233" s="322"/>
      <c r="AE233" s="322"/>
      <c r="AF233" s="322"/>
      <c r="AG233" s="322"/>
      <c r="AH233" s="322"/>
      <c r="AI233" s="107"/>
    </row>
    <row r="234" spans="3:35" outlineLevel="1">
      <c r="L234" s="21"/>
      <c r="M234" s="21"/>
      <c r="N234" s="21"/>
      <c r="O234" s="21"/>
      <c r="P234" s="21"/>
      <c r="Q234" s="21"/>
      <c r="AI234" s="107"/>
    </row>
    <row r="235" spans="3:35" outlineLevel="1">
      <c r="D235" s="27" t="s">
        <v>267</v>
      </c>
      <c r="L235" s="21"/>
      <c r="M235" s="21"/>
      <c r="N235" s="21"/>
      <c r="O235" s="21"/>
      <c r="P235" s="21"/>
      <c r="Q235" s="21"/>
      <c r="AI235" s="107"/>
    </row>
    <row r="236" spans="3:35" outlineLevel="1">
      <c r="D236" s="786"/>
      <c r="E236" s="787" t="s">
        <v>268</v>
      </c>
      <c r="F236" s="787"/>
      <c r="G236" s="787" t="s">
        <v>171</v>
      </c>
      <c r="H236" s="787" t="s">
        <v>269</v>
      </c>
      <c r="I236" s="810">
        <f>'Central Inputs'!$C22</f>
        <v>1155.6346371015875</v>
      </c>
      <c r="J236" s="787"/>
      <c r="K236" s="787"/>
      <c r="L236" s="803">
        <f>$I236*L$7</f>
        <v>3025.1805034535746</v>
      </c>
      <c r="M236" s="803">
        <f t="shared" ref="M236:Q236" si="88">$I236*M$7</f>
        <v>3513.2868286097623</v>
      </c>
      <c r="N236" s="803">
        <f t="shared" si="88"/>
        <v>2915.3961667442964</v>
      </c>
      <c r="O236" s="803">
        <f t="shared" si="88"/>
        <v>2704.4618889596786</v>
      </c>
      <c r="P236" s="803">
        <f t="shared" si="88"/>
        <v>2704.4618889596786</v>
      </c>
      <c r="Q236" s="803">
        <f t="shared" si="88"/>
        <v>2704.4618889596786</v>
      </c>
      <c r="R236" s="51"/>
      <c r="S236" s="51"/>
      <c r="T236" s="51"/>
      <c r="U236" s="51"/>
      <c r="V236" s="51"/>
      <c r="W236" s="51"/>
      <c r="X236" s="51"/>
      <c r="AI236" s="107"/>
    </row>
    <row r="237" spans="3:35" outlineLevel="1">
      <c r="E237" s="10" t="s">
        <v>270</v>
      </c>
      <c r="G237" s="10" t="s">
        <v>171</v>
      </c>
      <c r="I237" s="280">
        <f>'Central Inputs'!$C23</f>
        <v>-38.539623815120741</v>
      </c>
      <c r="L237" s="22">
        <f>L$236+$I237</f>
        <v>2986.640879638454</v>
      </c>
      <c r="M237" s="22">
        <f>M$236+$I237</f>
        <v>3474.7472047946417</v>
      </c>
      <c r="N237" s="22">
        <f t="shared" ref="L237:Q239" si="89">N$236+$I237</f>
        <v>2876.8565429291757</v>
      </c>
      <c r="O237" s="22">
        <f t="shared" si="89"/>
        <v>2665.922265144558</v>
      </c>
      <c r="P237" s="22">
        <f t="shared" si="89"/>
        <v>2665.922265144558</v>
      </c>
      <c r="Q237" s="22">
        <f t="shared" si="89"/>
        <v>2665.922265144558</v>
      </c>
      <c r="R237" s="51"/>
      <c r="S237" s="51"/>
      <c r="T237" s="51"/>
      <c r="U237" s="51"/>
      <c r="V237" s="51"/>
      <c r="W237" s="51"/>
      <c r="X237" s="51"/>
      <c r="AI237" s="107"/>
    </row>
    <row r="238" spans="3:35" outlineLevel="1">
      <c r="E238" s="10" t="s">
        <v>271</v>
      </c>
      <c r="G238" s="10" t="s">
        <v>171</v>
      </c>
      <c r="I238" s="280">
        <f>'Central Inputs'!$C24</f>
        <v>-51.890985871990502</v>
      </c>
      <c r="L238" s="22">
        <f t="shared" si="89"/>
        <v>2973.2895175815843</v>
      </c>
      <c r="M238" s="22">
        <f t="shared" si="89"/>
        <v>3461.395842737772</v>
      </c>
      <c r="N238" s="22">
        <f t="shared" si="89"/>
        <v>2863.505180872306</v>
      </c>
      <c r="O238" s="22">
        <f t="shared" si="89"/>
        <v>2652.5709030876883</v>
      </c>
      <c r="P238" s="22">
        <f t="shared" si="89"/>
        <v>2652.5709030876883</v>
      </c>
      <c r="Q238" s="22">
        <f t="shared" si="89"/>
        <v>2652.5709030876883</v>
      </c>
      <c r="R238" s="51"/>
      <c r="S238" s="51"/>
      <c r="T238" s="51"/>
      <c r="U238" s="51"/>
      <c r="V238" s="51"/>
      <c r="W238" s="51"/>
      <c r="X238" s="51"/>
      <c r="AI238" s="107"/>
    </row>
    <row r="239" spans="3:35" outlineLevel="1">
      <c r="D239" s="95"/>
      <c r="E239" s="62" t="s">
        <v>272</v>
      </c>
      <c r="F239" s="62"/>
      <c r="G239" s="62" t="s">
        <v>171</v>
      </c>
      <c r="H239" s="62"/>
      <c r="I239" s="281">
        <f>'Central Inputs'!$C25</f>
        <v>-102.85341160181339</v>
      </c>
      <c r="J239" s="62"/>
      <c r="K239" s="62"/>
      <c r="L239" s="428">
        <f t="shared" si="89"/>
        <v>2922.327091851761</v>
      </c>
      <c r="M239" s="428">
        <f t="shared" si="89"/>
        <v>3410.4334170079487</v>
      </c>
      <c r="N239" s="428">
        <f t="shared" si="89"/>
        <v>2812.5427551424827</v>
      </c>
      <c r="O239" s="428">
        <f t="shared" si="89"/>
        <v>2601.608477357865</v>
      </c>
      <c r="P239" s="428">
        <f t="shared" si="89"/>
        <v>2601.608477357865</v>
      </c>
      <c r="Q239" s="428">
        <f t="shared" si="89"/>
        <v>2601.608477357865</v>
      </c>
      <c r="AI239" s="107"/>
    </row>
    <row r="240" spans="3:35" outlineLevel="1">
      <c r="I240" s="128"/>
      <c r="L240" s="22"/>
      <c r="M240" s="22"/>
      <c r="N240" s="22"/>
      <c r="O240" s="22"/>
      <c r="P240" s="22"/>
      <c r="Q240" s="22"/>
      <c r="AI240" s="107"/>
    </row>
    <row r="241" spans="3:35" outlineLevel="1">
      <c r="D241" s="27" t="s">
        <v>273</v>
      </c>
      <c r="I241" s="128"/>
      <c r="L241" s="22"/>
      <c r="M241" s="22"/>
      <c r="N241" s="22"/>
      <c r="O241" s="22"/>
      <c r="P241" s="22"/>
      <c r="Q241" s="22"/>
      <c r="AI241" s="107"/>
    </row>
    <row r="242" spans="3:35" outlineLevel="1">
      <c r="D242" s="786"/>
      <c r="E242" s="787" t="s">
        <v>274</v>
      </c>
      <c r="F242" s="787"/>
      <c r="G242" s="787"/>
      <c r="H242" s="787"/>
      <c r="I242" s="811">
        <f>'Central Inputs'!C27</f>
        <v>-55.862211493375526</v>
      </c>
      <c r="J242" s="787"/>
      <c r="K242" s="787"/>
      <c r="L242" s="803">
        <f>$I$242*L$7*$I$243</f>
        <v>-131.61075386427157</v>
      </c>
      <c r="M242" s="803">
        <f>$I$242*M$7*$I$243</f>
        <v>-152.84586408212078</v>
      </c>
      <c r="N242" s="803">
        <f>$I$242*N$7*$I$243</f>
        <v>-126.83457627741279</v>
      </c>
      <c r="O242" s="803">
        <f t="shared" ref="O242:Q242" si="90">$I$242*O$7*$I$243</f>
        <v>-117.65786127367775</v>
      </c>
      <c r="P242" s="803">
        <f t="shared" si="90"/>
        <v>-117.65786127367775</v>
      </c>
      <c r="Q242" s="803">
        <f t="shared" si="90"/>
        <v>-117.65786127367775</v>
      </c>
      <c r="AI242" s="107"/>
    </row>
    <row r="243" spans="3:35" outlineLevel="1">
      <c r="E243" s="10" t="s">
        <v>275</v>
      </c>
      <c r="I243" s="282">
        <f>'Central Inputs'!C28</f>
        <v>0.9</v>
      </c>
      <c r="L243" s="22"/>
      <c r="M243" s="22"/>
      <c r="N243" s="22"/>
      <c r="O243" s="22"/>
      <c r="P243" s="22"/>
      <c r="Q243" s="22"/>
      <c r="AI243" s="107"/>
    </row>
    <row r="244" spans="3:35" outlineLevel="1">
      <c r="E244" s="10" t="s">
        <v>276</v>
      </c>
      <c r="G244" s="10" t="s">
        <v>171</v>
      </c>
      <c r="I244" s="283">
        <f>'Central Inputs'!C26</f>
        <v>1099.772425608212</v>
      </c>
      <c r="L244" s="22">
        <f>L236+L242</f>
        <v>2893.5697495893032</v>
      </c>
      <c r="M244" s="22">
        <f t="shared" ref="M244:Q244" si="91">M236+M242</f>
        <v>3360.4409645276414</v>
      </c>
      <c r="N244" s="22">
        <f t="shared" si="91"/>
        <v>2788.5615904668834</v>
      </c>
      <c r="O244" s="22">
        <f t="shared" si="91"/>
        <v>2586.8040276860011</v>
      </c>
      <c r="P244" s="22">
        <f t="shared" si="91"/>
        <v>2586.8040276860011</v>
      </c>
      <c r="Q244" s="22">
        <f t="shared" si="91"/>
        <v>2586.8040276860011</v>
      </c>
      <c r="R244" s="51"/>
      <c r="S244" s="51"/>
      <c r="T244" s="51"/>
      <c r="U244" s="51"/>
      <c r="V244" s="51"/>
      <c r="W244" s="51"/>
      <c r="AI244" s="107"/>
    </row>
    <row r="245" spans="3:35" outlineLevel="1">
      <c r="E245" s="10" t="s">
        <v>277</v>
      </c>
      <c r="G245" s="10" t="s">
        <v>171</v>
      </c>
      <c r="I245" s="280">
        <f>'Central Inputs'!C29</f>
        <v>-32.671687783202081</v>
      </c>
      <c r="L245" s="22">
        <f>L$244+$I245</f>
        <v>2860.8980618061009</v>
      </c>
      <c r="M245" s="22">
        <f>M$244+$I245</f>
        <v>3327.7692767444391</v>
      </c>
      <c r="N245" s="22">
        <f t="shared" ref="L245:Q247" si="92">N$244+$I245</f>
        <v>2755.8899026836812</v>
      </c>
      <c r="O245" s="22">
        <f t="shared" si="92"/>
        <v>2554.1323399027988</v>
      </c>
      <c r="P245" s="22">
        <f t="shared" si="92"/>
        <v>2554.1323399027988</v>
      </c>
      <c r="Q245" s="22">
        <f t="shared" si="92"/>
        <v>2554.1323399027988</v>
      </c>
      <c r="R245" s="51"/>
      <c r="S245" s="51"/>
      <c r="T245" s="51"/>
      <c r="U245" s="51"/>
      <c r="V245" s="51"/>
      <c r="W245" s="51"/>
      <c r="AI245" s="107"/>
    </row>
    <row r="246" spans="3:35" outlineLevel="1">
      <c r="E246" s="10" t="s">
        <v>278</v>
      </c>
      <c r="G246" s="10" t="s">
        <v>171</v>
      </c>
      <c r="I246" s="280">
        <f>'Central Inputs'!C30</f>
        <v>-32.718532470859202</v>
      </c>
      <c r="L246" s="22">
        <f t="shared" si="92"/>
        <v>2860.8512171184439</v>
      </c>
      <c r="M246" s="22">
        <f t="shared" si="92"/>
        <v>3327.7224320567821</v>
      </c>
      <c r="N246" s="22">
        <f t="shared" si="92"/>
        <v>2755.8430579960241</v>
      </c>
      <c r="O246" s="22">
        <f t="shared" si="92"/>
        <v>2554.0854952151417</v>
      </c>
      <c r="P246" s="22">
        <f t="shared" si="92"/>
        <v>2554.0854952151417</v>
      </c>
      <c r="Q246" s="22">
        <f t="shared" si="92"/>
        <v>2554.0854952151417</v>
      </c>
      <c r="R246" s="51"/>
      <c r="S246" s="51"/>
      <c r="T246" s="51"/>
      <c r="U246" s="51"/>
      <c r="V246" s="51"/>
      <c r="W246" s="51"/>
      <c r="AI246" s="107"/>
    </row>
    <row r="247" spans="3:35" outlineLevel="1">
      <c r="D247" s="95"/>
      <c r="E247" s="62" t="s">
        <v>279</v>
      </c>
      <c r="F247" s="62"/>
      <c r="G247" s="62" t="s">
        <v>171</v>
      </c>
      <c r="H247" s="62"/>
      <c r="I247" s="281">
        <f>'Central Inputs'!C31</f>
        <v>-53.414019724529417</v>
      </c>
      <c r="J247" s="62"/>
      <c r="K247" s="62"/>
      <c r="L247" s="428">
        <f t="shared" si="92"/>
        <v>2840.155729864774</v>
      </c>
      <c r="M247" s="428">
        <f t="shared" si="92"/>
        <v>3307.0269448031122</v>
      </c>
      <c r="N247" s="428">
        <f t="shared" si="92"/>
        <v>2735.1475707423542</v>
      </c>
      <c r="O247" s="428">
        <f t="shared" si="92"/>
        <v>2533.3900079614718</v>
      </c>
      <c r="P247" s="428">
        <f t="shared" si="92"/>
        <v>2533.3900079614718</v>
      </c>
      <c r="Q247" s="428">
        <f t="shared" si="92"/>
        <v>2533.3900079614718</v>
      </c>
      <c r="AI247" s="107"/>
    </row>
    <row r="248" spans="3:35" outlineLevel="1">
      <c r="L248" s="432" cm="1">
        <f t="array" ref="L248">SUMPRODUCT(L236:L239,L562:L565)+SUMPRODUCT(1-L562:L565,L244:L247)</f>
        <v>11833.713434234738</v>
      </c>
      <c r="M248" s="432" cm="1">
        <f t="array" ref="M248">SUMPRODUCT(M236:M239,M562:M565)+SUMPRODUCT(1-M562:M565,M244:M247)</f>
        <v>13752.852216345766</v>
      </c>
      <c r="N248" s="432" cm="1">
        <f t="array" ref="N248">SUMPRODUCT(N236:N239,N562:N565)+SUMPRODUCT(1-N562:N565,N244:N247)</f>
        <v>11364.741001000119</v>
      </c>
      <c r="O248" s="432" cm="1">
        <f t="array" ref="O248">SUMPRODUCT(O236:O239,O562:O565)+SUMPRODUCT(1-O562:O565,O244:O247)</f>
        <v>10502.4085763109</v>
      </c>
      <c r="P248" s="432" cm="1">
        <f t="array" ref="P248">SUMPRODUCT(P236:P239,P562:P565)+SUMPRODUCT(1-P562:P565,P244:P247)</f>
        <v>10478.46153974345</v>
      </c>
      <c r="Q248" s="432" cm="1">
        <f t="array" ref="Q248">SUMPRODUCT(Q236:Q239,Q562:Q565)+SUMPRODUCT(1-Q562:Q565,Q244:Q247)</f>
        <v>10456.984605107133</v>
      </c>
      <c r="S248" s="103"/>
      <c r="AI248" s="107"/>
    </row>
    <row r="249" spans="3:35" outlineLevel="1">
      <c r="L249" s="21"/>
      <c r="M249" s="21"/>
      <c r="N249" s="21"/>
      <c r="O249" s="21"/>
      <c r="P249" s="21"/>
      <c r="Q249" s="21"/>
      <c r="AI249" s="107"/>
    </row>
    <row r="250" spans="3:35" outlineLevel="1">
      <c r="C250" s="184" t="s">
        <v>280</v>
      </c>
      <c r="D250" s="321"/>
      <c r="E250" s="322"/>
      <c r="F250" s="322"/>
      <c r="G250" s="322"/>
      <c r="H250" s="322"/>
      <c r="I250" s="323"/>
      <c r="J250" s="322"/>
      <c r="K250" s="322"/>
      <c r="L250" s="411"/>
      <c r="M250" s="411"/>
      <c r="N250" s="411"/>
      <c r="O250" s="411"/>
      <c r="P250" s="411"/>
      <c r="Q250" s="411"/>
      <c r="R250" s="322"/>
      <c r="S250" s="322"/>
      <c r="T250" s="322"/>
      <c r="U250" s="322"/>
      <c r="V250" s="322"/>
      <c r="W250" s="322"/>
      <c r="X250" s="322"/>
      <c r="Y250" s="322"/>
      <c r="Z250" s="322"/>
      <c r="AA250" s="322"/>
      <c r="AB250" s="322"/>
      <c r="AC250" s="322"/>
      <c r="AD250" s="322"/>
      <c r="AE250" s="322"/>
      <c r="AF250" s="322"/>
      <c r="AG250" s="322"/>
      <c r="AH250" s="322"/>
      <c r="AI250" s="107"/>
    </row>
    <row r="251" spans="3:35" outlineLevel="1">
      <c r="L251" s="21"/>
      <c r="M251" s="21"/>
      <c r="N251" s="21"/>
      <c r="O251" s="21"/>
      <c r="P251" s="21"/>
      <c r="Q251" s="21"/>
      <c r="AI251" s="107"/>
    </row>
    <row r="252" spans="3:35" outlineLevel="1">
      <c r="D252" s="27" t="s">
        <v>249</v>
      </c>
      <c r="L252" s="21"/>
      <c r="M252" s="21"/>
      <c r="N252" s="21"/>
      <c r="O252" s="21"/>
      <c r="P252" s="21"/>
      <c r="Q252" s="21"/>
      <c r="AI252" s="107"/>
    </row>
    <row r="253" spans="3:35" outlineLevel="1">
      <c r="D253" s="786"/>
      <c r="E253" s="787" t="s">
        <v>281</v>
      </c>
      <c r="F253" s="787"/>
      <c r="G253" s="787" t="s">
        <v>142</v>
      </c>
      <c r="H253" s="787"/>
      <c r="I253" s="788"/>
      <c r="J253" s="787"/>
      <c r="K253" s="787"/>
      <c r="L253" s="798">
        <v>1</v>
      </c>
      <c r="M253" s="798">
        <v>1</v>
      </c>
      <c r="N253" s="798">
        <v>1</v>
      </c>
      <c r="O253" s="798">
        <v>1</v>
      </c>
      <c r="P253" s="798">
        <v>1</v>
      </c>
      <c r="Q253" s="798">
        <v>1</v>
      </c>
      <c r="AI253" s="107"/>
    </row>
    <row r="254" spans="3:35" outlineLevel="1">
      <c r="E254" s="10" t="s">
        <v>282</v>
      </c>
      <c r="G254" s="10" t="s">
        <v>171</v>
      </c>
      <c r="H254" s="27"/>
      <c r="I254" s="203"/>
      <c r="L254" s="410">
        <f t="shared" ref="L254:Q254" si="93">L236-L245</f>
        <v>164.28244164747366</v>
      </c>
      <c r="M254" s="410">
        <f t="shared" si="93"/>
        <v>185.51755186532318</v>
      </c>
      <c r="N254" s="410">
        <f t="shared" si="93"/>
        <v>159.50626406061519</v>
      </c>
      <c r="O254" s="410">
        <f t="shared" si="93"/>
        <v>150.32954905687984</v>
      </c>
      <c r="P254" s="410">
        <f t="shared" si="93"/>
        <v>150.32954905687984</v>
      </c>
      <c r="Q254" s="410">
        <f t="shared" si="93"/>
        <v>150.32954905687984</v>
      </c>
      <c r="S254" s="230"/>
      <c r="AI254" s="107"/>
    </row>
    <row r="255" spans="3:35" outlineLevel="1">
      <c r="D255" s="95"/>
      <c r="E255" s="62" t="s">
        <v>283</v>
      </c>
      <c r="F255" s="62"/>
      <c r="G255" s="62" t="s">
        <v>171</v>
      </c>
      <c r="H255" s="95"/>
      <c r="I255" s="206"/>
      <c r="J255" s="62"/>
      <c r="K255" s="62"/>
      <c r="L255" s="408">
        <f>'Central Inputs'!$C$44</f>
        <v>30.771922839506175</v>
      </c>
      <c r="M255" s="408">
        <f>'Central Inputs'!$C$44</f>
        <v>30.771922839506175</v>
      </c>
      <c r="N255" s="408">
        <f>'Central Inputs'!$C$44</f>
        <v>30.771922839506175</v>
      </c>
      <c r="O255" s="408">
        <f>'Central Inputs'!$C$44</f>
        <v>30.771922839506175</v>
      </c>
      <c r="P255" s="408">
        <f>'Central Inputs'!$C$44</f>
        <v>30.771922839506175</v>
      </c>
      <c r="Q255" s="408">
        <f>'Central Inputs'!$C$44</f>
        <v>30.771922839506175</v>
      </c>
      <c r="AI255" s="107"/>
    </row>
    <row r="256" spans="3:35" outlineLevel="1">
      <c r="D256" s="786"/>
      <c r="E256" s="787" t="s">
        <v>284</v>
      </c>
      <c r="F256" s="787"/>
      <c r="G256" s="787"/>
      <c r="H256" s="786"/>
      <c r="I256" s="812"/>
      <c r="J256" s="787"/>
      <c r="K256" s="787"/>
      <c r="L256" s="793">
        <f>L236-L245</f>
        <v>164.28244164747366</v>
      </c>
      <c r="M256" s="793">
        <f t="shared" ref="M256:Q256" si="94">M236-M245</f>
        <v>185.51755186532318</v>
      </c>
      <c r="N256" s="793">
        <f t="shared" si="94"/>
        <v>159.50626406061519</v>
      </c>
      <c r="O256" s="793">
        <f t="shared" si="94"/>
        <v>150.32954905687984</v>
      </c>
      <c r="P256" s="793">
        <f t="shared" si="94"/>
        <v>150.32954905687984</v>
      </c>
      <c r="Q256" s="793">
        <f t="shared" si="94"/>
        <v>150.32954905687984</v>
      </c>
      <c r="S256" s="230"/>
      <c r="AI256" s="107"/>
    </row>
    <row r="257" spans="4:35" outlineLevel="1">
      <c r="E257" s="10" t="s">
        <v>285</v>
      </c>
      <c r="H257" s="27"/>
      <c r="I257" s="203"/>
      <c r="L257" s="410">
        <f>L236-L245</f>
        <v>164.28244164747366</v>
      </c>
      <c r="M257" s="410">
        <f t="shared" ref="M257:Q257" si="95">M236-M245</f>
        <v>185.51755186532318</v>
      </c>
      <c r="N257" s="410">
        <f t="shared" si="95"/>
        <v>159.50626406061519</v>
      </c>
      <c r="O257" s="410">
        <f t="shared" si="95"/>
        <v>150.32954905687984</v>
      </c>
      <c r="P257" s="410">
        <f t="shared" si="95"/>
        <v>150.32954905687984</v>
      </c>
      <c r="Q257" s="410">
        <f t="shared" si="95"/>
        <v>150.32954905687984</v>
      </c>
      <c r="S257" s="230"/>
      <c r="AI257" s="107"/>
    </row>
    <row r="258" spans="4:35" outlineLevel="1">
      <c r="D258" s="95"/>
      <c r="E258" s="62" t="s">
        <v>172</v>
      </c>
      <c r="F258" s="62"/>
      <c r="G258" s="62"/>
      <c r="H258" s="95"/>
      <c r="I258" s="206"/>
      <c r="J258" s="62"/>
      <c r="K258" s="62"/>
      <c r="L258" s="361">
        <f>L64+L$66*(L257-L256)</f>
        <v>0.18760946329240108</v>
      </c>
      <c r="M258" s="361">
        <f t="shared" ref="M258:Q258" si="96">M64+M$66*(M257-M256)</f>
        <v>0.18760946329240108</v>
      </c>
      <c r="N258" s="361">
        <f t="shared" si="96"/>
        <v>0.18760946329240108</v>
      </c>
      <c r="O258" s="361">
        <f t="shared" si="96"/>
        <v>0.18760946329240108</v>
      </c>
      <c r="P258" s="361">
        <f t="shared" si="96"/>
        <v>0.18760946329240108</v>
      </c>
      <c r="Q258" s="361">
        <f t="shared" si="96"/>
        <v>0.18760946329240108</v>
      </c>
      <c r="S258" s="230"/>
      <c r="AI258" s="107"/>
    </row>
    <row r="259" spans="4:35" outlineLevel="1">
      <c r="I259" s="215"/>
      <c r="L259" s="410"/>
      <c r="M259" s="410"/>
      <c r="N259" s="410"/>
      <c r="O259" s="410"/>
      <c r="P259" s="410"/>
      <c r="Q259" s="410"/>
      <c r="AI259" s="107"/>
    </row>
    <row r="260" spans="4:35" outlineLevel="1">
      <c r="D260" s="27" t="s">
        <v>286</v>
      </c>
      <c r="I260" s="215"/>
      <c r="L260" s="410"/>
      <c r="M260" s="410"/>
      <c r="N260" s="410"/>
      <c r="O260" s="410"/>
      <c r="P260" s="410"/>
      <c r="Q260" s="410"/>
      <c r="AI260" s="107"/>
    </row>
    <row r="261" spans="4:35" outlineLevel="1">
      <c r="D261" s="786"/>
      <c r="E261" s="787" t="s">
        <v>287</v>
      </c>
      <c r="F261" s="787"/>
      <c r="G261" s="787" t="s">
        <v>210</v>
      </c>
      <c r="H261" s="787"/>
      <c r="I261" s="813"/>
      <c r="J261" s="787"/>
      <c r="K261" s="787"/>
      <c r="L261" s="802">
        <v>0</v>
      </c>
      <c r="M261" s="802">
        <v>0</v>
      </c>
      <c r="N261" s="802">
        <v>0</v>
      </c>
      <c r="O261" s="802">
        <v>0</v>
      </c>
      <c r="P261" s="802">
        <v>0</v>
      </c>
      <c r="Q261" s="802">
        <v>0</v>
      </c>
      <c r="S261" s="230"/>
      <c r="AI261" s="107"/>
    </row>
    <row r="262" spans="4:35" outlineLevel="1">
      <c r="E262" s="10" t="s">
        <v>288</v>
      </c>
      <c r="G262" s="10" t="s">
        <v>210</v>
      </c>
      <c r="L262" s="418">
        <v>0</v>
      </c>
      <c r="M262" s="418">
        <v>0</v>
      </c>
      <c r="N262" s="418">
        <v>0</v>
      </c>
      <c r="O262" s="418">
        <v>0</v>
      </c>
      <c r="P262" s="418">
        <v>0</v>
      </c>
      <c r="Q262" s="418">
        <v>0</v>
      </c>
      <c r="S262" s="230"/>
      <c r="AI262" s="107"/>
    </row>
    <row r="263" spans="4:35" outlineLevel="1">
      <c r="E263" s="10" t="s">
        <v>289</v>
      </c>
      <c r="G263" s="10" t="s">
        <v>210</v>
      </c>
      <c r="L263" s="418">
        <f>L$254*L93*L30</f>
        <v>49.640267605368891</v>
      </c>
      <c r="M263" s="418">
        <f>M$254*M93*M30</f>
        <v>56.056757056539425</v>
      </c>
      <c r="N263" s="418">
        <f t="shared" ref="N263:Q263" si="97">N$254*N93*N30</f>
        <v>48.197077869662493</v>
      </c>
      <c r="O263" s="418">
        <f t="shared" si="97"/>
        <v>45.424203398383703</v>
      </c>
      <c r="P263" s="418">
        <f t="shared" si="97"/>
        <v>45.424203398383703</v>
      </c>
      <c r="Q263" s="418">
        <f t="shared" si="97"/>
        <v>45.424203398383703</v>
      </c>
      <c r="S263" s="230"/>
      <c r="AI263" s="107"/>
    </row>
    <row r="264" spans="4:35" outlineLevel="1">
      <c r="D264" s="273" t="s">
        <v>107</v>
      </c>
      <c r="E264" s="273"/>
      <c r="F264" s="273"/>
      <c r="G264" s="273" t="s">
        <v>210</v>
      </c>
      <c r="H264" s="273"/>
      <c r="I264" s="275"/>
      <c r="J264" s="273"/>
      <c r="K264" s="273"/>
      <c r="L264" s="431">
        <f>SUM(L261:L263)</f>
        <v>49.640267605368891</v>
      </c>
      <c r="M264" s="431">
        <f t="shared" ref="M264:Q264" si="98">SUM(M261:M263)</f>
        <v>56.056757056539425</v>
      </c>
      <c r="N264" s="431">
        <f t="shared" si="98"/>
        <v>48.197077869662493</v>
      </c>
      <c r="O264" s="431">
        <f t="shared" si="98"/>
        <v>45.424203398383703</v>
      </c>
      <c r="P264" s="431">
        <f t="shared" si="98"/>
        <v>45.424203398383703</v>
      </c>
      <c r="Q264" s="431">
        <f t="shared" si="98"/>
        <v>45.424203398383703</v>
      </c>
      <c r="S264" s="230"/>
      <c r="AI264" s="107"/>
    </row>
    <row r="265" spans="4:35" outlineLevel="1">
      <c r="L265" s="418"/>
      <c r="M265" s="418"/>
      <c r="N265" s="418"/>
      <c r="O265" s="418"/>
      <c r="P265" s="418"/>
      <c r="Q265" s="418"/>
      <c r="S265" s="230"/>
      <c r="AI265" s="107"/>
    </row>
    <row r="266" spans="4:35" outlineLevel="1">
      <c r="D266" s="27" t="s">
        <v>290</v>
      </c>
      <c r="L266" s="418"/>
      <c r="M266" s="418"/>
      <c r="N266" s="418"/>
      <c r="O266" s="418"/>
      <c r="P266" s="418"/>
      <c r="Q266" s="418"/>
      <c r="S266" s="230"/>
      <c r="AI266" s="107"/>
    </row>
    <row r="267" spans="4:35" outlineLevel="1">
      <c r="D267" s="786"/>
      <c r="E267" s="787" t="s">
        <v>291</v>
      </c>
      <c r="F267" s="787"/>
      <c r="G267" s="787" t="s">
        <v>210</v>
      </c>
      <c r="H267" s="787"/>
      <c r="I267" s="788"/>
      <c r="J267" s="787"/>
      <c r="K267" s="787"/>
      <c r="L267" s="802">
        <v>0</v>
      </c>
      <c r="M267" s="802">
        <v>0</v>
      </c>
      <c r="N267" s="802">
        <v>0</v>
      </c>
      <c r="O267" s="802">
        <v>0</v>
      </c>
      <c r="P267" s="802">
        <v>0</v>
      </c>
      <c r="Q267" s="802">
        <v>0</v>
      </c>
      <c r="S267" s="230"/>
      <c r="AI267" s="107"/>
    </row>
    <row r="268" spans="4:35" outlineLevel="1">
      <c r="E268" s="10" t="s">
        <v>292</v>
      </c>
      <c r="G268" s="10" t="s">
        <v>210</v>
      </c>
      <c r="L268" s="418">
        <v>0</v>
      </c>
      <c r="M268" s="418">
        <v>0</v>
      </c>
      <c r="N268" s="418">
        <v>0</v>
      </c>
      <c r="O268" s="418">
        <v>0</v>
      </c>
      <c r="P268" s="418">
        <v>0</v>
      </c>
      <c r="Q268" s="418">
        <v>0</v>
      </c>
      <c r="S268" s="230"/>
      <c r="AI268" s="107"/>
    </row>
    <row r="269" spans="4:35" outlineLevel="1">
      <c r="E269" s="10" t="s">
        <v>293</v>
      </c>
      <c r="G269" s="10" t="s">
        <v>210</v>
      </c>
      <c r="L269" s="418">
        <f t="shared" ref="L269:Q269" si="99">L$255*L93*L30</f>
        <v>9.2981725202423036</v>
      </c>
      <c r="M269" s="418">
        <f t="shared" si="99"/>
        <v>9.2981725202423036</v>
      </c>
      <c r="N269" s="418">
        <f t="shared" si="99"/>
        <v>9.2981725202423036</v>
      </c>
      <c r="O269" s="418">
        <f t="shared" si="99"/>
        <v>9.2981725202423036</v>
      </c>
      <c r="P269" s="418">
        <f t="shared" si="99"/>
        <v>9.2981725202423036</v>
      </c>
      <c r="Q269" s="418">
        <f t="shared" si="99"/>
        <v>9.2981725202423036</v>
      </c>
      <c r="S269" s="230"/>
      <c r="AI269" s="107"/>
    </row>
    <row r="270" spans="4:35" outlineLevel="1">
      <c r="D270" s="273" t="s">
        <v>107</v>
      </c>
      <c r="E270" s="273"/>
      <c r="F270" s="273"/>
      <c r="G270" s="273" t="s">
        <v>210</v>
      </c>
      <c r="H270" s="273"/>
      <c r="I270" s="275"/>
      <c r="J270" s="273"/>
      <c r="K270" s="273"/>
      <c r="L270" s="431">
        <f>SUM(L267:L269)</f>
        <v>9.2981725202423036</v>
      </c>
      <c r="M270" s="431">
        <f t="shared" ref="M270:Q270" si="100">SUM(M267:M269)</f>
        <v>9.2981725202423036</v>
      </c>
      <c r="N270" s="431">
        <f t="shared" si="100"/>
        <v>9.2981725202423036</v>
      </c>
      <c r="O270" s="431">
        <f t="shared" si="100"/>
        <v>9.2981725202423036</v>
      </c>
      <c r="P270" s="431">
        <f t="shared" si="100"/>
        <v>9.2981725202423036</v>
      </c>
      <c r="Q270" s="431">
        <f t="shared" si="100"/>
        <v>9.2981725202423036</v>
      </c>
      <c r="AI270" s="107"/>
    </row>
    <row r="271" spans="4:35" outlineLevel="1">
      <c r="L271" s="418"/>
      <c r="M271" s="418"/>
      <c r="N271" s="418"/>
      <c r="O271" s="418"/>
      <c r="P271" s="418"/>
      <c r="Q271" s="418"/>
      <c r="AI271" s="107"/>
    </row>
    <row r="272" spans="4:35" outlineLevel="1">
      <c r="D272" s="27" t="s">
        <v>294</v>
      </c>
      <c r="L272" s="418"/>
      <c r="M272" s="418"/>
      <c r="N272" s="418"/>
      <c r="O272" s="418"/>
      <c r="P272" s="418"/>
      <c r="Q272" s="418"/>
      <c r="AI272" s="107"/>
    </row>
    <row r="273" spans="3:35" outlineLevel="1">
      <c r="D273" s="317"/>
      <c r="E273" s="318" t="s">
        <v>295</v>
      </c>
      <c r="F273" s="318"/>
      <c r="G273" s="318" t="s">
        <v>210</v>
      </c>
      <c r="H273" s="318"/>
      <c r="I273" s="319"/>
      <c r="J273" s="318"/>
      <c r="K273" s="318"/>
      <c r="L273" s="433">
        <f>L254*L258*L34</f>
        <v>72.061816750354438</v>
      </c>
      <c r="M273" s="433">
        <f t="shared" ref="M273:Q273" si="101">M254*M258*M34</f>
        <v>81.376510431837005</v>
      </c>
      <c r="N273" s="433">
        <f t="shared" si="101"/>
        <v>69.966766113294241</v>
      </c>
      <c r="O273" s="433">
        <f t="shared" si="101"/>
        <v>65.941437853391463</v>
      </c>
      <c r="P273" s="433">
        <f t="shared" si="101"/>
        <v>65.941437853391463</v>
      </c>
      <c r="Q273" s="433">
        <f t="shared" si="101"/>
        <v>65.941437853391463</v>
      </c>
      <c r="AI273" s="107"/>
    </row>
    <row r="274" spans="3:35" outlineLevel="1">
      <c r="L274" s="418"/>
      <c r="M274" s="418"/>
      <c r="N274" s="418"/>
      <c r="O274" s="418"/>
      <c r="P274" s="418"/>
      <c r="Q274" s="418"/>
      <c r="AI274" s="107"/>
    </row>
    <row r="275" spans="3:35" outlineLevel="1">
      <c r="D275" s="317" t="s">
        <v>114</v>
      </c>
      <c r="E275" s="318"/>
      <c r="F275" s="318"/>
      <c r="G275" s="317" t="s">
        <v>210</v>
      </c>
      <c r="H275" s="317"/>
      <c r="I275" s="325"/>
      <c r="J275" s="317"/>
      <c r="K275" s="317"/>
      <c r="L275" s="434">
        <f>L264+L270+L273</f>
        <v>131.00025687596565</v>
      </c>
      <c r="M275" s="434">
        <f t="shared" ref="M275:Q275" si="102">M264+M270+M273</f>
        <v>146.73144000861873</v>
      </c>
      <c r="N275" s="434">
        <f t="shared" si="102"/>
        <v>127.46201650319904</v>
      </c>
      <c r="O275" s="434">
        <f t="shared" si="102"/>
        <v>120.66381377201748</v>
      </c>
      <c r="P275" s="434">
        <f t="shared" si="102"/>
        <v>120.66381377201748</v>
      </c>
      <c r="Q275" s="434">
        <f t="shared" si="102"/>
        <v>120.66381377201748</v>
      </c>
      <c r="AI275" s="107"/>
    </row>
    <row r="276" spans="3:35" outlineLevel="1">
      <c r="L276" s="418"/>
      <c r="M276" s="418"/>
      <c r="N276" s="418"/>
      <c r="O276" s="418"/>
      <c r="P276" s="418"/>
      <c r="Q276" s="418"/>
      <c r="AI276" s="107"/>
    </row>
    <row r="277" spans="3:35" outlineLevel="1">
      <c r="D277" s="786" t="s">
        <v>212</v>
      </c>
      <c r="E277" s="787"/>
      <c r="F277" s="787"/>
      <c r="G277" s="787" t="s">
        <v>210</v>
      </c>
      <c r="H277" s="787"/>
      <c r="I277" s="788"/>
      <c r="J277" s="787"/>
      <c r="K277" s="787"/>
      <c r="L277" s="802">
        <f t="shared" ref="L277:Q277" si="103">L264+L273+L270*L34/L38</f>
        <v>122.44593815734271</v>
      </c>
      <c r="M277" s="802">
        <f t="shared" si="103"/>
        <v>138.17712128999582</v>
      </c>
      <c r="N277" s="802">
        <f t="shared" si="103"/>
        <v>118.90769778457611</v>
      </c>
      <c r="O277" s="802">
        <f t="shared" si="103"/>
        <v>112.10949505339455</v>
      </c>
      <c r="P277" s="802">
        <f t="shared" si="103"/>
        <v>112.10949505339455</v>
      </c>
      <c r="Q277" s="802">
        <f t="shared" si="103"/>
        <v>112.10949505339455</v>
      </c>
      <c r="AI277" s="107"/>
    </row>
    <row r="278" spans="3:35" outlineLevel="1">
      <c r="D278" s="27" t="s">
        <v>213</v>
      </c>
      <c r="G278" s="10" t="s">
        <v>210</v>
      </c>
      <c r="L278" s="418">
        <f t="shared" ref="L278:Q278" si="104">L$270*L37/L$38</f>
        <v>3.5295862886839782</v>
      </c>
      <c r="M278" s="418">
        <f t="shared" si="104"/>
        <v>3.5295862886839782</v>
      </c>
      <c r="N278" s="418">
        <f t="shared" si="104"/>
        <v>3.5295862886839782</v>
      </c>
      <c r="O278" s="418">
        <f t="shared" si="104"/>
        <v>3.5295862886839782</v>
      </c>
      <c r="P278" s="418">
        <f t="shared" si="104"/>
        <v>3.5295862886839782</v>
      </c>
      <c r="Q278" s="418">
        <f t="shared" si="104"/>
        <v>3.5295862886839782</v>
      </c>
      <c r="AI278" s="107"/>
    </row>
    <row r="279" spans="3:35" outlineLevel="1">
      <c r="D279" s="95" t="s">
        <v>214</v>
      </c>
      <c r="E279" s="62"/>
      <c r="F279" s="62"/>
      <c r="G279" s="62" t="s">
        <v>210</v>
      </c>
      <c r="H279" s="62"/>
      <c r="I279" s="213"/>
      <c r="J279" s="196"/>
      <c r="K279" s="62"/>
      <c r="L279" s="423">
        <f t="shared" ref="L279:Q279" si="105">L$270*L35/L$38</f>
        <v>5.0247324299389415</v>
      </c>
      <c r="M279" s="423">
        <f t="shared" si="105"/>
        <v>5.0247324299389415</v>
      </c>
      <c r="N279" s="423">
        <f t="shared" si="105"/>
        <v>5.0247324299389415</v>
      </c>
      <c r="O279" s="423">
        <f t="shared" si="105"/>
        <v>5.0247324299389415</v>
      </c>
      <c r="P279" s="423">
        <f t="shared" si="105"/>
        <v>5.0247324299389415</v>
      </c>
      <c r="Q279" s="423">
        <f t="shared" si="105"/>
        <v>5.0247324299389415</v>
      </c>
      <c r="AI279" s="107"/>
    </row>
    <row r="280" spans="3:35" outlineLevel="1">
      <c r="E280" s="10" t="s">
        <v>263</v>
      </c>
      <c r="L280" s="429" t="str">
        <f>IF(ROUND(SUM(L277:L279)-SUM(L275),5)=0,"OK","FAIL")</f>
        <v>OK</v>
      </c>
      <c r="M280" s="429" t="str">
        <f t="shared" ref="M280" si="106">IF(ROUND(SUM(M277:M279)-SUM(M275),5)=0,"OK","FAIL")</f>
        <v>OK</v>
      </c>
      <c r="N280" s="429" t="str">
        <f t="shared" ref="N280" si="107">IF(ROUND(SUM(N277:N279)-SUM(N275),5)=0,"OK","FAIL")</f>
        <v>OK</v>
      </c>
      <c r="O280" s="429" t="str">
        <f t="shared" ref="O280" si="108">IF(ROUND(SUM(O277:O279)-SUM(O275),5)=0,"OK","FAIL")</f>
        <v>OK</v>
      </c>
      <c r="P280" s="429" t="str">
        <f t="shared" ref="P280" si="109">IF(ROUND(SUM(P277:P279)-SUM(P275),5)=0,"OK","FAIL")</f>
        <v>OK</v>
      </c>
      <c r="Q280" s="429" t="str">
        <f t="shared" ref="Q280" si="110">IF(ROUND(SUM(Q277:Q279)-SUM(Q275),5)=0,"OK","FAIL")</f>
        <v>OK</v>
      </c>
      <c r="AI280" s="107"/>
    </row>
    <row r="281" spans="3:35" outlineLevel="1">
      <c r="L281" s="22"/>
      <c r="M281" s="22"/>
      <c r="N281" s="22"/>
      <c r="O281" s="22"/>
      <c r="P281" s="22"/>
      <c r="Q281" s="22"/>
      <c r="AI281" s="107"/>
    </row>
    <row r="282" spans="3:35" outlineLevel="1">
      <c r="C282" s="184" t="s">
        <v>296</v>
      </c>
      <c r="D282" s="321"/>
      <c r="E282" s="322"/>
      <c r="F282" s="322"/>
      <c r="G282" s="322"/>
      <c r="H282" s="322"/>
      <c r="I282" s="323"/>
      <c r="J282" s="322"/>
      <c r="K282" s="322"/>
      <c r="L282" s="411"/>
      <c r="M282" s="411"/>
      <c r="N282" s="411"/>
      <c r="O282" s="411"/>
      <c r="P282" s="411"/>
      <c r="Q282" s="411"/>
      <c r="R282" s="322"/>
      <c r="S282" s="322"/>
      <c r="T282" s="322"/>
      <c r="U282" s="322"/>
      <c r="V282" s="322"/>
      <c r="W282" s="322"/>
      <c r="X282" s="322"/>
      <c r="Y282" s="322"/>
      <c r="Z282" s="322"/>
      <c r="AA282" s="322"/>
      <c r="AB282" s="322"/>
      <c r="AC282" s="322"/>
      <c r="AD282" s="322"/>
      <c r="AE282" s="322"/>
      <c r="AF282" s="322"/>
      <c r="AG282" s="322"/>
      <c r="AH282" s="322"/>
      <c r="AI282" s="107"/>
    </row>
    <row r="283" spans="3:35" outlineLevel="1">
      <c r="L283" s="22"/>
      <c r="M283" s="22"/>
      <c r="N283" s="22"/>
      <c r="O283" s="22"/>
      <c r="P283" s="22"/>
      <c r="Q283" s="22"/>
      <c r="AI283" s="107"/>
    </row>
    <row r="284" spans="3:35" outlineLevel="1">
      <c r="D284" s="27" t="s">
        <v>249</v>
      </c>
      <c r="L284" s="22"/>
      <c r="M284" s="22"/>
      <c r="N284" s="22"/>
      <c r="O284" s="22"/>
      <c r="P284" s="22"/>
      <c r="Q284" s="22"/>
      <c r="AI284" s="107"/>
    </row>
    <row r="285" spans="3:35" outlineLevel="1">
      <c r="D285" s="317"/>
      <c r="E285" s="318" t="s">
        <v>297</v>
      </c>
      <c r="F285" s="318"/>
      <c r="G285" s="318" t="s">
        <v>171</v>
      </c>
      <c r="H285" s="317"/>
      <c r="I285" s="327"/>
      <c r="J285" s="318"/>
      <c r="K285" s="318"/>
      <c r="L285" s="435">
        <f>'Administration Cost'!$H$11</f>
        <v>16.465247848886801</v>
      </c>
      <c r="M285" s="435">
        <f>'Administration Cost'!$H$11</f>
        <v>16.465247848886801</v>
      </c>
      <c r="N285" s="435">
        <f>'Administration Cost'!$H$11</f>
        <v>16.465247848886801</v>
      </c>
      <c r="O285" s="435">
        <f>'Administration Cost'!$H$11</f>
        <v>16.465247848886801</v>
      </c>
      <c r="P285" s="435">
        <f>'Administration Cost'!$H$11</f>
        <v>16.465247848886801</v>
      </c>
      <c r="Q285" s="435">
        <f>'Administration Cost'!$H$11</f>
        <v>16.465247848886801</v>
      </c>
      <c r="AI285" s="107"/>
    </row>
    <row r="286" spans="3:35" outlineLevel="1">
      <c r="L286" s="22"/>
      <c r="M286" s="22"/>
      <c r="N286" s="22"/>
      <c r="O286" s="22"/>
      <c r="P286" s="22"/>
      <c r="Q286" s="22"/>
      <c r="AI286" s="107"/>
    </row>
    <row r="287" spans="3:35" outlineLevel="1">
      <c r="D287" s="27" t="s">
        <v>123</v>
      </c>
      <c r="L287" s="22"/>
      <c r="M287" s="22"/>
      <c r="N287" s="22"/>
      <c r="O287" s="22"/>
      <c r="P287" s="22"/>
      <c r="Q287" s="22"/>
      <c r="AI287" s="107"/>
    </row>
    <row r="288" spans="3:35" outlineLevel="1">
      <c r="D288" s="786"/>
      <c r="E288" s="787" t="s">
        <v>298</v>
      </c>
      <c r="F288" s="787"/>
      <c r="G288" s="787" t="s">
        <v>210</v>
      </c>
      <c r="H288" s="787"/>
      <c r="I288" s="788"/>
      <c r="J288" s="787"/>
      <c r="K288" s="787"/>
      <c r="L288" s="803">
        <f t="shared" ref="L288:Q290" si="111">$L$285*L91*L28</f>
        <v>0.16894520473517355</v>
      </c>
      <c r="M288" s="803">
        <f t="shared" si="111"/>
        <v>0.16894520473517355</v>
      </c>
      <c r="N288" s="803">
        <f t="shared" si="111"/>
        <v>0.16894520473517355</v>
      </c>
      <c r="O288" s="803">
        <f t="shared" si="111"/>
        <v>0.16894520473517355</v>
      </c>
      <c r="P288" s="803">
        <f t="shared" si="111"/>
        <v>0.16894520473517355</v>
      </c>
      <c r="Q288" s="803">
        <f t="shared" si="111"/>
        <v>0.16894520473517355</v>
      </c>
      <c r="S288" s="103"/>
      <c r="AI288" s="107"/>
    </row>
    <row r="289" spans="1:35" outlineLevel="1">
      <c r="E289" s="10" t="s">
        <v>299</v>
      </c>
      <c r="G289" s="10" t="s">
        <v>210</v>
      </c>
      <c r="L289" s="22">
        <f t="shared" si="111"/>
        <v>10.90197160676103</v>
      </c>
      <c r="M289" s="22">
        <f t="shared" si="111"/>
        <v>10.90197160676103</v>
      </c>
      <c r="N289" s="22">
        <f t="shared" si="111"/>
        <v>10.90197160676103</v>
      </c>
      <c r="O289" s="22">
        <f t="shared" si="111"/>
        <v>10.90197160676103</v>
      </c>
      <c r="P289" s="22">
        <f t="shared" si="111"/>
        <v>10.90197160676103</v>
      </c>
      <c r="Q289" s="22">
        <f t="shared" si="111"/>
        <v>10.90197160676103</v>
      </c>
      <c r="S289" s="103"/>
      <c r="AI289" s="107"/>
    </row>
    <row r="290" spans="1:35" outlineLevel="1">
      <c r="E290" s="10" t="s">
        <v>300</v>
      </c>
      <c r="G290" s="10" t="s">
        <v>210</v>
      </c>
      <c r="L290" s="22">
        <f t="shared" si="111"/>
        <v>4.9752079480371805</v>
      </c>
      <c r="M290" s="22">
        <f t="shared" si="111"/>
        <v>4.9752079480371805</v>
      </c>
      <c r="N290" s="22">
        <f t="shared" si="111"/>
        <v>4.9752079480371805</v>
      </c>
      <c r="O290" s="22">
        <f t="shared" si="111"/>
        <v>4.9752079480371805</v>
      </c>
      <c r="P290" s="22">
        <f t="shared" si="111"/>
        <v>4.9752079480371805</v>
      </c>
      <c r="Q290" s="22">
        <f t="shared" si="111"/>
        <v>4.9752079480371805</v>
      </c>
      <c r="S290" s="103"/>
      <c r="AI290" s="107"/>
    </row>
    <row r="291" spans="1:35" outlineLevel="1">
      <c r="D291" s="95" t="s">
        <v>115</v>
      </c>
      <c r="E291" s="62"/>
      <c r="F291" s="62"/>
      <c r="G291" s="62" t="s">
        <v>210</v>
      </c>
      <c r="H291" s="62"/>
      <c r="I291" s="212"/>
      <c r="J291" s="62"/>
      <c r="K291" s="62"/>
      <c r="L291" s="436">
        <f>SUM(L288:L290)</f>
        <v>16.046124759533384</v>
      </c>
      <c r="M291" s="436">
        <f t="shared" ref="M291:Q291" si="112">SUM(M288:M290)</f>
        <v>16.046124759533384</v>
      </c>
      <c r="N291" s="436">
        <f t="shared" si="112"/>
        <v>16.046124759533384</v>
      </c>
      <c r="O291" s="436">
        <f t="shared" si="112"/>
        <v>16.046124759533384</v>
      </c>
      <c r="P291" s="436">
        <f t="shared" si="112"/>
        <v>16.046124759533384</v>
      </c>
      <c r="Q291" s="436">
        <f t="shared" si="112"/>
        <v>16.046124759533384</v>
      </c>
      <c r="AI291" s="107"/>
    </row>
    <row r="292" spans="1:35" outlineLevel="1">
      <c r="L292" s="22"/>
      <c r="M292" s="22"/>
      <c r="N292" s="22"/>
      <c r="O292" s="22"/>
      <c r="P292" s="22"/>
      <c r="Q292" s="22"/>
      <c r="AI292" s="107"/>
    </row>
    <row r="293" spans="1:35" outlineLevel="1">
      <c r="D293" s="807" t="s">
        <v>212</v>
      </c>
      <c r="E293" s="808"/>
      <c r="F293" s="808"/>
      <c r="G293" s="808" t="s">
        <v>210</v>
      </c>
      <c r="H293" s="808"/>
      <c r="I293" s="809"/>
      <c r="J293" s="808"/>
      <c r="K293" s="808"/>
      <c r="L293" s="803">
        <f t="shared" ref="L293:Q293" si="113">L$291*L34/L$38</f>
        <v>1.2836899807626705</v>
      </c>
      <c r="M293" s="803">
        <f t="shared" si="113"/>
        <v>1.2836899807626705</v>
      </c>
      <c r="N293" s="803">
        <f t="shared" si="113"/>
        <v>1.2836899807626705</v>
      </c>
      <c r="O293" s="803">
        <f t="shared" si="113"/>
        <v>1.2836899807626705</v>
      </c>
      <c r="P293" s="803">
        <f t="shared" si="113"/>
        <v>1.2836899807626705</v>
      </c>
      <c r="Q293" s="803">
        <f t="shared" si="113"/>
        <v>1.2836899807626705</v>
      </c>
      <c r="AI293" s="107"/>
    </row>
    <row r="294" spans="1:35" outlineLevel="1">
      <c r="D294" s="201" t="s">
        <v>213</v>
      </c>
      <c r="E294" s="51"/>
      <c r="F294" s="51"/>
      <c r="G294" s="51" t="s">
        <v>210</v>
      </c>
      <c r="H294" s="51"/>
      <c r="I294" s="128"/>
      <c r="J294" s="51"/>
      <c r="K294" s="51"/>
      <c r="L294" s="22">
        <f t="shared" ref="L294:Q294" si="114">L$291*L37/L$38</f>
        <v>6.0911089587188725</v>
      </c>
      <c r="M294" s="22">
        <f t="shared" si="114"/>
        <v>6.0911089587188725</v>
      </c>
      <c r="N294" s="22">
        <f t="shared" si="114"/>
        <v>6.0911089587188725</v>
      </c>
      <c r="O294" s="22">
        <f t="shared" si="114"/>
        <v>6.0911089587188725</v>
      </c>
      <c r="P294" s="22">
        <f t="shared" si="114"/>
        <v>6.0911089587188725</v>
      </c>
      <c r="Q294" s="22">
        <f t="shared" si="114"/>
        <v>6.0911089587188725</v>
      </c>
      <c r="AI294" s="107"/>
    </row>
    <row r="295" spans="1:35" outlineLevel="1">
      <c r="D295" s="202" t="s">
        <v>214</v>
      </c>
      <c r="E295" s="183"/>
      <c r="F295" s="183"/>
      <c r="G295" s="183" t="s">
        <v>210</v>
      </c>
      <c r="H295" s="183"/>
      <c r="I295" s="177"/>
      <c r="J295" s="183"/>
      <c r="K295" s="183"/>
      <c r="L295" s="428">
        <f t="shared" ref="L295:Q295" si="115">L$291*L35/L$38</f>
        <v>8.671325820051841</v>
      </c>
      <c r="M295" s="428">
        <f t="shared" si="115"/>
        <v>8.671325820051841</v>
      </c>
      <c r="N295" s="428">
        <f t="shared" si="115"/>
        <v>8.671325820051841</v>
      </c>
      <c r="O295" s="428">
        <f t="shared" si="115"/>
        <v>8.671325820051841</v>
      </c>
      <c r="P295" s="428">
        <f t="shared" si="115"/>
        <v>8.671325820051841</v>
      </c>
      <c r="Q295" s="428">
        <f t="shared" si="115"/>
        <v>8.671325820051841</v>
      </c>
      <c r="AI295" s="107"/>
    </row>
    <row r="296" spans="1:35" outlineLevel="1">
      <c r="L296" s="429"/>
      <c r="M296" s="429"/>
      <c r="N296" s="429"/>
      <c r="O296" s="429"/>
      <c r="P296" s="429"/>
      <c r="Q296" s="429"/>
      <c r="AI296" s="107"/>
    </row>
    <row r="297" spans="1:35" outlineLevel="1">
      <c r="L297" s="21"/>
      <c r="M297" s="21"/>
      <c r="N297" s="21"/>
      <c r="O297" s="21"/>
      <c r="P297" s="21"/>
      <c r="Q297" s="21"/>
      <c r="AI297" s="107"/>
    </row>
    <row r="298" spans="1:35" outlineLevel="1">
      <c r="A298" s="204"/>
      <c r="B298" s="93" t="s">
        <v>301</v>
      </c>
      <c r="C298" s="93"/>
      <c r="D298" s="93"/>
      <c r="E298" s="205"/>
      <c r="F298" s="205"/>
      <c r="G298" s="205"/>
      <c r="H298" s="205"/>
      <c r="I298" s="216"/>
      <c r="J298" s="205"/>
      <c r="K298" s="205"/>
      <c r="L298" s="437"/>
      <c r="M298" s="437"/>
      <c r="N298" s="437"/>
      <c r="O298" s="437"/>
      <c r="P298" s="437"/>
      <c r="Q298" s="437"/>
      <c r="R298" s="205"/>
      <c r="S298" s="205"/>
      <c r="T298" s="205"/>
      <c r="U298" s="205"/>
      <c r="V298" s="205"/>
      <c r="W298" s="205"/>
      <c r="X298" s="205"/>
      <c r="Y298" s="205"/>
      <c r="Z298" s="205"/>
      <c r="AA298" s="205"/>
      <c r="AB298" s="205"/>
      <c r="AC298" s="205"/>
      <c r="AD298" s="205"/>
      <c r="AE298" s="205"/>
      <c r="AF298" s="205"/>
      <c r="AG298" s="205"/>
      <c r="AH298" s="205"/>
      <c r="AI298" s="107"/>
    </row>
    <row r="299" spans="1:35" outlineLevel="1">
      <c r="L299" s="21"/>
      <c r="M299" s="21"/>
      <c r="N299" s="21"/>
      <c r="O299" s="21"/>
      <c r="P299" s="21"/>
      <c r="Q299" s="21"/>
      <c r="AI299" s="107"/>
    </row>
    <row r="300" spans="1:35" outlineLevel="1">
      <c r="D300" s="27" t="s">
        <v>104</v>
      </c>
      <c r="L300" s="21"/>
      <c r="M300" s="21"/>
      <c r="N300" s="21"/>
      <c r="O300" s="21"/>
      <c r="P300" s="21"/>
      <c r="Q300" s="21"/>
      <c r="AI300" s="107"/>
    </row>
    <row r="301" spans="1:35" outlineLevel="1">
      <c r="D301" s="786"/>
      <c r="E301" s="787" t="s">
        <v>108</v>
      </c>
      <c r="F301" s="787"/>
      <c r="G301" s="787" t="s">
        <v>210</v>
      </c>
      <c r="H301" s="787"/>
      <c r="I301" s="788"/>
      <c r="J301" s="787"/>
      <c r="K301" s="787"/>
      <c r="L301" s="803">
        <f>L132</f>
        <v>17.974916316903489</v>
      </c>
      <c r="M301" s="803">
        <f t="shared" ref="M301:Q301" si="116">M132</f>
        <v>21.017343751301521</v>
      </c>
      <c r="N301" s="803">
        <f t="shared" si="116"/>
        <v>17.592741417266659</v>
      </c>
      <c r="O301" s="803">
        <f t="shared" si="116"/>
        <v>16.44484266905798</v>
      </c>
      <c r="P301" s="803">
        <f t="shared" si="116"/>
        <v>16.550901983738711</v>
      </c>
      <c r="Q301" s="803">
        <f t="shared" si="116"/>
        <v>16.629375256533056</v>
      </c>
      <c r="AI301" s="107"/>
    </row>
    <row r="302" spans="1:35" outlineLevel="1">
      <c r="E302" s="10" t="s">
        <v>109</v>
      </c>
      <c r="G302" s="10" t="s">
        <v>210</v>
      </c>
      <c r="L302" s="22">
        <f t="shared" ref="L302:Q302" si="117">L168</f>
        <v>28.231623487045429</v>
      </c>
      <c r="M302" s="22">
        <f t="shared" si="117"/>
        <v>28.438345929057196</v>
      </c>
      <c r="N302" s="22">
        <f t="shared" si="117"/>
        <v>28.704827267907586</v>
      </c>
      <c r="O302" s="22">
        <f t="shared" si="117"/>
        <v>28.940809707890981</v>
      </c>
      <c r="P302" s="22">
        <f t="shared" si="117"/>
        <v>29.141085314299549</v>
      </c>
      <c r="Q302" s="22">
        <f t="shared" si="117"/>
        <v>29.289269208784091</v>
      </c>
      <c r="AI302" s="107"/>
    </row>
    <row r="303" spans="1:35" outlineLevel="1">
      <c r="E303" s="10" t="s">
        <v>113</v>
      </c>
      <c r="G303" s="10" t="s">
        <v>210</v>
      </c>
      <c r="L303" s="22">
        <f>L228</f>
        <v>54.999875086376875</v>
      </c>
      <c r="M303" s="22">
        <f t="shared" ref="M303:P303" si="118">M228</f>
        <v>64.310778018786763</v>
      </c>
      <c r="N303" s="22">
        <f t="shared" si="118"/>
        <v>53.833616600915498</v>
      </c>
      <c r="O303" s="22">
        <f t="shared" si="118"/>
        <v>50.322481156946921</v>
      </c>
      <c r="P303" s="22">
        <f t="shared" si="118"/>
        <v>50.648229725221739</v>
      </c>
      <c r="Q303" s="22">
        <f>Q228</f>
        <v>50.889251047465294</v>
      </c>
      <c r="AI303" s="107"/>
    </row>
    <row r="304" spans="1:35" outlineLevel="1">
      <c r="E304" s="10" t="s">
        <v>110</v>
      </c>
      <c r="G304" s="10" t="s">
        <v>210</v>
      </c>
      <c r="L304" s="22">
        <f t="shared" ref="L304:Q304" si="119">L116</f>
        <v>0</v>
      </c>
      <c r="M304" s="22">
        <f t="shared" si="119"/>
        <v>0</v>
      </c>
      <c r="N304" s="22">
        <f t="shared" si="119"/>
        <v>0</v>
      </c>
      <c r="O304" s="22">
        <f t="shared" si="119"/>
        <v>0</v>
      </c>
      <c r="P304" s="22">
        <f t="shared" si="119"/>
        <v>0</v>
      </c>
      <c r="Q304" s="22">
        <f t="shared" si="119"/>
        <v>0</v>
      </c>
      <c r="AI304" s="107"/>
    </row>
    <row r="305" spans="4:35" outlineLevel="1">
      <c r="E305" s="10" t="s">
        <v>111</v>
      </c>
      <c r="G305" s="10" t="s">
        <v>210</v>
      </c>
      <c r="L305" s="22">
        <f t="shared" ref="L305:Q305" si="120">L152</f>
        <v>0</v>
      </c>
      <c r="M305" s="22">
        <f t="shared" si="120"/>
        <v>0</v>
      </c>
      <c r="N305" s="22">
        <f t="shared" si="120"/>
        <v>0</v>
      </c>
      <c r="O305" s="22">
        <f t="shared" si="120"/>
        <v>0</v>
      </c>
      <c r="P305" s="22">
        <f t="shared" si="120"/>
        <v>0</v>
      </c>
      <c r="Q305" s="22">
        <f t="shared" si="120"/>
        <v>0</v>
      </c>
      <c r="AI305" s="107"/>
    </row>
    <row r="306" spans="4:35" outlineLevel="1">
      <c r="E306" s="10" t="s">
        <v>112</v>
      </c>
      <c r="G306" s="10" t="s">
        <v>210</v>
      </c>
      <c r="L306" s="22">
        <f t="shared" ref="L306:Q306" si="121">L210</f>
        <v>15.955066120866213</v>
      </c>
      <c r="M306" s="22">
        <f t="shared" si="121"/>
        <v>18.648356347949974</v>
      </c>
      <c r="N306" s="22">
        <f t="shared" si="121"/>
        <v>15.602049401759224</v>
      </c>
      <c r="O306" s="22">
        <f t="shared" si="121"/>
        <v>14.577760114988806</v>
      </c>
      <c r="P306" s="22">
        <f t="shared" si="121"/>
        <v>14.666488555581216</v>
      </c>
      <c r="Q306" s="22">
        <f t="shared" si="121"/>
        <v>14.732138716947853</v>
      </c>
      <c r="AI306" s="107"/>
    </row>
    <row r="307" spans="4:35" outlineLevel="1">
      <c r="E307" s="10" t="s">
        <v>114</v>
      </c>
      <c r="G307" s="10" t="s">
        <v>210</v>
      </c>
      <c r="L307" s="22">
        <f t="shared" ref="L307:Q307" si="122">L277</f>
        <v>122.44593815734271</v>
      </c>
      <c r="M307" s="22">
        <f t="shared" si="122"/>
        <v>138.17712128999582</v>
      </c>
      <c r="N307" s="22">
        <f t="shared" si="122"/>
        <v>118.90769778457611</v>
      </c>
      <c r="O307" s="22">
        <f t="shared" si="122"/>
        <v>112.10949505339455</v>
      </c>
      <c r="P307" s="22">
        <f t="shared" si="122"/>
        <v>112.10949505339455</v>
      </c>
      <c r="Q307" s="22">
        <f t="shared" si="122"/>
        <v>112.10949505339455</v>
      </c>
      <c r="AI307" s="107"/>
    </row>
    <row r="308" spans="4:35" outlineLevel="1">
      <c r="E308" s="10" t="s">
        <v>115</v>
      </c>
      <c r="G308" s="10" t="s">
        <v>210</v>
      </c>
      <c r="L308" s="22">
        <f t="shared" ref="L308:Q308" si="123">L293</f>
        <v>1.2836899807626705</v>
      </c>
      <c r="M308" s="22">
        <f t="shared" si="123"/>
        <v>1.2836899807626705</v>
      </c>
      <c r="N308" s="22">
        <f t="shared" si="123"/>
        <v>1.2836899807626705</v>
      </c>
      <c r="O308" s="22">
        <f t="shared" si="123"/>
        <v>1.2836899807626705</v>
      </c>
      <c r="P308" s="22">
        <f t="shared" si="123"/>
        <v>1.2836899807626705</v>
      </c>
      <c r="Q308" s="22">
        <f t="shared" si="123"/>
        <v>1.2836899807626705</v>
      </c>
      <c r="AI308" s="107"/>
    </row>
    <row r="309" spans="4:35" outlineLevel="1">
      <c r="E309" s="10" t="s">
        <v>116</v>
      </c>
      <c r="G309" s="10" t="s">
        <v>210</v>
      </c>
      <c r="L309" s="22">
        <v>0</v>
      </c>
      <c r="M309" s="22">
        <v>0</v>
      </c>
      <c r="N309" s="22">
        <v>0</v>
      </c>
      <c r="O309" s="22">
        <v>0</v>
      </c>
      <c r="P309" s="22">
        <v>0</v>
      </c>
      <c r="Q309" s="22">
        <v>0</v>
      </c>
      <c r="AI309" s="107"/>
    </row>
    <row r="310" spans="4:35" outlineLevel="1">
      <c r="D310" s="95" t="s">
        <v>107</v>
      </c>
      <c r="E310" s="62"/>
      <c r="F310" s="62"/>
      <c r="G310" s="95" t="s">
        <v>210</v>
      </c>
      <c r="H310" s="62"/>
      <c r="I310" s="212"/>
      <c r="J310" s="62"/>
      <c r="K310" s="62"/>
      <c r="L310" s="436">
        <f>SUM(L301:L309)</f>
        <v>240.89110914929736</v>
      </c>
      <c r="M310" s="436">
        <f t="shared" ref="M310:Q310" si="124">SUM(M301:M309)</f>
        <v>271.87563531785395</v>
      </c>
      <c r="N310" s="436">
        <f t="shared" si="124"/>
        <v>235.92462245318771</v>
      </c>
      <c r="O310" s="436">
        <f t="shared" si="124"/>
        <v>223.67907868304189</v>
      </c>
      <c r="P310" s="436">
        <f t="shared" si="124"/>
        <v>224.39989061299841</v>
      </c>
      <c r="Q310" s="436">
        <f t="shared" si="124"/>
        <v>224.93321926388751</v>
      </c>
      <c r="AI310" s="107"/>
    </row>
    <row r="311" spans="4:35" outlineLevel="1">
      <c r="L311" s="22"/>
      <c r="M311" s="22"/>
      <c r="N311" s="22"/>
      <c r="O311" s="22"/>
      <c r="P311" s="22"/>
      <c r="Q311" s="22"/>
      <c r="AI311" s="107"/>
    </row>
    <row r="312" spans="4:35" outlineLevel="1">
      <c r="D312" s="27" t="s">
        <v>155</v>
      </c>
      <c r="L312" s="22"/>
      <c r="M312" s="22"/>
      <c r="N312" s="22"/>
      <c r="O312" s="22"/>
      <c r="P312" s="22"/>
      <c r="Q312" s="22"/>
      <c r="AI312" s="107"/>
    </row>
    <row r="313" spans="4:35" outlineLevel="1">
      <c r="D313" s="786"/>
      <c r="E313" s="787" t="s">
        <v>108</v>
      </c>
      <c r="F313" s="787"/>
      <c r="G313" s="787" t="s">
        <v>210</v>
      </c>
      <c r="H313" s="787"/>
      <c r="I313" s="788"/>
      <c r="J313" s="787"/>
      <c r="K313" s="787"/>
      <c r="L313" s="803">
        <f t="shared" ref="L313:Q313" si="125">L133</f>
        <v>85.290977923707061</v>
      </c>
      <c r="M313" s="803">
        <f t="shared" si="125"/>
        <v>99.727296099925724</v>
      </c>
      <c r="N313" s="803">
        <f t="shared" si="125"/>
        <v>83.477558024930303</v>
      </c>
      <c r="O313" s="803">
        <f t="shared" si="125"/>
        <v>78.030778464680111</v>
      </c>
      <c r="P313" s="803">
        <f t="shared" si="125"/>
        <v>78.534029912840197</v>
      </c>
      <c r="Q313" s="803">
        <f t="shared" si="125"/>
        <v>78.906385592249336</v>
      </c>
      <c r="AI313" s="107"/>
    </row>
    <row r="314" spans="4:35" outlineLevel="1">
      <c r="E314" s="10" t="s">
        <v>109</v>
      </c>
      <c r="G314" s="10" t="s">
        <v>210</v>
      </c>
      <c r="L314" s="22">
        <f t="shared" ref="L314:Q314" si="126">L169</f>
        <v>133.95905344603057</v>
      </c>
      <c r="M314" s="22">
        <f t="shared" si="126"/>
        <v>134.93995143337639</v>
      </c>
      <c r="N314" s="22">
        <f t="shared" si="126"/>
        <v>136.20440538622148</v>
      </c>
      <c r="O314" s="22">
        <f t="shared" si="126"/>
        <v>137.3241420639427</v>
      </c>
      <c r="P314" s="22">
        <f t="shared" si="126"/>
        <v>138.27444981635136</v>
      </c>
      <c r="Q314" s="22">
        <f t="shared" si="126"/>
        <v>138.97758239568051</v>
      </c>
      <c r="AI314" s="107"/>
    </row>
    <row r="315" spans="4:35" outlineLevel="1">
      <c r="E315" s="10" t="s">
        <v>113</v>
      </c>
      <c r="G315" s="10" t="s">
        <v>210</v>
      </c>
      <c r="L315" s="22">
        <f t="shared" ref="L315:Q315" si="127">L229</f>
        <v>260.97440728485827</v>
      </c>
      <c r="M315" s="22">
        <f t="shared" si="127"/>
        <v>305.15464169914321</v>
      </c>
      <c r="N315" s="22">
        <f t="shared" si="127"/>
        <v>255.44051077134404</v>
      </c>
      <c r="O315" s="22">
        <f t="shared" si="127"/>
        <v>238.78017308971314</v>
      </c>
      <c r="P315" s="22">
        <f t="shared" si="127"/>
        <v>240.32585004617715</v>
      </c>
      <c r="Q315" s="22">
        <f t="shared" si="127"/>
        <v>241.46949622022282</v>
      </c>
      <c r="AI315" s="107"/>
    </row>
    <row r="316" spans="4:35" outlineLevel="1">
      <c r="E316" s="10" t="s">
        <v>110</v>
      </c>
      <c r="G316" s="10" t="s">
        <v>210</v>
      </c>
      <c r="L316" s="22">
        <f t="shared" ref="L316:Q316" si="128">L117</f>
        <v>0</v>
      </c>
      <c r="M316" s="22">
        <f t="shared" si="128"/>
        <v>0</v>
      </c>
      <c r="N316" s="22">
        <f t="shared" si="128"/>
        <v>0</v>
      </c>
      <c r="O316" s="22">
        <f t="shared" si="128"/>
        <v>0</v>
      </c>
      <c r="P316" s="22">
        <f t="shared" si="128"/>
        <v>0</v>
      </c>
      <c r="Q316" s="22">
        <f t="shared" si="128"/>
        <v>0</v>
      </c>
      <c r="AI316" s="107"/>
    </row>
    <row r="317" spans="4:35" outlineLevel="1">
      <c r="E317" s="10" t="s">
        <v>111</v>
      </c>
      <c r="G317" s="10" t="s">
        <v>210</v>
      </c>
      <c r="L317" s="22">
        <f t="shared" ref="L317:Q317" si="129">L153</f>
        <v>0</v>
      </c>
      <c r="M317" s="22">
        <f t="shared" si="129"/>
        <v>0</v>
      </c>
      <c r="N317" s="22">
        <f t="shared" si="129"/>
        <v>0</v>
      </c>
      <c r="O317" s="22">
        <f t="shared" si="129"/>
        <v>0</v>
      </c>
      <c r="P317" s="22">
        <f t="shared" si="129"/>
        <v>0</v>
      </c>
      <c r="Q317" s="22">
        <f t="shared" si="129"/>
        <v>0</v>
      </c>
      <c r="AI317" s="107"/>
    </row>
    <row r="318" spans="4:35" outlineLevel="1">
      <c r="E318" s="10" t="s">
        <v>112</v>
      </c>
      <c r="G318" s="10" t="s">
        <v>210</v>
      </c>
      <c r="L318" s="22">
        <f t="shared" ref="L318:Q318" si="130">L211</f>
        <v>105.25912461129855</v>
      </c>
      <c r="M318" s="22">
        <f t="shared" si="130"/>
        <v>123.10381046049102</v>
      </c>
      <c r="N318" s="22">
        <f t="shared" si="130"/>
        <v>103.07541396283017</v>
      </c>
      <c r="O318" s="22">
        <f t="shared" si="130"/>
        <v>96.374622381147375</v>
      </c>
      <c r="P318" s="22">
        <f t="shared" si="130"/>
        <v>97.016998435671397</v>
      </c>
      <c r="Q318" s="22">
        <f t="shared" si="130"/>
        <v>97.492292392783639</v>
      </c>
      <c r="AI318" s="107"/>
    </row>
    <row r="319" spans="4:35" outlineLevel="1">
      <c r="E319" s="10" t="s">
        <v>114</v>
      </c>
      <c r="G319" s="10" t="s">
        <v>210</v>
      </c>
      <c r="L319" s="22">
        <f t="shared" ref="L319:Q319" si="131">L278</f>
        <v>3.5295862886839782</v>
      </c>
      <c r="M319" s="22">
        <f t="shared" si="131"/>
        <v>3.5295862886839782</v>
      </c>
      <c r="N319" s="22">
        <f t="shared" si="131"/>
        <v>3.5295862886839782</v>
      </c>
      <c r="O319" s="22">
        <f t="shared" si="131"/>
        <v>3.5295862886839782</v>
      </c>
      <c r="P319" s="22">
        <f t="shared" si="131"/>
        <v>3.5295862886839782</v>
      </c>
      <c r="Q319" s="22">
        <f t="shared" si="131"/>
        <v>3.5295862886839782</v>
      </c>
      <c r="AI319" s="107"/>
    </row>
    <row r="320" spans="4:35" outlineLevel="1">
      <c r="E320" s="10" t="s">
        <v>115</v>
      </c>
      <c r="G320" s="10" t="s">
        <v>210</v>
      </c>
      <c r="L320" s="22">
        <f t="shared" ref="L320:Q320" si="132">L294</f>
        <v>6.0911089587188725</v>
      </c>
      <c r="M320" s="22">
        <f t="shared" si="132"/>
        <v>6.0911089587188725</v>
      </c>
      <c r="N320" s="22">
        <f t="shared" si="132"/>
        <v>6.0911089587188725</v>
      </c>
      <c r="O320" s="22">
        <f t="shared" si="132"/>
        <v>6.0911089587188725</v>
      </c>
      <c r="P320" s="22">
        <f t="shared" si="132"/>
        <v>6.0911089587188725</v>
      </c>
      <c r="Q320" s="22">
        <f t="shared" si="132"/>
        <v>6.0911089587188725</v>
      </c>
      <c r="AI320" s="107"/>
    </row>
    <row r="321" spans="4:35" outlineLevel="1">
      <c r="E321" s="10" t="s">
        <v>116</v>
      </c>
      <c r="G321" s="10" t="s">
        <v>210</v>
      </c>
      <c r="L321" s="22">
        <v>0</v>
      </c>
      <c r="M321" s="22">
        <v>0</v>
      </c>
      <c r="N321" s="22">
        <v>0</v>
      </c>
      <c r="O321" s="22">
        <v>0</v>
      </c>
      <c r="P321" s="22">
        <v>0</v>
      </c>
      <c r="Q321" s="22">
        <v>0</v>
      </c>
      <c r="AI321" s="107"/>
    </row>
    <row r="322" spans="4:35" outlineLevel="1">
      <c r="D322" s="95" t="s">
        <v>107</v>
      </c>
      <c r="E322" s="62"/>
      <c r="F322" s="62"/>
      <c r="G322" s="62"/>
      <c r="H322" s="62"/>
      <c r="I322" s="212"/>
      <c r="J322" s="62"/>
      <c r="K322" s="62"/>
      <c r="L322" s="436">
        <f>SUM(L313:L321)</f>
        <v>595.10425851329728</v>
      </c>
      <c r="M322" s="436">
        <f t="shared" ref="M322:Q322" si="133">SUM(M313:M321)</f>
        <v>672.54639494033916</v>
      </c>
      <c r="N322" s="436">
        <f t="shared" si="133"/>
        <v>587.8185833927289</v>
      </c>
      <c r="O322" s="436">
        <f t="shared" si="133"/>
        <v>560.13041124688618</v>
      </c>
      <c r="P322" s="436">
        <f t="shared" si="133"/>
        <v>563.77202345844296</v>
      </c>
      <c r="Q322" s="436">
        <f t="shared" si="133"/>
        <v>566.46645184833915</v>
      </c>
      <c r="AI322" s="107"/>
    </row>
    <row r="323" spans="4:35" outlineLevel="1">
      <c r="L323" s="22"/>
      <c r="M323" s="22"/>
      <c r="N323" s="22"/>
      <c r="O323" s="22"/>
      <c r="P323" s="22"/>
      <c r="Q323" s="22"/>
      <c r="AI323" s="107"/>
    </row>
    <row r="324" spans="4:35" outlineLevel="1">
      <c r="D324" s="27" t="s">
        <v>106</v>
      </c>
      <c r="L324" s="22"/>
      <c r="M324" s="22"/>
      <c r="N324" s="22"/>
      <c r="O324" s="22"/>
      <c r="P324" s="22"/>
      <c r="Q324" s="22"/>
      <c r="AI324" s="107"/>
    </row>
    <row r="325" spans="4:35" outlineLevel="1">
      <c r="D325" s="786"/>
      <c r="E325" s="787" t="s">
        <v>108</v>
      </c>
      <c r="F325" s="787"/>
      <c r="G325" s="787" t="s">
        <v>210</v>
      </c>
      <c r="H325" s="787"/>
      <c r="I325" s="788"/>
      <c r="J325" s="787"/>
      <c r="K325" s="787"/>
      <c r="L325" s="803">
        <f t="shared" ref="L325:Q325" si="134">L134</f>
        <v>121.42055972068307</v>
      </c>
      <c r="M325" s="803">
        <f t="shared" si="134"/>
        <v>141.97215704004179</v>
      </c>
      <c r="N325" s="803">
        <f t="shared" si="134"/>
        <v>118.8389682736363</v>
      </c>
      <c r="O325" s="803">
        <f t="shared" si="134"/>
        <v>111.08491222948665</v>
      </c>
      <c r="P325" s="803">
        <f t="shared" si="134"/>
        <v>111.80134290015502</v>
      </c>
      <c r="Q325" s="803">
        <f t="shared" si="134"/>
        <v>112.33142985788079</v>
      </c>
      <c r="AI325" s="107"/>
    </row>
    <row r="326" spans="4:35" outlineLevel="1">
      <c r="E326" s="10" t="s">
        <v>109</v>
      </c>
      <c r="G326" s="10" t="s">
        <v>210</v>
      </c>
      <c r="L326" s="22">
        <f t="shared" ref="L326:Q326" si="135">L170</f>
        <v>190.7046166549919</v>
      </c>
      <c r="M326" s="22">
        <f t="shared" si="135"/>
        <v>192.10102675078136</v>
      </c>
      <c r="N326" s="22">
        <f t="shared" si="135"/>
        <v>193.90110819471573</v>
      </c>
      <c r="O326" s="22">
        <f t="shared" si="135"/>
        <v>195.49516957680356</v>
      </c>
      <c r="P326" s="22">
        <f t="shared" si="135"/>
        <v>196.84803129809347</v>
      </c>
      <c r="Q326" s="22">
        <f t="shared" si="135"/>
        <v>197.84901350533653</v>
      </c>
      <c r="AI326" s="107"/>
    </row>
    <row r="327" spans="4:35" outlineLevel="1">
      <c r="E327" s="10" t="s">
        <v>113</v>
      </c>
      <c r="G327" s="10" t="s">
        <v>210</v>
      </c>
      <c r="L327" s="22">
        <f t="shared" ref="L327:Q327" si="136">L230</f>
        <v>371.5241562084758</v>
      </c>
      <c r="M327" s="22">
        <f t="shared" si="136"/>
        <v>434.41930551690456</v>
      </c>
      <c r="N327" s="22">
        <f t="shared" si="136"/>
        <v>363.64608013918422</v>
      </c>
      <c r="O327" s="22">
        <f t="shared" si="136"/>
        <v>339.9283602151765</v>
      </c>
      <c r="P327" s="22">
        <f t="shared" si="136"/>
        <v>342.12879179387284</v>
      </c>
      <c r="Q327" s="22">
        <f t="shared" si="136"/>
        <v>343.75689082562809</v>
      </c>
      <c r="AI327" s="107"/>
    </row>
    <row r="328" spans="4:35" outlineLevel="1">
      <c r="E328" s="10" t="s">
        <v>110</v>
      </c>
      <c r="G328" s="10" t="s">
        <v>210</v>
      </c>
      <c r="L328" s="22">
        <f t="shared" ref="L328:Q328" si="137">L118</f>
        <v>0</v>
      </c>
      <c r="M328" s="22">
        <f t="shared" si="137"/>
        <v>0</v>
      </c>
      <c r="N328" s="22">
        <f t="shared" si="137"/>
        <v>0</v>
      </c>
      <c r="O328" s="22">
        <f t="shared" si="137"/>
        <v>0</v>
      </c>
      <c r="P328" s="22">
        <f t="shared" si="137"/>
        <v>0</v>
      </c>
      <c r="Q328" s="22">
        <f t="shared" si="137"/>
        <v>0</v>
      </c>
      <c r="AI328" s="107"/>
    </row>
    <row r="329" spans="4:35" outlineLevel="1">
      <c r="E329" s="10" t="s">
        <v>111</v>
      </c>
      <c r="G329" s="10" t="s">
        <v>210</v>
      </c>
      <c r="L329" s="22">
        <f t="shared" ref="L329:Q329" si="138">L154</f>
        <v>0</v>
      </c>
      <c r="M329" s="22">
        <f t="shared" si="138"/>
        <v>0</v>
      </c>
      <c r="N329" s="22">
        <f t="shared" si="138"/>
        <v>0</v>
      </c>
      <c r="O329" s="22">
        <f t="shared" si="138"/>
        <v>0</v>
      </c>
      <c r="P329" s="22">
        <f t="shared" si="138"/>
        <v>0</v>
      </c>
      <c r="Q329" s="22">
        <f t="shared" si="138"/>
        <v>0</v>
      </c>
      <c r="AI329" s="107"/>
    </row>
    <row r="330" spans="4:35" outlineLevel="1">
      <c r="E330" s="10" t="s">
        <v>112</v>
      </c>
      <c r="G330" s="10" t="s">
        <v>210</v>
      </c>
      <c r="L330" s="22">
        <f t="shared" ref="L330:Q330" si="139">L212</f>
        <v>464.75937162894803</v>
      </c>
      <c r="M330" s="22">
        <f t="shared" si="139"/>
        <v>544.13643676326933</v>
      </c>
      <c r="N330" s="22">
        <f t="shared" si="139"/>
        <v>456.23045655710445</v>
      </c>
      <c r="O330" s="22">
        <f t="shared" si="139"/>
        <v>427.0782526078047</v>
      </c>
      <c r="P330" s="22">
        <f t="shared" si="139"/>
        <v>430.35156744872114</v>
      </c>
      <c r="Q330" s="22">
        <f t="shared" si="139"/>
        <v>432.77349266317543</v>
      </c>
      <c r="AI330" s="107"/>
    </row>
    <row r="331" spans="4:35" outlineLevel="1">
      <c r="E331" s="10" t="s">
        <v>114</v>
      </c>
      <c r="G331" s="10" t="s">
        <v>210</v>
      </c>
      <c r="L331" s="22">
        <f t="shared" ref="L331:Q331" si="140">L279</f>
        <v>5.0247324299389415</v>
      </c>
      <c r="M331" s="22">
        <f t="shared" si="140"/>
        <v>5.0247324299389415</v>
      </c>
      <c r="N331" s="22">
        <f t="shared" si="140"/>
        <v>5.0247324299389415</v>
      </c>
      <c r="O331" s="22">
        <f t="shared" si="140"/>
        <v>5.0247324299389415</v>
      </c>
      <c r="P331" s="22">
        <f t="shared" si="140"/>
        <v>5.0247324299389415</v>
      </c>
      <c r="Q331" s="22">
        <f t="shared" si="140"/>
        <v>5.0247324299389415</v>
      </c>
      <c r="AI331" s="107"/>
    </row>
    <row r="332" spans="4:35" outlineLevel="1">
      <c r="E332" s="10" t="s">
        <v>115</v>
      </c>
      <c r="G332" s="10" t="s">
        <v>210</v>
      </c>
      <c r="L332" s="22">
        <f t="shared" ref="L332:Q332" si="141">L295</f>
        <v>8.671325820051841</v>
      </c>
      <c r="M332" s="22">
        <f t="shared" si="141"/>
        <v>8.671325820051841</v>
      </c>
      <c r="N332" s="22">
        <f t="shared" si="141"/>
        <v>8.671325820051841</v>
      </c>
      <c r="O332" s="22">
        <f t="shared" si="141"/>
        <v>8.671325820051841</v>
      </c>
      <c r="P332" s="22">
        <f t="shared" si="141"/>
        <v>8.671325820051841</v>
      </c>
      <c r="Q332" s="22">
        <f t="shared" si="141"/>
        <v>8.671325820051841</v>
      </c>
      <c r="AI332" s="107"/>
    </row>
    <row r="333" spans="4:35" outlineLevel="1">
      <c r="E333" s="10" t="s">
        <v>116</v>
      </c>
      <c r="G333" s="10" t="s">
        <v>210</v>
      </c>
      <c r="L333" s="22">
        <v>0</v>
      </c>
      <c r="M333" s="22">
        <v>0</v>
      </c>
      <c r="N333" s="22">
        <v>0</v>
      </c>
      <c r="O333" s="22">
        <v>0</v>
      </c>
      <c r="P333" s="22">
        <v>0</v>
      </c>
      <c r="Q333" s="22">
        <v>0</v>
      </c>
      <c r="AI333" s="107"/>
    </row>
    <row r="334" spans="4:35" outlineLevel="1">
      <c r="D334" s="95" t="s">
        <v>107</v>
      </c>
      <c r="E334" s="62"/>
      <c r="F334" s="62"/>
      <c r="G334" s="62"/>
      <c r="H334" s="62"/>
      <c r="I334" s="212"/>
      <c r="J334" s="62"/>
      <c r="K334" s="62"/>
      <c r="L334" s="436">
        <f>SUM(L325:L333)</f>
        <v>1162.1047624630896</v>
      </c>
      <c r="M334" s="436">
        <f t="shared" ref="M334" si="142">SUM(M325:M333)</f>
        <v>1326.3249843209878</v>
      </c>
      <c r="N334" s="436">
        <f t="shared" ref="N334" si="143">SUM(N325:N333)</f>
        <v>1146.3126714146315</v>
      </c>
      <c r="O334" s="436">
        <f t="shared" ref="O334" si="144">SUM(O325:O333)</f>
        <v>1087.282752879262</v>
      </c>
      <c r="P334" s="436">
        <f t="shared" ref="P334" si="145">SUM(P325:P333)</f>
        <v>1094.8257916908333</v>
      </c>
      <c r="Q334" s="436">
        <f t="shared" ref="Q334" si="146">SUM(Q325:Q333)</f>
        <v>1100.4068851020115</v>
      </c>
      <c r="AI334" s="107"/>
    </row>
    <row r="335" spans="4:35" outlineLevel="1">
      <c r="L335" s="21"/>
      <c r="M335" s="21"/>
      <c r="N335" s="21"/>
      <c r="O335" s="21"/>
      <c r="P335" s="21"/>
      <c r="Q335" s="21"/>
      <c r="AI335" s="107"/>
    </row>
    <row r="336" spans="4:35">
      <c r="L336" s="21"/>
      <c r="M336" s="21"/>
      <c r="N336" s="21"/>
      <c r="O336" s="21"/>
      <c r="P336" s="21"/>
      <c r="Q336" s="21"/>
      <c r="AI336" s="107"/>
    </row>
    <row r="337" spans="1:35">
      <c r="A337" s="93" t="s">
        <v>302</v>
      </c>
      <c r="B337" s="93"/>
      <c r="C337" s="93"/>
      <c r="D337" s="93"/>
      <c r="E337" s="93" t="s">
        <v>303</v>
      </c>
      <c r="F337" s="93"/>
      <c r="G337" s="227">
        <f>'Benefits and NPV Tables'!C4</f>
        <v>1</v>
      </c>
      <c r="H337" s="93"/>
      <c r="I337" s="211"/>
      <c r="J337" s="93"/>
      <c r="K337" s="93"/>
      <c r="L337" s="414"/>
      <c r="M337" s="414"/>
      <c r="N337" s="414"/>
      <c r="O337" s="414"/>
      <c r="P337" s="414"/>
      <c r="Q337" s="414"/>
      <c r="R337" s="93"/>
      <c r="S337" s="93"/>
      <c r="T337" s="93"/>
      <c r="U337" s="93"/>
      <c r="V337" s="93"/>
      <c r="W337" s="93"/>
      <c r="X337" s="93"/>
      <c r="Y337" s="93"/>
      <c r="Z337" s="93"/>
      <c r="AA337" s="93"/>
      <c r="AB337" s="93"/>
      <c r="AC337" s="93"/>
      <c r="AD337" s="93"/>
      <c r="AE337" s="93"/>
      <c r="AF337" s="93"/>
      <c r="AG337" s="93"/>
      <c r="AH337" s="93"/>
      <c r="AI337" s="107"/>
    </row>
    <row r="338" spans="1:35" outlineLevel="1">
      <c r="L338" s="21"/>
      <c r="M338" s="21"/>
      <c r="N338" s="21"/>
      <c r="O338" s="21"/>
      <c r="P338" s="21"/>
      <c r="Q338" s="21"/>
      <c r="AI338" s="107"/>
    </row>
    <row r="339" spans="1:35" outlineLevel="1">
      <c r="L339" s="21"/>
      <c r="M339" s="21"/>
      <c r="N339" s="21"/>
      <c r="O339" s="21"/>
      <c r="P339" s="21"/>
      <c r="Q339" s="21"/>
      <c r="AI339" s="107"/>
    </row>
    <row r="340" spans="1:35" outlineLevel="1">
      <c r="C340" s="184" t="s">
        <v>304</v>
      </c>
      <c r="D340" s="321"/>
      <c r="E340" s="322"/>
      <c r="F340" s="322"/>
      <c r="G340" s="322"/>
      <c r="H340" s="322"/>
      <c r="I340" s="323"/>
      <c r="J340" s="322"/>
      <c r="K340" s="322"/>
      <c r="L340" s="411"/>
      <c r="M340" s="411"/>
      <c r="N340" s="411"/>
      <c r="O340" s="411"/>
      <c r="P340" s="411"/>
      <c r="Q340" s="411"/>
      <c r="R340" s="322"/>
      <c r="S340" s="322"/>
      <c r="T340" s="322"/>
      <c r="U340" s="322"/>
      <c r="V340" s="322"/>
      <c r="W340" s="322"/>
      <c r="X340" s="322"/>
      <c r="Y340" s="322"/>
      <c r="Z340" s="322"/>
      <c r="AA340" s="322"/>
      <c r="AB340" s="322"/>
      <c r="AC340" s="322"/>
      <c r="AD340" s="322"/>
      <c r="AE340" s="322"/>
      <c r="AF340" s="322"/>
      <c r="AG340" s="322"/>
      <c r="AH340" s="322"/>
      <c r="AI340" s="107"/>
    </row>
    <row r="341" spans="1:35" outlineLevel="1">
      <c r="L341" s="21"/>
      <c r="M341" s="21"/>
      <c r="N341" s="21"/>
      <c r="O341" s="21"/>
      <c r="P341" s="21"/>
      <c r="Q341" s="21"/>
      <c r="AI341" s="107"/>
    </row>
    <row r="342" spans="1:35" outlineLevel="1">
      <c r="D342" s="27" t="s">
        <v>305</v>
      </c>
      <c r="L342" s="21"/>
      <c r="M342" s="21"/>
      <c r="N342" s="21"/>
      <c r="O342" s="21"/>
      <c r="P342" s="21"/>
      <c r="Q342" s="21"/>
      <c r="AI342" s="107"/>
    </row>
    <row r="343" spans="1:35" outlineLevel="1">
      <c r="D343" s="786"/>
      <c r="E343" s="787" t="s">
        <v>306</v>
      </c>
      <c r="F343" s="787"/>
      <c r="G343" s="787" t="s">
        <v>142</v>
      </c>
      <c r="H343" s="787"/>
      <c r="I343" s="788"/>
      <c r="J343" s="787"/>
      <c r="K343" s="787"/>
      <c r="L343" s="798">
        <f>INDEX('Policy Requirements'!$D$9:$I$16, MATCH($G$337, 'Policy Requirements'!$B$9:$B$16, 0), MATCH(L3, 'Policy Requirements'!$D$8:$I$8,0))</f>
        <v>0.3</v>
      </c>
      <c r="M343" s="798">
        <f>INDEX('Policy Requirements'!$D$9:$I$16, MATCH($G$337, 'Policy Requirements'!$B$9:$B$16, 0), MATCH(M3, 'Policy Requirements'!$D$8:$I$8,0))</f>
        <v>0.3</v>
      </c>
      <c r="N343" s="798">
        <f>INDEX('Policy Requirements'!$D$9:$I$16, MATCH($G$337, 'Policy Requirements'!$B$9:$B$16, 0), MATCH(N3, 'Policy Requirements'!$D$8:$I$8,0))</f>
        <v>0.3</v>
      </c>
      <c r="O343" s="798">
        <f>INDEX('Policy Requirements'!$D$9:$I$16, MATCH($G$337, 'Policy Requirements'!$B$9:$B$16, 0), MATCH(O3, 'Policy Requirements'!$D$8:$I$8,0))</f>
        <v>0.3</v>
      </c>
      <c r="P343" s="798">
        <f>INDEX('Policy Requirements'!$D$9:$I$16, MATCH($G$337, 'Policy Requirements'!$B$9:$B$16, 0), MATCH(P3, 'Policy Requirements'!$D$8:$I$8,0))</f>
        <v>0.3</v>
      </c>
      <c r="Q343" s="798">
        <f>INDEX('Policy Requirements'!$D$9:$I$16, MATCH($G$337, 'Policy Requirements'!$B$9:$B$16, 0), MATCH(Q3, 'Policy Requirements'!$D$8:$I$8,0))</f>
        <v>0.3</v>
      </c>
      <c r="AI343" s="107"/>
    </row>
    <row r="344" spans="1:35" outlineLevel="1">
      <c r="E344" s="10" t="s">
        <v>307</v>
      </c>
      <c r="G344" s="10" t="s">
        <v>142</v>
      </c>
      <c r="L344" s="222">
        <f>INDEX('Policy Requirements'!$D$21:$I$28, MATCH($G$337, 'Policy Requirements'!$B$21:$B$28,0), MATCH(L3, 'Policy Requirements'!$D$8:$I$8,0))</f>
        <v>0.4</v>
      </c>
      <c r="M344" s="222">
        <f>INDEX('Policy Requirements'!$D$21:$I$28, MATCH($G$337, 'Policy Requirements'!$B$21:$B$28,0), MATCH(M3, 'Policy Requirements'!$D$8:$I$8,0))</f>
        <v>1</v>
      </c>
      <c r="N344" s="222">
        <f>INDEX('Policy Requirements'!$D$21:$I$28, MATCH($G$337, 'Policy Requirements'!$B$21:$B$28,0), MATCH(N3, 'Policy Requirements'!$D$8:$I$8,0))</f>
        <v>1</v>
      </c>
      <c r="O344" s="222">
        <f>INDEX('Policy Requirements'!$D$21:$I$28, MATCH($G$337, 'Policy Requirements'!$B$21:$B$28,0), MATCH(O3, 'Policy Requirements'!$D$8:$I$8,0))</f>
        <v>1</v>
      </c>
      <c r="P344" s="222">
        <f>INDEX('Policy Requirements'!$D$21:$I$28, MATCH($G$337, 'Policy Requirements'!$B$21:$B$28,0), MATCH(P3, 'Policy Requirements'!$D$8:$I$8,0))</f>
        <v>1</v>
      </c>
      <c r="Q344" s="222">
        <f>INDEX('Policy Requirements'!$D$21:$I$28, MATCH($G$337, 'Policy Requirements'!$B$21:$B$28,0), MATCH(Q3, 'Policy Requirements'!$D$8:$I$8,0))</f>
        <v>1</v>
      </c>
      <c r="AI344" s="107"/>
    </row>
    <row r="345" spans="1:35" outlineLevel="1">
      <c r="D345" s="95"/>
      <c r="E345" s="62" t="s">
        <v>308</v>
      </c>
      <c r="F345" s="62"/>
      <c r="G345" s="62" t="s">
        <v>142</v>
      </c>
      <c r="H345" s="62"/>
      <c r="I345" s="212"/>
      <c r="J345" s="62"/>
      <c r="K345" s="62"/>
      <c r="L345" s="415">
        <f>INDEX('Policy Requirements'!$D$35:$I$42, MATCH($G$337, 'Policy Requirements'!$B$35:$B$42,0), MATCH(L3, 'Policy Requirements'!$D$20:$I$20,0))</f>
        <v>0</v>
      </c>
      <c r="M345" s="415">
        <f>INDEX('Policy Requirements'!$D$35:$I$42, MATCH($G$337, 'Policy Requirements'!$B$35:$B$42,0), MATCH(M3, 'Policy Requirements'!$D$20:$I$20,0))</f>
        <v>0</v>
      </c>
      <c r="N345" s="415">
        <f>INDEX('Policy Requirements'!$D$35:$I$42, MATCH($G$337, 'Policy Requirements'!$B$35:$B$42,0), MATCH(N3, 'Policy Requirements'!$D$20:$I$20,0))</f>
        <v>0</v>
      </c>
      <c r="O345" s="415">
        <f>INDEX('Policy Requirements'!$D$35:$I$42, MATCH($G$337, 'Policy Requirements'!$B$35:$B$42,0), MATCH(O3, 'Policy Requirements'!$D$20:$I$20,0))</f>
        <v>0</v>
      </c>
      <c r="P345" s="415">
        <f>INDEX('Policy Requirements'!$D$35:$I$42, MATCH($G$337, 'Policy Requirements'!$B$35:$B$42,0), MATCH(P3, 'Policy Requirements'!$D$20:$I$20,0))</f>
        <v>0</v>
      </c>
      <c r="Q345" s="415">
        <f>INDEX('Policy Requirements'!$D$35:$I$42, MATCH($G$337, 'Policy Requirements'!$B$35:$B$42,0), MATCH(Q3, 'Policy Requirements'!$D$20:$I$20,0))</f>
        <v>0</v>
      </c>
      <c r="AI345" s="107"/>
    </row>
    <row r="346" spans="1:35" outlineLevel="1">
      <c r="L346" s="21"/>
      <c r="M346" s="21"/>
      <c r="N346" s="21"/>
      <c r="O346" s="21"/>
      <c r="P346" s="21"/>
      <c r="Q346" s="21"/>
      <c r="AI346" s="107"/>
    </row>
    <row r="347" spans="1:35" outlineLevel="1">
      <c r="L347" s="21"/>
      <c r="M347" s="21"/>
      <c r="N347" s="21"/>
      <c r="O347" s="21"/>
      <c r="P347" s="21"/>
      <c r="Q347" s="21"/>
      <c r="AI347" s="107"/>
    </row>
    <row r="348" spans="1:35" outlineLevel="1">
      <c r="C348" s="184" t="s">
        <v>139</v>
      </c>
      <c r="D348" s="321"/>
      <c r="E348" s="322"/>
      <c r="F348" s="322"/>
      <c r="G348" s="322"/>
      <c r="H348" s="322"/>
      <c r="I348" s="323"/>
      <c r="J348" s="322"/>
      <c r="K348" s="322"/>
      <c r="L348" s="411"/>
      <c r="M348" s="411"/>
      <c r="N348" s="411"/>
      <c r="O348" s="411"/>
      <c r="P348" s="411"/>
      <c r="Q348" s="411"/>
      <c r="R348" s="322"/>
      <c r="S348" s="322"/>
      <c r="T348" s="322"/>
      <c r="U348" s="322"/>
      <c r="V348" s="322"/>
      <c r="W348" s="322"/>
      <c r="X348" s="322"/>
      <c r="Y348" s="322"/>
      <c r="Z348" s="322"/>
      <c r="AA348" s="322"/>
      <c r="AB348" s="322"/>
      <c r="AC348" s="322"/>
      <c r="AD348" s="322"/>
      <c r="AE348" s="322"/>
      <c r="AF348" s="322"/>
      <c r="AG348" s="322"/>
      <c r="AH348" s="322"/>
      <c r="AI348" s="107"/>
    </row>
    <row r="349" spans="1:35" outlineLevel="1">
      <c r="L349" s="21"/>
      <c r="M349" s="21"/>
      <c r="N349" s="21"/>
      <c r="O349" s="21"/>
      <c r="P349" s="21"/>
      <c r="Q349" s="21"/>
      <c r="AI349" s="107"/>
    </row>
    <row r="350" spans="1:35" ht="12" customHeight="1" outlineLevel="1">
      <c r="C350" s="10"/>
      <c r="D350" s="27" t="s">
        <v>180</v>
      </c>
      <c r="L350" s="21"/>
      <c r="M350" s="21"/>
      <c r="N350" s="21"/>
      <c r="O350" s="21"/>
      <c r="P350" s="21"/>
      <c r="Q350" s="21"/>
      <c r="AI350" s="107"/>
    </row>
    <row r="351" spans="1:35" outlineLevel="1">
      <c r="D351" s="786"/>
      <c r="E351" s="787" t="s">
        <v>181</v>
      </c>
      <c r="F351" s="787"/>
      <c r="G351" s="787" t="s">
        <v>142</v>
      </c>
      <c r="H351" s="787"/>
      <c r="I351" s="788"/>
      <c r="J351" s="787"/>
      <c r="K351" s="787"/>
      <c r="L351" s="798">
        <f>'Credit Rating Analysis'!C11</f>
        <v>0</v>
      </c>
      <c r="M351" s="798">
        <f>'Credit Rating Analysis'!D11</f>
        <v>0</v>
      </c>
      <c r="N351" s="798">
        <f>'Credit Rating Analysis'!E11</f>
        <v>0</v>
      </c>
      <c r="O351" s="798">
        <f>'Credit Rating Analysis'!F11</f>
        <v>0</v>
      </c>
      <c r="P351" s="798">
        <f>'Credit Rating Analysis'!G11</f>
        <v>0</v>
      </c>
      <c r="Q351" s="798">
        <f>'Credit Rating Analysis'!H11</f>
        <v>0</v>
      </c>
      <c r="S351" s="127"/>
      <c r="AI351" s="107"/>
    </row>
    <row r="352" spans="1:35" outlineLevel="1">
      <c r="E352" s="10" t="s">
        <v>183</v>
      </c>
      <c r="G352" s="10" t="s">
        <v>142</v>
      </c>
      <c r="L352" s="222">
        <f>'Credit Rating Analysis'!C12</f>
        <v>0</v>
      </c>
      <c r="M352" s="222">
        <f>'Credit Rating Analysis'!D12</f>
        <v>0</v>
      </c>
      <c r="N352" s="222">
        <f>'Credit Rating Analysis'!E12</f>
        <v>0</v>
      </c>
      <c r="O352" s="222">
        <f>'Credit Rating Analysis'!F12</f>
        <v>0</v>
      </c>
      <c r="P352" s="222">
        <f>'Credit Rating Analysis'!G12</f>
        <v>0</v>
      </c>
      <c r="Q352" s="222">
        <f>'Credit Rating Analysis'!H12</f>
        <v>0</v>
      </c>
      <c r="S352" s="127"/>
      <c r="AI352" s="107"/>
    </row>
    <row r="353" spans="3:35" outlineLevel="1">
      <c r="E353" s="10" t="s">
        <v>184</v>
      </c>
      <c r="G353" s="10" t="s">
        <v>142</v>
      </c>
      <c r="L353" s="222">
        <f>'Credit Rating Analysis'!C13</f>
        <v>0.80408524993590491</v>
      </c>
      <c r="M353" s="222">
        <f>'Credit Rating Analysis'!D13</f>
        <v>0.95046806910984982</v>
      </c>
      <c r="N353" s="222">
        <f>'Credit Rating Analysis'!E13</f>
        <v>0.95583905890294218</v>
      </c>
      <c r="O353" s="222">
        <f>'Credit Rating Analysis'!F13</f>
        <v>0.95915294557269881</v>
      </c>
      <c r="P353" s="222">
        <f>'Credit Rating Analysis'!G13</f>
        <v>0.95915294557269881</v>
      </c>
      <c r="Q353" s="222">
        <f>'Credit Rating Analysis'!H13</f>
        <v>0.95915294557269881</v>
      </c>
      <c r="S353" s="127"/>
      <c r="AI353" s="107"/>
    </row>
    <row r="354" spans="3:35" outlineLevel="1">
      <c r="D354" s="95"/>
      <c r="E354" s="62" t="s">
        <v>185</v>
      </c>
      <c r="F354" s="62"/>
      <c r="G354" s="62" t="s">
        <v>142</v>
      </c>
      <c r="H354" s="62"/>
      <c r="I354" s="212"/>
      <c r="J354" s="62"/>
      <c r="K354" s="62"/>
      <c r="L354" s="415">
        <f>'Credit Rating Analysis'!C14</f>
        <v>0.19591475006409509</v>
      </c>
      <c r="M354" s="415">
        <f>'Credit Rating Analysis'!D14</f>
        <v>4.9531930890150178E-2</v>
      </c>
      <c r="N354" s="415">
        <f>'Credit Rating Analysis'!E14</f>
        <v>4.4160941097057815E-2</v>
      </c>
      <c r="O354" s="415">
        <f>'Credit Rating Analysis'!F14</f>
        <v>4.0847054427301188E-2</v>
      </c>
      <c r="P354" s="415">
        <f>'Credit Rating Analysis'!G14</f>
        <v>4.0847054427301188E-2</v>
      </c>
      <c r="Q354" s="415">
        <f>'Credit Rating Analysis'!H14</f>
        <v>4.0847054427301188E-2</v>
      </c>
      <c r="S354" s="127"/>
      <c r="AI354" s="107"/>
    </row>
    <row r="355" spans="3:35" outlineLevel="1">
      <c r="L355" s="222"/>
      <c r="M355" s="222"/>
      <c r="N355" s="222"/>
      <c r="O355" s="222"/>
      <c r="P355" s="222"/>
      <c r="Q355" s="222"/>
      <c r="AI355" s="107"/>
    </row>
    <row r="356" spans="3:35" outlineLevel="1">
      <c r="D356" s="27" t="str">
        <f>D90</f>
        <v>Default Rate Inputs</v>
      </c>
      <c r="L356" s="21"/>
      <c r="M356" s="21"/>
      <c r="N356" s="21"/>
      <c r="O356" s="21"/>
      <c r="P356" s="21"/>
      <c r="Q356" s="21"/>
      <c r="AI356" s="107"/>
    </row>
    <row r="357" spans="3:35" outlineLevel="1">
      <c r="D357" s="787"/>
      <c r="E357" s="787" t="str">
        <f>E91</f>
        <v>Large</v>
      </c>
      <c r="F357" s="787"/>
      <c r="G357" s="787" t="s">
        <v>142</v>
      </c>
      <c r="H357" s="787"/>
      <c r="I357" s="788"/>
      <c r="J357" s="787"/>
      <c r="K357" s="787"/>
      <c r="L357" s="814">
        <f t="shared" ref="L357:Q357" si="147">L91</f>
        <v>5.9999999999999995E-4</v>
      </c>
      <c r="M357" s="814">
        <f t="shared" si="147"/>
        <v>5.9999999999999995E-4</v>
      </c>
      <c r="N357" s="814">
        <f t="shared" si="147"/>
        <v>5.9999999999999995E-4</v>
      </c>
      <c r="O357" s="814">
        <f t="shared" si="147"/>
        <v>5.9999999999999995E-4</v>
      </c>
      <c r="P357" s="814">
        <f t="shared" si="147"/>
        <v>5.9999999999999995E-4</v>
      </c>
      <c r="Q357" s="814">
        <f t="shared" si="147"/>
        <v>5.9999999999999995E-4</v>
      </c>
      <c r="AI357" s="107"/>
    </row>
    <row r="358" spans="3:35" outlineLevel="1">
      <c r="D358" s="10"/>
      <c r="E358" s="10" t="s">
        <v>189</v>
      </c>
      <c r="G358" s="10" t="s">
        <v>142</v>
      </c>
      <c r="L358" s="389">
        <f>SUMPRODUCT(L351:L354,L19:L22)</f>
        <v>3.9479642342029303E-2</v>
      </c>
      <c r="M358" s="389">
        <f t="shared" ref="M358:Q358" si="148">SUMPRODUCT(M351:M354,M19:M22)</f>
        <v>2.6568706542064321E-2</v>
      </c>
      <c r="N358" s="389">
        <f t="shared" si="148"/>
        <v>2.6094986300903494E-2</v>
      </c>
      <c r="O358" s="389">
        <f t="shared" si="148"/>
        <v>2.5802702149778176E-2</v>
      </c>
      <c r="P358" s="389">
        <f t="shared" si="148"/>
        <v>2.5802702149778176E-2</v>
      </c>
      <c r="Q358" s="389">
        <f t="shared" si="148"/>
        <v>2.5802702149778176E-2</v>
      </c>
      <c r="AI358" s="107"/>
    </row>
    <row r="359" spans="3:35" outlineLevel="1">
      <c r="D359" s="62"/>
      <c r="E359" s="62" t="s">
        <v>190</v>
      </c>
      <c r="F359" s="62"/>
      <c r="G359" s="62" t="s">
        <v>142</v>
      </c>
      <c r="H359" s="62"/>
      <c r="I359" s="212"/>
      <c r="J359" s="62"/>
      <c r="K359" s="62"/>
      <c r="L359" s="413">
        <f>SUMPRODUCT(L351:L354,L19:L22)</f>
        <v>3.9479642342029303E-2</v>
      </c>
      <c r="M359" s="413">
        <f t="shared" ref="M359:Q359" si="149">SUMPRODUCT(M351:M354,M19:M22)</f>
        <v>2.6568706542064321E-2</v>
      </c>
      <c r="N359" s="413">
        <f t="shared" si="149"/>
        <v>2.6094986300903494E-2</v>
      </c>
      <c r="O359" s="413">
        <f t="shared" si="149"/>
        <v>2.5802702149778176E-2</v>
      </c>
      <c r="P359" s="413">
        <f t="shared" si="149"/>
        <v>2.5802702149778176E-2</v>
      </c>
      <c r="Q359" s="413">
        <f t="shared" si="149"/>
        <v>2.5802702149778176E-2</v>
      </c>
      <c r="AI359" s="107"/>
    </row>
    <row r="360" spans="3:35" outlineLevel="1">
      <c r="D360" s="10"/>
      <c r="L360" s="389"/>
      <c r="M360" s="389"/>
      <c r="N360" s="389"/>
      <c r="O360" s="389"/>
      <c r="P360" s="389"/>
      <c r="Q360" s="389"/>
      <c r="AI360" s="107"/>
    </row>
    <row r="361" spans="3:35" outlineLevel="1">
      <c r="C361" s="10"/>
      <c r="D361" s="27" t="s">
        <v>187</v>
      </c>
      <c r="L361" s="21"/>
      <c r="M361" s="21"/>
      <c r="N361" s="21"/>
      <c r="O361" s="21"/>
      <c r="P361" s="21"/>
      <c r="Q361" s="21"/>
      <c r="AI361" s="107"/>
    </row>
    <row r="362" spans="3:35" outlineLevel="1">
      <c r="C362" s="10"/>
      <c r="E362" s="10" t="s">
        <v>188</v>
      </c>
      <c r="G362" s="62" t="s">
        <v>142</v>
      </c>
      <c r="L362" s="438">
        <f>'Central Inputs'!C56</f>
        <v>0.05</v>
      </c>
      <c r="M362" s="438">
        <f>'Central Inputs'!D56</f>
        <v>0.04</v>
      </c>
      <c r="N362" s="438">
        <f>'Central Inputs'!E56</f>
        <v>0.03</v>
      </c>
      <c r="O362" s="438">
        <f>'Central Inputs'!F56</f>
        <v>1.9999999999999997E-2</v>
      </c>
      <c r="P362" s="438">
        <f>'Central Inputs'!G56</f>
        <v>9.9999999999999967E-3</v>
      </c>
      <c r="Q362" s="438">
        <f>'Central Inputs'!H56</f>
        <v>0</v>
      </c>
      <c r="AI362" s="107"/>
    </row>
    <row r="363" spans="3:35" outlineLevel="1">
      <c r="D363" s="787"/>
      <c r="E363" s="787" t="s">
        <v>309</v>
      </c>
      <c r="F363" s="787"/>
      <c r="G363" s="787" t="s">
        <v>142</v>
      </c>
      <c r="H363" s="787"/>
      <c r="I363" s="788"/>
      <c r="J363" s="787"/>
      <c r="K363" s="787"/>
      <c r="L363" s="815">
        <f t="shared" ref="L363:P363" si="150">L86</f>
        <v>8.4153209337216039E-2</v>
      </c>
      <c r="M363" s="815">
        <f t="shared" si="150"/>
        <v>8.4837531026891302E-2</v>
      </c>
      <c r="N363" s="815">
        <f t="shared" si="150"/>
        <v>8.5719675018101751E-2</v>
      </c>
      <c r="O363" s="815">
        <f t="shared" si="150"/>
        <v>8.6500857266587086E-2</v>
      </c>
      <c r="P363" s="815">
        <f t="shared" si="150"/>
        <v>8.7163837734718599E-2</v>
      </c>
      <c r="Q363" s="815">
        <f>Q86</f>
        <v>8.7654376894712407E-2</v>
      </c>
      <c r="R363" s="87"/>
      <c r="S363" s="87"/>
      <c r="T363" s="87"/>
      <c r="U363" s="87"/>
      <c r="V363" s="87"/>
      <c r="W363" s="87"/>
      <c r="AI363" s="107"/>
    </row>
    <row r="364" spans="3:35" outlineLevel="1">
      <c r="D364" s="10"/>
      <c r="E364" s="10" t="s">
        <v>310</v>
      </c>
      <c r="G364" s="10" t="s">
        <v>142</v>
      </c>
      <c r="L364" s="399">
        <f t="shared" ref="L364:Q365" si="151">SUMPRODUCT(L$13:L$16,L$351:L$354)+L$362</f>
        <v>0.14972107081702313</v>
      </c>
      <c r="M364" s="399">
        <f t="shared" si="151"/>
        <v>0.13819505259906606</v>
      </c>
      <c r="N364" s="399">
        <f t="shared" si="151"/>
        <v>0.12899609613634241</v>
      </c>
      <c r="O364" s="399">
        <f t="shared" si="151"/>
        <v>0.11972723961663848</v>
      </c>
      <c r="P364" s="399">
        <f t="shared" si="151"/>
        <v>0.11039022008477001</v>
      </c>
      <c r="Q364" s="399">
        <f t="shared" si="151"/>
        <v>0.10088075924476382</v>
      </c>
      <c r="R364" s="87"/>
      <c r="S364" s="87"/>
      <c r="T364" s="87"/>
      <c r="U364" s="87"/>
      <c r="V364" s="87"/>
      <c r="W364" s="87"/>
      <c r="AI364" s="107"/>
    </row>
    <row r="365" spans="3:35" outlineLevel="1">
      <c r="D365" s="62"/>
      <c r="E365" s="62" t="s">
        <v>311</v>
      </c>
      <c r="F365" s="62"/>
      <c r="G365" s="62" t="s">
        <v>142</v>
      </c>
      <c r="H365" s="62"/>
      <c r="I365" s="212"/>
      <c r="J365" s="62"/>
      <c r="K365" s="62"/>
      <c r="L365" s="400">
        <f t="shared" si="151"/>
        <v>0.14972107081702313</v>
      </c>
      <c r="M365" s="400">
        <f t="shared" si="151"/>
        <v>0.13819505259906606</v>
      </c>
      <c r="N365" s="400">
        <f t="shared" si="151"/>
        <v>0.12899609613634241</v>
      </c>
      <c r="O365" s="400">
        <f t="shared" si="151"/>
        <v>0.11972723961663848</v>
      </c>
      <c r="P365" s="400">
        <f t="shared" si="151"/>
        <v>0.11039022008477001</v>
      </c>
      <c r="Q365" s="400">
        <f t="shared" si="151"/>
        <v>0.10088075924476382</v>
      </c>
      <c r="R365" s="87"/>
      <c r="S365" s="87"/>
      <c r="T365" s="87"/>
      <c r="U365" s="87"/>
      <c r="V365" s="87"/>
      <c r="W365" s="87"/>
      <c r="AI365" s="107"/>
    </row>
    <row r="366" spans="3:35" outlineLevel="1">
      <c r="L366" s="21"/>
      <c r="M366" s="21"/>
      <c r="N366" s="21"/>
      <c r="O366" s="21"/>
      <c r="P366" s="21"/>
      <c r="Q366" s="21"/>
      <c r="AI366" s="107"/>
    </row>
    <row r="367" spans="3:35" outlineLevel="1">
      <c r="L367" s="21"/>
      <c r="M367" s="21"/>
      <c r="N367" s="21"/>
      <c r="O367" s="21"/>
      <c r="P367" s="21"/>
      <c r="Q367" s="21"/>
      <c r="AI367" s="107"/>
    </row>
    <row r="368" spans="3:35" outlineLevel="1">
      <c r="C368" s="184" t="s">
        <v>193</v>
      </c>
      <c r="D368" s="321"/>
      <c r="E368" s="322"/>
      <c r="F368" s="322"/>
      <c r="G368" s="322"/>
      <c r="H368" s="322"/>
      <c r="I368" s="323"/>
      <c r="J368" s="322"/>
      <c r="K368" s="322"/>
      <c r="L368" s="411"/>
      <c r="M368" s="411"/>
      <c r="N368" s="411"/>
      <c r="O368" s="411"/>
      <c r="P368" s="411"/>
      <c r="Q368" s="411"/>
      <c r="R368" s="322"/>
      <c r="S368" s="322"/>
      <c r="T368" s="322"/>
      <c r="U368" s="322"/>
      <c r="V368" s="322"/>
      <c r="W368" s="322"/>
      <c r="X368" s="322"/>
      <c r="Y368" s="322"/>
      <c r="Z368" s="322"/>
      <c r="AA368" s="322"/>
      <c r="AB368" s="322"/>
      <c r="AC368" s="322"/>
      <c r="AD368" s="322"/>
      <c r="AE368" s="322"/>
      <c r="AF368" s="322"/>
      <c r="AG368" s="322"/>
      <c r="AH368" s="322"/>
      <c r="AI368" s="107"/>
    </row>
    <row r="369" spans="4:35" outlineLevel="1">
      <c r="L369" s="21"/>
      <c r="M369" s="21"/>
      <c r="N369" s="21"/>
      <c r="O369" s="21"/>
      <c r="P369" s="21"/>
      <c r="Q369" s="21"/>
      <c r="AI369" s="107"/>
    </row>
    <row r="370" spans="4:35" outlineLevel="1">
      <c r="D370" s="27" t="s">
        <v>137</v>
      </c>
      <c r="L370" s="21"/>
      <c r="M370" s="21"/>
      <c r="N370" s="21"/>
      <c r="O370" s="21"/>
      <c r="P370" s="21"/>
      <c r="Q370" s="21"/>
      <c r="AI370" s="107"/>
    </row>
    <row r="371" spans="4:35" outlineLevel="1">
      <c r="D371" s="786"/>
      <c r="E371" s="787" t="s">
        <v>312</v>
      </c>
      <c r="F371" s="787"/>
      <c r="G371" s="787" t="s">
        <v>171</v>
      </c>
      <c r="H371" s="787" t="s">
        <v>313</v>
      </c>
      <c r="I371" s="777">
        <f>'Central Inputs'!C10</f>
        <v>69.197457028201029</v>
      </c>
      <c r="J371" s="787"/>
      <c r="K371" s="787"/>
      <c r="L371" s="793">
        <f t="shared" ref="L371:Q371" si="152">$I371*L$7</f>
        <v>181.14271688438365</v>
      </c>
      <c r="M371" s="793">
        <f t="shared" si="152"/>
        <v>210.36970210602797</v>
      </c>
      <c r="N371" s="793">
        <f t="shared" si="152"/>
        <v>174.56901557956368</v>
      </c>
      <c r="O371" s="793">
        <f t="shared" si="152"/>
        <v>161.93862604798667</v>
      </c>
      <c r="P371" s="793">
        <f t="shared" si="152"/>
        <v>161.93862604798667</v>
      </c>
      <c r="Q371" s="793">
        <f t="shared" si="152"/>
        <v>161.93862604798667</v>
      </c>
      <c r="AI371" s="107"/>
    </row>
    <row r="372" spans="4:35" outlineLevel="1">
      <c r="E372" s="10" t="s">
        <v>194</v>
      </c>
      <c r="G372" s="10" t="s">
        <v>171</v>
      </c>
      <c r="H372" s="10" t="s">
        <v>314</v>
      </c>
      <c r="I372" s="284">
        <f>'Central Inputs'!C11</f>
        <v>59.654274496232148</v>
      </c>
      <c r="L372" s="410">
        <f>$I372*L$7</f>
        <v>156.16090272812178</v>
      </c>
      <c r="M372" s="410">
        <f t="shared" ref="M372:Q374" si="153">$I372*M$7</f>
        <v>181.35712631764952</v>
      </c>
      <c r="N372" s="410">
        <f t="shared" si="153"/>
        <v>150.49379588727138</v>
      </c>
      <c r="O372" s="410">
        <f t="shared" si="153"/>
        <v>139.60529280537395</v>
      </c>
      <c r="P372" s="410">
        <f t="shared" si="153"/>
        <v>139.60529280537395</v>
      </c>
      <c r="Q372" s="410">
        <f t="shared" si="153"/>
        <v>139.60529280537395</v>
      </c>
      <c r="AI372" s="107"/>
    </row>
    <row r="373" spans="4:35" outlineLevel="1">
      <c r="E373" s="10" t="s">
        <v>196</v>
      </c>
      <c r="G373" s="10" t="s">
        <v>171</v>
      </c>
      <c r="H373" s="10" t="s">
        <v>315</v>
      </c>
      <c r="I373" s="284">
        <f>'Central Inputs'!C12</f>
        <v>87.439504760929992</v>
      </c>
      <c r="L373" s="410">
        <f t="shared" ref="L373:L374" si="154">$I373*L$7</f>
        <v>228.89612040171866</v>
      </c>
      <c r="M373" s="410">
        <f t="shared" si="153"/>
        <v>265.82801390170789</v>
      </c>
      <c r="N373" s="410">
        <f t="shared" si="153"/>
        <v>220.58943961855812</v>
      </c>
      <c r="O373" s="410">
        <f t="shared" si="153"/>
        <v>204.62938771768205</v>
      </c>
      <c r="P373" s="410">
        <f t="shared" si="153"/>
        <v>204.62938771768205</v>
      </c>
      <c r="Q373" s="410">
        <f t="shared" si="153"/>
        <v>204.62938771768205</v>
      </c>
      <c r="AI373" s="107"/>
    </row>
    <row r="374" spans="4:35" outlineLevel="1">
      <c r="E374" s="10" t="s">
        <v>198</v>
      </c>
      <c r="G374" s="10" t="s">
        <v>171</v>
      </c>
      <c r="H374" s="10" t="s">
        <v>316</v>
      </c>
      <c r="I374" s="284">
        <f>'Central Inputs'!C13</f>
        <v>72.63448774856073</v>
      </c>
      <c r="L374" s="410">
        <f t="shared" si="154"/>
        <v>190.1400573856005</v>
      </c>
      <c r="M374" s="410">
        <f t="shared" si="153"/>
        <v>220.81874401918185</v>
      </c>
      <c r="N374" s="410">
        <f t="shared" si="153"/>
        <v>183.23984099913633</v>
      </c>
      <c r="O374" s="410">
        <f t="shared" si="153"/>
        <v>169.98210129177977</v>
      </c>
      <c r="P374" s="410">
        <f t="shared" si="153"/>
        <v>169.98210129177977</v>
      </c>
      <c r="Q374" s="410">
        <f t="shared" si="153"/>
        <v>169.98210129177977</v>
      </c>
      <c r="AI374" s="107"/>
    </row>
    <row r="375" spans="4:35" outlineLevel="1">
      <c r="E375" s="10" t="s">
        <v>200</v>
      </c>
      <c r="G375" s="10" t="s">
        <v>171</v>
      </c>
      <c r="I375" s="284">
        <f>'Central Inputs'!$C$14</f>
        <v>46</v>
      </c>
      <c r="L375" s="410">
        <f t="shared" ref="L375:Q375" si="155">$I375*L$7</f>
        <v>120.41721378989054</v>
      </c>
      <c r="M375" s="410">
        <f t="shared" si="155"/>
        <v>139.84627054912551</v>
      </c>
      <c r="N375" s="410">
        <f t="shared" si="155"/>
        <v>116.04725175648113</v>
      </c>
      <c r="O375" s="410">
        <f t="shared" si="155"/>
        <v>107.65101953344205</v>
      </c>
      <c r="P375" s="410">
        <f t="shared" si="155"/>
        <v>107.65101953344205</v>
      </c>
      <c r="Q375" s="410">
        <f t="shared" si="155"/>
        <v>107.65101953344205</v>
      </c>
      <c r="AI375" s="107"/>
    </row>
    <row r="376" spans="4:35" outlineLevel="1">
      <c r="D376" s="95"/>
      <c r="E376" s="62" t="s">
        <v>201</v>
      </c>
      <c r="F376" s="62"/>
      <c r="G376" s="62"/>
      <c r="H376" s="62"/>
      <c r="I376" s="212"/>
      <c r="J376" s="62"/>
      <c r="K376" s="62"/>
      <c r="L376" s="415">
        <f>L343</f>
        <v>0.3</v>
      </c>
      <c r="M376" s="415">
        <f t="shared" ref="M376:Q376" si="156">M343</f>
        <v>0.3</v>
      </c>
      <c r="N376" s="415">
        <f t="shared" si="156"/>
        <v>0.3</v>
      </c>
      <c r="O376" s="415">
        <f t="shared" si="156"/>
        <v>0.3</v>
      </c>
      <c r="P376" s="415">
        <f t="shared" si="156"/>
        <v>0.3</v>
      </c>
      <c r="Q376" s="415">
        <f t="shared" si="156"/>
        <v>0.3</v>
      </c>
      <c r="AI376" s="107"/>
    </row>
    <row r="377" spans="4:35" outlineLevel="1">
      <c r="L377" s="222"/>
      <c r="M377" s="222"/>
      <c r="N377" s="222"/>
      <c r="O377" s="222"/>
      <c r="P377" s="222"/>
      <c r="Q377" s="222"/>
      <c r="AI377" s="107"/>
    </row>
    <row r="378" spans="4:35" outlineLevel="1">
      <c r="D378" s="27" t="s">
        <v>202</v>
      </c>
      <c r="L378" s="222"/>
      <c r="M378" s="222"/>
      <c r="N378" s="222"/>
      <c r="O378" s="222"/>
      <c r="P378" s="222"/>
      <c r="Q378" s="222"/>
      <c r="AI378" s="107"/>
    </row>
    <row r="379" spans="4:35" outlineLevel="1">
      <c r="D379" s="786"/>
      <c r="E379" s="787" t="s">
        <v>317</v>
      </c>
      <c r="F379" s="787"/>
      <c r="G379" s="787" t="s">
        <v>171</v>
      </c>
      <c r="H379" s="787"/>
      <c r="I379" s="788"/>
      <c r="J379" s="787"/>
      <c r="K379" s="787"/>
      <c r="L379" s="802">
        <f t="shared" ref="L379:Q379" si="157">L371*L376</f>
        <v>54.342815065315094</v>
      </c>
      <c r="M379" s="802">
        <f>M371*M376</f>
        <v>63.110910631808387</v>
      </c>
      <c r="N379" s="802">
        <f t="shared" si="157"/>
        <v>52.370704673869106</v>
      </c>
      <c r="O379" s="802">
        <f t="shared" si="157"/>
        <v>48.581587814396002</v>
      </c>
      <c r="P379" s="802">
        <f t="shared" si="157"/>
        <v>48.581587814396002</v>
      </c>
      <c r="Q379" s="802">
        <f t="shared" si="157"/>
        <v>48.581587814396002</v>
      </c>
      <c r="AI379" s="107"/>
    </row>
    <row r="380" spans="4:35" outlineLevel="1">
      <c r="E380" s="268" t="s">
        <v>203</v>
      </c>
      <c r="F380" s="268"/>
      <c r="G380" s="268" t="s">
        <v>171</v>
      </c>
      <c r="H380" s="268"/>
      <c r="I380" s="269"/>
      <c r="J380" s="268"/>
      <c r="K380" s="268"/>
      <c r="L380" s="419">
        <f>L372*L$376</f>
        <v>46.848270818436532</v>
      </c>
      <c r="M380" s="419">
        <f t="shared" ref="L380:Q382" si="158">M372*M$376</f>
        <v>54.407137895294852</v>
      </c>
      <c r="N380" s="419">
        <f t="shared" si="158"/>
        <v>45.148138766181411</v>
      </c>
      <c r="O380" s="419">
        <f t="shared" si="158"/>
        <v>41.881587841612181</v>
      </c>
      <c r="P380" s="419">
        <f t="shared" si="158"/>
        <v>41.881587841612181</v>
      </c>
      <c r="Q380" s="419">
        <f t="shared" si="158"/>
        <v>41.881587841612181</v>
      </c>
      <c r="AI380" s="107"/>
    </row>
    <row r="381" spans="4:35" outlineLevel="1">
      <c r="E381" s="10" t="s">
        <v>204</v>
      </c>
      <c r="G381" s="10" t="s">
        <v>171</v>
      </c>
      <c r="L381" s="418">
        <f>L373*L$376</f>
        <v>68.668836120515593</v>
      </c>
      <c r="M381" s="418">
        <f t="shared" si="158"/>
        <v>79.748404170512359</v>
      </c>
      <c r="N381" s="418">
        <f t="shared" si="158"/>
        <v>66.176831885567438</v>
      </c>
      <c r="O381" s="418">
        <f t="shared" si="158"/>
        <v>61.388816315304609</v>
      </c>
      <c r="P381" s="418">
        <f t="shared" si="158"/>
        <v>61.388816315304609</v>
      </c>
      <c r="Q381" s="418">
        <f t="shared" si="158"/>
        <v>61.388816315304609</v>
      </c>
      <c r="AI381" s="107"/>
    </row>
    <row r="382" spans="4:35" outlineLevel="1">
      <c r="E382" s="10" t="s">
        <v>205</v>
      </c>
      <c r="G382" s="10" t="s">
        <v>171</v>
      </c>
      <c r="L382" s="418">
        <f t="shared" si="158"/>
        <v>57.042017215680147</v>
      </c>
      <c r="M382" s="418">
        <f t="shared" si="158"/>
        <v>66.245623205754555</v>
      </c>
      <c r="N382" s="418">
        <f t="shared" si="158"/>
        <v>54.971952299740899</v>
      </c>
      <c r="O382" s="418">
        <f t="shared" si="158"/>
        <v>50.994630387533931</v>
      </c>
      <c r="P382" s="418">
        <f t="shared" si="158"/>
        <v>50.994630387533931</v>
      </c>
      <c r="Q382" s="418">
        <f t="shared" si="158"/>
        <v>50.994630387533931</v>
      </c>
      <c r="AI382" s="107"/>
    </row>
    <row r="383" spans="4:35" outlineLevel="1">
      <c r="E383" s="268" t="s">
        <v>206</v>
      </c>
      <c r="F383" s="268"/>
      <c r="G383" s="268" t="s">
        <v>171</v>
      </c>
      <c r="H383" s="268"/>
      <c r="I383" s="269"/>
      <c r="J383" s="268"/>
      <c r="K383" s="268"/>
      <c r="L383" s="419">
        <f>L380*L363</f>
        <v>3.9424323412704787</v>
      </c>
      <c r="M383" s="419">
        <f t="shared" ref="L383:Q385" si="159">M380*M363</f>
        <v>4.6157672492764306</v>
      </c>
      <c r="N383" s="419">
        <f t="shared" si="159"/>
        <v>3.8700837827092318</v>
      </c>
      <c r="O383" s="419">
        <f t="shared" si="159"/>
        <v>3.6227932519853243</v>
      </c>
      <c r="P383" s="419">
        <f t="shared" si="159"/>
        <v>3.6505599266986475</v>
      </c>
      <c r="Q383" s="419">
        <f t="shared" si="159"/>
        <v>3.6711044856176787</v>
      </c>
      <c r="S383" s="103"/>
      <c r="AI383" s="107"/>
    </row>
    <row r="384" spans="4:35" outlineLevel="1">
      <c r="E384" s="10" t="s">
        <v>207</v>
      </c>
      <c r="G384" s="10" t="s">
        <v>171</v>
      </c>
      <c r="L384" s="418">
        <f>L381*L364</f>
        <v>10.281171675722272</v>
      </c>
      <c r="M384" s="418">
        <f t="shared" si="159"/>
        <v>11.020834909035534</v>
      </c>
      <c r="N384" s="418">
        <f>N381*N364</f>
        <v>8.5365529679092269</v>
      </c>
      <c r="O384" s="418">
        <f t="shared" si="159"/>
        <v>7.3499135207642805</v>
      </c>
      <c r="P384" s="418">
        <f t="shared" si="159"/>
        <v>6.7767249437899952</v>
      </c>
      <c r="Q384" s="418">
        <f t="shared" si="159"/>
        <v>6.1929503990252739</v>
      </c>
      <c r="S384" s="103"/>
      <c r="AI384" s="107"/>
    </row>
    <row r="385" spans="1:35" outlineLevel="1">
      <c r="E385" s="285" t="s">
        <v>208</v>
      </c>
      <c r="F385" s="285"/>
      <c r="G385" s="285" t="s">
        <v>171</v>
      </c>
      <c r="H385" s="285"/>
      <c r="I385" s="286"/>
      <c r="J385" s="285"/>
      <c r="K385" s="285"/>
      <c r="L385" s="439">
        <f t="shared" si="159"/>
        <v>8.5403918990947005</v>
      </c>
      <c r="M385" s="439">
        <f t="shared" si="159"/>
        <v>9.1548173833771624</v>
      </c>
      <c r="N385" s="439">
        <f t="shared" si="159"/>
        <v>7.0911672436598066</v>
      </c>
      <c r="O385" s="439">
        <f t="shared" si="159"/>
        <v>6.1054463315701888</v>
      </c>
      <c r="P385" s="439">
        <f t="shared" si="159"/>
        <v>5.6293084716213713</v>
      </c>
      <c r="Q385" s="439">
        <f t="shared" si="159"/>
        <v>5.1443770309005279</v>
      </c>
      <c r="S385" s="103"/>
      <c r="AI385" s="107"/>
    </row>
    <row r="386" spans="1:35" outlineLevel="1">
      <c r="A386" s="27"/>
      <c r="B386" s="27"/>
      <c r="D386" s="27" t="s">
        <v>209</v>
      </c>
      <c r="E386" s="27"/>
      <c r="F386" s="27"/>
      <c r="G386" s="27" t="s">
        <v>210</v>
      </c>
      <c r="H386" s="27"/>
      <c r="I386" s="163"/>
      <c r="J386" s="27"/>
      <c r="K386" s="27"/>
      <c r="L386" s="421">
        <f t="shared" ref="L386:Q388" si="160">L383*L28</f>
        <v>67.420286772415835</v>
      </c>
      <c r="M386" s="421">
        <f t="shared" si="160"/>
        <v>78.935115350808161</v>
      </c>
      <c r="N386" s="421">
        <f t="shared" si="160"/>
        <v>66.183040285086562</v>
      </c>
      <c r="O386" s="421">
        <f t="shared" si="160"/>
        <v>61.954077793333077</v>
      </c>
      <c r="P386" s="421">
        <f t="shared" si="160"/>
        <v>62.42892098906573</v>
      </c>
      <c r="Q386" s="421">
        <f t="shared" si="160"/>
        <v>62.780257406290715</v>
      </c>
      <c r="R386" s="27"/>
      <c r="S386" s="27"/>
      <c r="T386" s="27"/>
      <c r="U386" s="27"/>
      <c r="V386" s="27"/>
      <c r="W386" s="27"/>
      <c r="X386" s="27"/>
      <c r="Y386" s="27"/>
      <c r="Z386" s="27"/>
      <c r="AA386" s="27"/>
      <c r="AB386" s="27"/>
      <c r="AC386" s="27"/>
      <c r="AD386" s="27"/>
      <c r="AE386" s="27"/>
      <c r="AF386" s="27"/>
      <c r="AG386" s="27"/>
      <c r="AH386" s="27"/>
      <c r="AI386" s="107"/>
    </row>
    <row r="387" spans="1:35" outlineLevel="1">
      <c r="A387" s="27"/>
      <c r="B387" s="27"/>
      <c r="D387" s="27" t="s">
        <v>211</v>
      </c>
      <c r="E387" s="27"/>
      <c r="F387" s="27"/>
      <c r="G387" s="27" t="s">
        <v>210</v>
      </c>
      <c r="H387" s="27"/>
      <c r="I387" s="163"/>
      <c r="J387" s="27"/>
      <c r="K387" s="27"/>
      <c r="L387" s="421">
        <f t="shared" si="160"/>
        <v>85.595139164902406</v>
      </c>
      <c r="M387" s="421">
        <f t="shared" si="160"/>
        <v>91.753151051827018</v>
      </c>
      <c r="N387" s="421">
        <f t="shared" si="160"/>
        <v>71.070444334878673</v>
      </c>
      <c r="O387" s="421">
        <f t="shared" si="160"/>
        <v>61.191164830502622</v>
      </c>
      <c r="P387" s="421">
        <f t="shared" si="160"/>
        <v>56.419125459766249</v>
      </c>
      <c r="Q387" s="421">
        <f t="shared" si="160"/>
        <v>51.558953392213112</v>
      </c>
      <c r="R387" s="27"/>
      <c r="S387" s="27"/>
      <c r="T387" s="27"/>
      <c r="U387" s="27"/>
      <c r="V387" s="27"/>
      <c r="W387" s="27"/>
      <c r="X387" s="27"/>
      <c r="Y387" s="27"/>
      <c r="Z387" s="27"/>
      <c r="AA387" s="27"/>
      <c r="AB387" s="27"/>
      <c r="AC387" s="27"/>
      <c r="AD387" s="27"/>
      <c r="AE387" s="27"/>
      <c r="AF387" s="27"/>
      <c r="AG387" s="27"/>
      <c r="AH387" s="27"/>
      <c r="AI387" s="107"/>
    </row>
    <row r="388" spans="1:35" outlineLevel="1">
      <c r="A388" s="27"/>
      <c r="B388" s="27"/>
      <c r="D388" s="95" t="s">
        <v>318</v>
      </c>
      <c r="E388" s="95"/>
      <c r="F388" s="95"/>
      <c r="G388" s="95" t="s">
        <v>210</v>
      </c>
      <c r="H388" s="95"/>
      <c r="I388" s="213"/>
      <c r="J388" s="95"/>
      <c r="K388" s="95"/>
      <c r="L388" s="422">
        <f t="shared" si="160"/>
        <v>32.44819043840895</v>
      </c>
      <c r="M388" s="422">
        <f t="shared" si="160"/>
        <v>34.782626066160688</v>
      </c>
      <c r="N388" s="422">
        <f t="shared" si="160"/>
        <v>26.942035900866738</v>
      </c>
      <c r="O388" s="422">
        <f t="shared" si="160"/>
        <v>23.196908013000545</v>
      </c>
      <c r="P388" s="422">
        <f t="shared" si="160"/>
        <v>21.387879558908942</v>
      </c>
      <c r="Q388" s="422">
        <f t="shared" si="160"/>
        <v>19.54544095374963</v>
      </c>
      <c r="R388" s="27"/>
      <c r="S388" s="27"/>
      <c r="T388" s="27"/>
      <c r="U388" s="27"/>
      <c r="V388" s="27"/>
      <c r="W388" s="27"/>
      <c r="X388" s="27"/>
      <c r="Y388" s="27"/>
      <c r="Z388" s="27"/>
      <c r="AA388" s="27"/>
      <c r="AB388" s="27"/>
      <c r="AC388" s="27"/>
      <c r="AD388" s="27"/>
      <c r="AE388" s="27"/>
      <c r="AF388" s="27"/>
      <c r="AG388" s="27"/>
      <c r="AH388" s="27"/>
      <c r="AI388" s="107"/>
    </row>
    <row r="389" spans="1:35" outlineLevel="1">
      <c r="A389" s="27"/>
      <c r="B389" s="27"/>
      <c r="D389" s="10" t="s">
        <v>319</v>
      </c>
      <c r="F389" s="27"/>
      <c r="G389" s="27"/>
      <c r="H389" s="27"/>
      <c r="I389" s="163"/>
      <c r="J389" s="27"/>
      <c r="K389" s="27"/>
      <c r="L389" s="421"/>
      <c r="M389" s="418">
        <f>M379*M32</f>
        <v>1844.4792618036845</v>
      </c>
      <c r="N389" s="418">
        <f>N379*N32</f>
        <v>1530.5860386098025</v>
      </c>
      <c r="O389" s="418">
        <f>O379*O32</f>
        <v>1419.8453220224178</v>
      </c>
      <c r="P389" s="418">
        <f>P379*P32</f>
        <v>1419.8453220224178</v>
      </c>
      <c r="Q389" s="418">
        <f>Q379*Q32</f>
        <v>1419.8453220224178</v>
      </c>
      <c r="R389" s="27"/>
      <c r="S389" s="27"/>
      <c r="T389" s="27"/>
      <c r="U389" s="27"/>
      <c r="V389" s="27"/>
      <c r="W389" s="27"/>
      <c r="X389" s="27"/>
      <c r="Y389" s="27"/>
      <c r="Z389" s="27"/>
      <c r="AA389" s="27"/>
      <c r="AB389" s="27"/>
      <c r="AC389" s="27"/>
      <c r="AD389" s="27"/>
      <c r="AE389" s="27"/>
      <c r="AF389" s="27"/>
      <c r="AG389" s="27"/>
      <c r="AH389" s="27"/>
      <c r="AI389" s="107"/>
    </row>
    <row r="390" spans="1:35" outlineLevel="1">
      <c r="D390" s="786" t="s">
        <v>212</v>
      </c>
      <c r="E390" s="787"/>
      <c r="F390" s="787"/>
      <c r="G390" s="787" t="s">
        <v>210</v>
      </c>
      <c r="H390" s="787"/>
      <c r="I390" s="788"/>
      <c r="J390" s="787"/>
      <c r="K390" s="787"/>
      <c r="L390" s="802">
        <f>SUM(L387:L388)*L$34/L$31</f>
        <v>22.762814908828194</v>
      </c>
      <c r="M390" s="802">
        <f t="shared" ref="M390:Q390" si="161">SUM(M387:M388)*M$34/M$31</f>
        <v>24.400450949332537</v>
      </c>
      <c r="N390" s="802">
        <f t="shared" si="161"/>
        <v>18.900178043595858</v>
      </c>
      <c r="O390" s="802">
        <f t="shared" si="161"/>
        <v>16.272923587505176</v>
      </c>
      <c r="P390" s="802">
        <f t="shared" si="161"/>
        <v>15.003867307049315</v>
      </c>
      <c r="Q390" s="802">
        <f t="shared" si="161"/>
        <v>13.711373384168558</v>
      </c>
      <c r="AI390" s="107"/>
    </row>
    <row r="391" spans="1:35" outlineLevel="1">
      <c r="D391" s="27" t="s">
        <v>213</v>
      </c>
      <c r="G391" s="10" t="s">
        <v>210</v>
      </c>
      <c r="L391" s="418">
        <f t="shared" ref="L391:Q391" si="162">L386-L392+SUM(L387:L388)-L390</f>
        <v>100.4350951161572</v>
      </c>
      <c r="M391" s="418">
        <f t="shared" si="162"/>
        <v>108.17026638692084</v>
      </c>
      <c r="N391" s="418">
        <f t="shared" si="162"/>
        <v>84.172289623706249</v>
      </c>
      <c r="O391" s="418">
        <f t="shared" si="162"/>
        <v>72.851813718941855</v>
      </c>
      <c r="P391" s="418">
        <f t="shared" si="162"/>
        <v>67.576106046256768</v>
      </c>
      <c r="Q391" s="418">
        <f t="shared" si="162"/>
        <v>62.192850526246922</v>
      </c>
      <c r="AI391" s="107"/>
    </row>
    <row r="392" spans="1:35" outlineLevel="1">
      <c r="D392" s="95" t="s">
        <v>214</v>
      </c>
      <c r="E392" s="62"/>
      <c r="F392" s="62"/>
      <c r="G392" s="62" t="s">
        <v>210</v>
      </c>
      <c r="H392" s="62"/>
      <c r="I392" s="212"/>
      <c r="J392" s="62"/>
      <c r="K392" s="62"/>
      <c r="L392" s="423">
        <f t="shared" ref="L392:Q392" si="163">L386*L$35/L$28</f>
        <v>62.265706350741787</v>
      </c>
      <c r="M392" s="423">
        <f t="shared" si="163"/>
        <v>72.900175132542472</v>
      </c>
      <c r="N392" s="423">
        <f t="shared" si="163"/>
        <v>61.123052853529863</v>
      </c>
      <c r="O392" s="423">
        <f t="shared" si="163"/>
        <v>57.217413330389221</v>
      </c>
      <c r="P392" s="423">
        <f t="shared" si="163"/>
        <v>57.655952654434842</v>
      </c>
      <c r="Q392" s="423">
        <f t="shared" si="163"/>
        <v>57.980427841837972</v>
      </c>
      <c r="AI392" s="107"/>
    </row>
    <row r="393" spans="1:35" outlineLevel="1">
      <c r="E393" s="10" t="s">
        <v>263</v>
      </c>
      <c r="L393" s="429" t="str">
        <f>IF(ROUND(SUM(L390:L392)-SUM(L386:L388),5)=0,"OK","FAIL")</f>
        <v>OK</v>
      </c>
      <c r="M393" s="429" t="str">
        <f t="shared" ref="M393:Q393" si="164">IF(ROUND(SUM(M390:M392)-SUM(M386:M388),5)=0,"OK","FAIL")</f>
        <v>OK</v>
      </c>
      <c r="N393" s="429" t="str">
        <f t="shared" si="164"/>
        <v>OK</v>
      </c>
      <c r="O393" s="429" t="str">
        <f t="shared" si="164"/>
        <v>OK</v>
      </c>
      <c r="P393" s="429" t="str">
        <f t="shared" si="164"/>
        <v>OK</v>
      </c>
      <c r="Q393" s="429" t="str">
        <f t="shared" si="164"/>
        <v>OK</v>
      </c>
      <c r="AI393" s="107"/>
    </row>
    <row r="394" spans="1:35" outlineLevel="1">
      <c r="D394" s="27" t="s">
        <v>215</v>
      </c>
      <c r="L394" s="418"/>
      <c r="M394" s="418"/>
      <c r="N394" s="418"/>
      <c r="O394" s="418"/>
      <c r="P394" s="418"/>
      <c r="Q394" s="418"/>
      <c r="AI394" s="107"/>
    </row>
    <row r="395" spans="1:35" outlineLevel="1">
      <c r="D395" s="786"/>
      <c r="E395" s="787" t="s">
        <v>216</v>
      </c>
      <c r="F395" s="787"/>
      <c r="G395" s="787" t="s">
        <v>171</v>
      </c>
      <c r="H395" s="787"/>
      <c r="I395" s="788"/>
      <c r="J395" s="787"/>
      <c r="K395" s="787"/>
      <c r="L395" s="802">
        <f>L372-L$375-L380</f>
        <v>-11.104581880205288</v>
      </c>
      <c r="M395" s="802">
        <f t="shared" ref="M395:Q395" si="165">M372-M$375-M380</f>
        <v>-12.896282126770842</v>
      </c>
      <c r="N395" s="802">
        <f t="shared" si="165"/>
        <v>-10.701594635391167</v>
      </c>
      <c r="O395" s="802">
        <f t="shared" si="165"/>
        <v>-9.9273145696802843</v>
      </c>
      <c r="P395" s="802">
        <f t="shared" si="165"/>
        <v>-9.9273145696802843</v>
      </c>
      <c r="Q395" s="802">
        <f t="shared" si="165"/>
        <v>-9.9273145696802843</v>
      </c>
      <c r="AI395" s="107"/>
    </row>
    <row r="396" spans="1:35" outlineLevel="1">
      <c r="E396" s="10" t="s">
        <v>217</v>
      </c>
      <c r="G396" s="10" t="s">
        <v>171</v>
      </c>
      <c r="L396" s="418">
        <f>L373-L$375-L381</f>
        <v>39.81007049131253</v>
      </c>
      <c r="M396" s="418">
        <f t="shared" ref="M396:Q396" si="166">M373-M$375-M381</f>
        <v>46.233339182070026</v>
      </c>
      <c r="N396" s="418">
        <f t="shared" si="166"/>
        <v>38.365355976509548</v>
      </c>
      <c r="O396" s="418">
        <f t="shared" si="166"/>
        <v>35.589551868935388</v>
      </c>
      <c r="P396" s="418">
        <f t="shared" si="166"/>
        <v>35.589551868935388</v>
      </c>
      <c r="Q396" s="418">
        <f t="shared" si="166"/>
        <v>35.589551868935388</v>
      </c>
      <c r="AI396" s="107"/>
    </row>
    <row r="397" spans="1:35" outlineLevel="1">
      <c r="E397" s="10" t="s">
        <v>218</v>
      </c>
      <c r="G397" s="10" t="s">
        <v>171</v>
      </c>
      <c r="L397" s="418">
        <f t="shared" ref="L397:Q397" si="167">L374-L382</f>
        <v>133.09804016992035</v>
      </c>
      <c r="M397" s="418">
        <f t="shared" si="167"/>
        <v>154.57312081342729</v>
      </c>
      <c r="N397" s="418">
        <f t="shared" si="167"/>
        <v>128.26788869939543</v>
      </c>
      <c r="O397" s="418">
        <f t="shared" si="167"/>
        <v>118.98747090424584</v>
      </c>
      <c r="P397" s="418">
        <f t="shared" si="167"/>
        <v>118.98747090424584</v>
      </c>
      <c r="Q397" s="418">
        <f t="shared" si="167"/>
        <v>118.98747090424584</v>
      </c>
      <c r="AI397" s="107"/>
    </row>
    <row r="398" spans="1:35" outlineLevel="1">
      <c r="E398" s="268" t="s">
        <v>219</v>
      </c>
      <c r="F398" s="268"/>
      <c r="G398" s="268" t="s">
        <v>171</v>
      </c>
      <c r="H398" s="268"/>
      <c r="I398" s="269"/>
      <c r="J398" s="268"/>
      <c r="K398" s="268"/>
      <c r="L398" s="419">
        <f>L395*L363</f>
        <v>-0.93448620356717171</v>
      </c>
      <c r="M398" s="419">
        <f t="shared" ref="M398:Q398" si="168">M395*M363</f>
        <v>-1.094088735061465</v>
      </c>
      <c r="N398" s="419">
        <f t="shared" si="168"/>
        <v>-0.91733721432119197</v>
      </c>
      <c r="O398" s="419">
        <f t="shared" si="168"/>
        <v>-0.85872122063242462</v>
      </c>
      <c r="P398" s="419">
        <f t="shared" si="168"/>
        <v>-0.8653028362931201</v>
      </c>
      <c r="Q398" s="419">
        <f t="shared" si="168"/>
        <v>-0.87017257284312532</v>
      </c>
      <c r="S398" s="230"/>
      <c r="AI398" s="107"/>
    </row>
    <row r="399" spans="1:35" outlineLevel="1">
      <c r="E399" s="10" t="s">
        <v>220</v>
      </c>
      <c r="G399" s="10" t="s">
        <v>171</v>
      </c>
      <c r="L399" s="418">
        <f>L396*(L364-L$362)</f>
        <v>3.9699028586948595</v>
      </c>
      <c r="M399" s="418">
        <f>M396*(M364-M$362)</f>
        <v>4.5398851728138272</v>
      </c>
      <c r="N399" s="418">
        <f t="shared" ref="N399:Q399" si="169">N396*(N364-N$362)</f>
        <v>3.7980204685555381</v>
      </c>
      <c r="O399" s="418">
        <f t="shared" si="169"/>
        <v>3.5492477670821034</v>
      </c>
      <c r="P399" s="418">
        <f t="shared" si="169"/>
        <v>3.5728429448407617</v>
      </c>
      <c r="Q399" s="418">
        <f t="shared" si="169"/>
        <v>3.5903010137191051</v>
      </c>
      <c r="S399" s="230"/>
      <c r="AI399" s="107"/>
    </row>
    <row r="400" spans="1:35" outlineLevel="1">
      <c r="E400" s="285" t="s">
        <v>221</v>
      </c>
      <c r="F400" s="285"/>
      <c r="G400" s="285" t="s">
        <v>171</v>
      </c>
      <c r="H400" s="285"/>
      <c r="I400" s="286"/>
      <c r="J400" s="285"/>
      <c r="K400" s="285"/>
      <c r="L400" s="439">
        <f>L397*(L365-L$362)</f>
        <v>13.272679089391616</v>
      </c>
      <c r="M400" s="439">
        <f t="shared" ref="M400:Q400" si="170">M397*(M365-M$362)</f>
        <v>15.178315728676285</v>
      </c>
      <c r="N400" s="439">
        <f t="shared" si="170"/>
        <v>12.698020240891019</v>
      </c>
      <c r="O400" s="439">
        <f t="shared" si="170"/>
        <v>11.866292022245524</v>
      </c>
      <c r="P400" s="439">
        <f t="shared" si="170"/>
        <v>11.945178391407408</v>
      </c>
      <c r="Q400" s="439">
        <f t="shared" si="170"/>
        <v>12.003546405434564</v>
      </c>
      <c r="S400" s="230"/>
      <c r="AI400" s="107"/>
    </row>
    <row r="401" spans="3:35" outlineLevel="1">
      <c r="E401" s="27" t="s">
        <v>222</v>
      </c>
      <c r="F401" s="27"/>
      <c r="G401" s="27" t="s">
        <v>210</v>
      </c>
      <c r="H401" s="27"/>
      <c r="I401" s="163"/>
      <c r="J401" s="27"/>
      <c r="K401" s="27"/>
      <c r="L401" s="421">
        <f t="shared" ref="L401:Q403" si="171">L398*L28</f>
        <v>-15.980826651057143</v>
      </c>
      <c r="M401" s="421">
        <f t="shared" si="171"/>
        <v>-18.710219957393797</v>
      </c>
      <c r="N401" s="421">
        <f t="shared" si="171"/>
        <v>-15.687558517900433</v>
      </c>
      <c r="O401" s="421">
        <f t="shared" si="171"/>
        <v>-14.685155239452977</v>
      </c>
      <c r="P401" s="421">
        <f t="shared" si="171"/>
        <v>-14.79770870311671</v>
      </c>
      <c r="Q401" s="421">
        <f t="shared" si="171"/>
        <v>-14.88098699587789</v>
      </c>
      <c r="AI401" s="107"/>
    </row>
    <row r="402" spans="3:35" outlineLevel="1">
      <c r="E402" s="27" t="s">
        <v>223</v>
      </c>
      <c r="F402" s="27"/>
      <c r="G402" s="27" t="s">
        <v>210</v>
      </c>
      <c r="H402" s="27"/>
      <c r="I402" s="163"/>
      <c r="J402" s="27"/>
      <c r="K402" s="27"/>
      <c r="L402" s="421">
        <f>L399*L29</f>
        <v>33.051134479500703</v>
      </c>
      <c r="M402" s="421">
        <f t="shared" si="171"/>
        <v>37.796480344481481</v>
      </c>
      <c r="N402" s="421">
        <f t="shared" si="171"/>
        <v>31.620140273002569</v>
      </c>
      <c r="O402" s="421">
        <f t="shared" si="171"/>
        <v>29.549001430595151</v>
      </c>
      <c r="P402" s="421">
        <f t="shared" si="171"/>
        <v>29.7454413488821</v>
      </c>
      <c r="Q402" s="421">
        <f t="shared" si="171"/>
        <v>29.890787218236749</v>
      </c>
      <c r="AI402" s="107"/>
    </row>
    <row r="403" spans="3:35" outlineLevel="1">
      <c r="E403" s="27" t="s">
        <v>224</v>
      </c>
      <c r="F403" s="27"/>
      <c r="G403" s="27" t="s">
        <v>210</v>
      </c>
      <c r="H403" s="27"/>
      <c r="I403" s="163"/>
      <c r="J403" s="27"/>
      <c r="K403" s="27"/>
      <c r="L403" s="421">
        <f>L400*L30</f>
        <v>50.427945673795115</v>
      </c>
      <c r="M403" s="421">
        <f t="shared" si="171"/>
        <v>57.668182574922938</v>
      </c>
      <c r="N403" s="421">
        <f t="shared" si="171"/>
        <v>48.24459858930819</v>
      </c>
      <c r="O403" s="421">
        <f t="shared" si="171"/>
        <v>45.084547393710423</v>
      </c>
      <c r="P403" s="421">
        <f t="shared" si="171"/>
        <v>45.384266652475446</v>
      </c>
      <c r="Q403" s="421">
        <f t="shared" si="171"/>
        <v>45.606028892082463</v>
      </c>
      <c r="AI403" s="107"/>
    </row>
    <row r="404" spans="3:35" outlineLevel="1">
      <c r="D404" s="273" t="s">
        <v>225</v>
      </c>
      <c r="E404" s="273"/>
      <c r="F404" s="273"/>
      <c r="G404" s="273" t="s">
        <v>210</v>
      </c>
      <c r="H404" s="273"/>
      <c r="I404" s="275"/>
      <c r="J404" s="273"/>
      <c r="K404" s="273"/>
      <c r="L404" s="431">
        <f>SUM(L401:L403)</f>
        <v>67.498253502238668</v>
      </c>
      <c r="M404" s="431">
        <f t="shared" ref="M404:Q404" si="172">SUM(M401:M403)</f>
        <v>76.754442962010614</v>
      </c>
      <c r="N404" s="431">
        <f t="shared" si="172"/>
        <v>64.177180344410331</v>
      </c>
      <c r="O404" s="431">
        <f t="shared" si="172"/>
        <v>59.948393584852596</v>
      </c>
      <c r="P404" s="431">
        <f>SUM(P401:P403)</f>
        <v>60.331999298240838</v>
      </c>
      <c r="Q404" s="431">
        <f t="shared" si="172"/>
        <v>60.615829114441325</v>
      </c>
      <c r="AI404" s="107"/>
    </row>
    <row r="405" spans="3:35" outlineLevel="1">
      <c r="L405" s="418"/>
      <c r="M405" s="418"/>
      <c r="N405" s="418"/>
      <c r="O405" s="418"/>
      <c r="P405" s="418"/>
      <c r="Q405" s="418"/>
      <c r="AI405" s="107"/>
    </row>
    <row r="406" spans="3:35" outlineLevel="1">
      <c r="D406" s="786" t="s">
        <v>212</v>
      </c>
      <c r="E406" s="787"/>
      <c r="F406" s="787"/>
      <c r="G406" s="787" t="s">
        <v>210</v>
      </c>
      <c r="H406" s="787"/>
      <c r="I406" s="788"/>
      <c r="J406" s="787"/>
      <c r="K406" s="787"/>
      <c r="L406" s="802">
        <f>L$404*L34/L$38</f>
        <v>5.3998602801790927</v>
      </c>
      <c r="M406" s="802">
        <f>M$404*M34/M$38</f>
        <v>6.1403554369608493</v>
      </c>
      <c r="N406" s="802">
        <f t="shared" ref="N406:Q406" si="173">N$404*N34/N$38</f>
        <v>5.1341744275528258</v>
      </c>
      <c r="O406" s="802">
        <f t="shared" si="173"/>
        <v>4.7958714867882071</v>
      </c>
      <c r="P406" s="802">
        <f t="shared" si="173"/>
        <v>4.8265599438592668</v>
      </c>
      <c r="Q406" s="802">
        <f t="shared" si="173"/>
        <v>4.8492663291553058</v>
      </c>
      <c r="AI406" s="107"/>
    </row>
    <row r="407" spans="3:35" outlineLevel="1">
      <c r="D407" s="27" t="s">
        <v>213</v>
      </c>
      <c r="G407" s="10" t="s">
        <v>210</v>
      </c>
      <c r="L407" s="418">
        <f t="shared" ref="L407:Q407" si="174">L$404*L37/L$38</f>
        <v>25.622337029449795</v>
      </c>
      <c r="M407" s="418">
        <f>M$404*M37/M$38</f>
        <v>29.135986548379229</v>
      </c>
      <c r="N407" s="418">
        <f t="shared" si="174"/>
        <v>24.361657658738164</v>
      </c>
      <c r="O407" s="418">
        <f t="shared" si="174"/>
        <v>22.756410204810045</v>
      </c>
      <c r="P407" s="418">
        <f t="shared" si="174"/>
        <v>22.90202693361222</v>
      </c>
      <c r="Q407" s="418">
        <f t="shared" si="174"/>
        <v>23.009768731841927</v>
      </c>
      <c r="AI407" s="107"/>
    </row>
    <row r="408" spans="3:35" outlineLevel="1">
      <c r="D408" s="95" t="s">
        <v>214</v>
      </c>
      <c r="E408" s="62"/>
      <c r="F408" s="62"/>
      <c r="G408" s="62" t="s">
        <v>210</v>
      </c>
      <c r="H408" s="62"/>
      <c r="I408" s="212"/>
      <c r="J408" s="62"/>
      <c r="K408" s="62"/>
      <c r="L408" s="423">
        <f t="shared" ref="L408:Q408" si="175">L$404*L35/L$38</f>
        <v>36.476056192609775</v>
      </c>
      <c r="M408" s="423">
        <f>M$404*M35/M$38</f>
        <v>41.478100976670532</v>
      </c>
      <c r="N408" s="423">
        <f t="shared" si="175"/>
        <v>34.681348258119343</v>
      </c>
      <c r="O408" s="423">
        <f t="shared" si="175"/>
        <v>32.396111893254343</v>
      </c>
      <c r="P408" s="423">
        <f t="shared" si="175"/>
        <v>32.603412420769352</v>
      </c>
      <c r="Q408" s="423">
        <f t="shared" si="175"/>
        <v>32.756794053444089</v>
      </c>
      <c r="AI408" s="107"/>
    </row>
    <row r="409" spans="3:35" outlineLevel="1">
      <c r="D409" s="27" t="s">
        <v>320</v>
      </c>
      <c r="G409" s="10" t="s">
        <v>171</v>
      </c>
      <c r="L409" s="22">
        <f t="shared" ref="L409:Q409" si="176">L379</f>
        <v>54.342815065315094</v>
      </c>
      <c r="M409" s="22">
        <f t="shared" si="176"/>
        <v>63.110910631808387</v>
      </c>
      <c r="N409" s="22">
        <f t="shared" si="176"/>
        <v>52.370704673869106</v>
      </c>
      <c r="O409" s="22">
        <f t="shared" si="176"/>
        <v>48.581587814396002</v>
      </c>
      <c r="P409" s="22">
        <f t="shared" si="176"/>
        <v>48.581587814396002</v>
      </c>
      <c r="Q409" s="22">
        <f t="shared" si="176"/>
        <v>48.581587814396002</v>
      </c>
      <c r="AI409" s="107"/>
    </row>
    <row r="410" spans="3:35" outlineLevel="1">
      <c r="L410" s="22"/>
      <c r="M410" s="22"/>
      <c r="N410" s="22"/>
      <c r="O410" s="22"/>
      <c r="P410" s="22"/>
      <c r="Q410" s="22"/>
      <c r="AI410" s="107"/>
    </row>
    <row r="411" spans="3:35" outlineLevel="1">
      <c r="C411" s="184" t="s">
        <v>226</v>
      </c>
      <c r="D411" s="321"/>
      <c r="E411" s="322"/>
      <c r="F411" s="322"/>
      <c r="G411" s="322"/>
      <c r="H411" s="322"/>
      <c r="I411" s="323"/>
      <c r="J411" s="322"/>
      <c r="K411" s="322"/>
      <c r="L411" s="411"/>
      <c r="M411" s="411"/>
      <c r="N411" s="411"/>
      <c r="O411" s="411"/>
      <c r="P411" s="411"/>
      <c r="Q411" s="411"/>
      <c r="R411" s="322"/>
      <c r="S411" s="322"/>
      <c r="T411" s="322"/>
      <c r="U411" s="322"/>
      <c r="V411" s="322"/>
      <c r="W411" s="322"/>
      <c r="X411" s="322"/>
      <c r="Y411" s="322"/>
      <c r="Z411" s="322"/>
      <c r="AA411" s="322"/>
      <c r="AB411" s="322"/>
      <c r="AC411" s="322"/>
      <c r="AD411" s="322"/>
      <c r="AE411" s="322"/>
      <c r="AF411" s="322"/>
      <c r="AG411" s="322"/>
      <c r="AH411" s="322"/>
      <c r="AI411" s="107"/>
    </row>
    <row r="412" spans="3:35" outlineLevel="1">
      <c r="L412" s="21"/>
      <c r="M412" s="21"/>
      <c r="N412" s="21"/>
      <c r="O412" s="21"/>
      <c r="P412" s="21"/>
      <c r="Q412" s="21"/>
      <c r="AI412" s="107"/>
    </row>
    <row r="413" spans="3:35" outlineLevel="1">
      <c r="D413" s="27" t="s">
        <v>137</v>
      </c>
      <c r="L413" s="21"/>
      <c r="M413" s="21"/>
      <c r="N413" s="21"/>
      <c r="O413" s="21"/>
      <c r="P413" s="21"/>
      <c r="Q413" s="21"/>
      <c r="AI413" s="107"/>
    </row>
    <row r="414" spans="3:35" outlineLevel="1">
      <c r="D414" s="786"/>
      <c r="E414" s="787" t="s">
        <v>227</v>
      </c>
      <c r="F414" s="787"/>
      <c r="G414" s="787" t="s">
        <v>171</v>
      </c>
      <c r="H414" s="786"/>
      <c r="I414" s="804"/>
      <c r="J414" s="787"/>
      <c r="K414" s="787"/>
      <c r="L414" s="793">
        <f>L$51</f>
        <v>129.20163349333333</v>
      </c>
      <c r="M414" s="793">
        <f t="shared" ref="M414:Q414" si="177">M$51</f>
        <v>129.20163349333333</v>
      </c>
      <c r="N414" s="793">
        <f t="shared" si="177"/>
        <v>129.20163349333333</v>
      </c>
      <c r="O414" s="793">
        <f t="shared" si="177"/>
        <v>129.20163349333333</v>
      </c>
      <c r="P414" s="793">
        <f t="shared" si="177"/>
        <v>129.20163349333333</v>
      </c>
      <c r="Q414" s="793">
        <f t="shared" si="177"/>
        <v>129.20163349333333</v>
      </c>
      <c r="AI414" s="107"/>
    </row>
    <row r="415" spans="3:35" outlineLevel="1">
      <c r="D415" s="95"/>
      <c r="E415" s="62" t="s">
        <v>228</v>
      </c>
      <c r="F415" s="62"/>
      <c r="G415" s="62" t="s">
        <v>142</v>
      </c>
      <c r="H415" s="62"/>
      <c r="I415" s="212"/>
      <c r="J415" s="62"/>
      <c r="K415" s="62"/>
      <c r="L415" s="415">
        <f t="shared" ref="L415:Q415" si="178">L344</f>
        <v>0.4</v>
      </c>
      <c r="M415" s="415">
        <f t="shared" si="178"/>
        <v>1</v>
      </c>
      <c r="N415" s="415">
        <f t="shared" si="178"/>
        <v>1</v>
      </c>
      <c r="O415" s="415">
        <f t="shared" si="178"/>
        <v>1</v>
      </c>
      <c r="P415" s="415">
        <f t="shared" si="178"/>
        <v>1</v>
      </c>
      <c r="Q415" s="415">
        <f t="shared" si="178"/>
        <v>1</v>
      </c>
      <c r="AI415" s="107"/>
    </row>
    <row r="416" spans="3:35" outlineLevel="1">
      <c r="L416" s="222"/>
      <c r="M416" s="222"/>
      <c r="N416" s="222"/>
      <c r="O416" s="222"/>
      <c r="P416" s="222"/>
      <c r="Q416" s="222"/>
      <c r="AI416" s="107"/>
    </row>
    <row r="417" spans="4:35" outlineLevel="1">
      <c r="D417" s="27" t="s">
        <v>229</v>
      </c>
      <c r="L417" s="222"/>
      <c r="M417" s="222"/>
      <c r="N417" s="222"/>
      <c r="O417" s="222"/>
      <c r="P417" s="222"/>
      <c r="Q417" s="222"/>
      <c r="AI417" s="107"/>
    </row>
    <row r="418" spans="4:35" outlineLevel="1">
      <c r="D418" s="786"/>
      <c r="E418" s="787" t="s">
        <v>230</v>
      </c>
      <c r="F418" s="787"/>
      <c r="G418" s="787" t="s">
        <v>171</v>
      </c>
      <c r="H418" s="787"/>
      <c r="I418" s="788"/>
      <c r="J418" s="787"/>
      <c r="K418" s="787"/>
      <c r="L418" s="802">
        <f t="shared" ref="L418:Q418" si="179">L414*L$415</f>
        <v>51.680653397333337</v>
      </c>
      <c r="M418" s="802">
        <f t="shared" si="179"/>
        <v>129.20163349333333</v>
      </c>
      <c r="N418" s="802">
        <f t="shared" si="179"/>
        <v>129.20163349333333</v>
      </c>
      <c r="O418" s="802">
        <f t="shared" si="179"/>
        <v>129.20163349333333</v>
      </c>
      <c r="P418" s="802">
        <f t="shared" si="179"/>
        <v>129.20163349333333</v>
      </c>
      <c r="Q418" s="802">
        <f t="shared" si="179"/>
        <v>129.20163349333333</v>
      </c>
      <c r="AI418" s="107"/>
    </row>
    <row r="419" spans="4:35" outlineLevel="1">
      <c r="E419" s="268" t="s">
        <v>231</v>
      </c>
      <c r="F419" s="268"/>
      <c r="G419" s="268" t="s">
        <v>171</v>
      </c>
      <c r="H419" s="268"/>
      <c r="I419" s="269"/>
      <c r="J419" s="268"/>
      <c r="K419" s="268"/>
      <c r="L419" s="419">
        <f t="shared" ref="L419:Q421" si="180">L$418*L363</f>
        <v>4.3490928440298973</v>
      </c>
      <c r="M419" s="419">
        <f t="shared" si="180"/>
        <v>10.961147590215704</v>
      </c>
      <c r="N419" s="419">
        <f t="shared" si="180"/>
        <v>11.075122034856424</v>
      </c>
      <c r="O419" s="419">
        <f t="shared" si="180"/>
        <v>11.176052057416724</v>
      </c>
      <c r="P419" s="419">
        <f t="shared" si="180"/>
        <v>11.261710216873491</v>
      </c>
      <c r="Q419" s="419">
        <f t="shared" si="180"/>
        <v>11.325088677637138</v>
      </c>
      <c r="AI419" s="107"/>
    </row>
    <row r="420" spans="4:35" outlineLevel="1">
      <c r="E420" s="10" t="s">
        <v>232</v>
      </c>
      <c r="G420" s="10" t="s">
        <v>171</v>
      </c>
      <c r="L420" s="418">
        <f t="shared" si="180"/>
        <v>7.7376827671721715</v>
      </c>
      <c r="M420" s="418">
        <f t="shared" si="180"/>
        <v>17.855026536496457</v>
      </c>
      <c r="N420" s="418">
        <f t="shared" si="180"/>
        <v>16.666506335078505</v>
      </c>
      <c r="O420" s="418">
        <f t="shared" si="180"/>
        <v>15.468954932117423</v>
      </c>
      <c r="P420" s="418">
        <f t="shared" si="180"/>
        <v>14.262596756640859</v>
      </c>
      <c r="Q420" s="418">
        <f t="shared" si="180"/>
        <v>13.033958882471174</v>
      </c>
      <c r="AI420" s="107"/>
    </row>
    <row r="421" spans="4:35" outlineLevel="1">
      <c r="E421" s="285" t="s">
        <v>233</v>
      </c>
      <c r="F421" s="285"/>
      <c r="G421" s="285" t="s">
        <v>171</v>
      </c>
      <c r="H421" s="285"/>
      <c r="I421" s="286"/>
      <c r="J421" s="285"/>
      <c r="K421" s="285"/>
      <c r="L421" s="439">
        <f t="shared" si="180"/>
        <v>7.7376827671721715</v>
      </c>
      <c r="M421" s="439">
        <f t="shared" si="180"/>
        <v>17.855026536496457</v>
      </c>
      <c r="N421" s="439">
        <f t="shared" si="180"/>
        <v>16.666506335078505</v>
      </c>
      <c r="O421" s="439">
        <f t="shared" si="180"/>
        <v>15.468954932117423</v>
      </c>
      <c r="P421" s="439">
        <f t="shared" si="180"/>
        <v>14.262596756640859</v>
      </c>
      <c r="Q421" s="439">
        <f t="shared" si="180"/>
        <v>13.033958882471174</v>
      </c>
      <c r="AI421" s="107"/>
    </row>
    <row r="422" spans="4:35" outlineLevel="1">
      <c r="D422" s="27" t="s">
        <v>234</v>
      </c>
      <c r="E422" s="27"/>
      <c r="F422" s="27"/>
      <c r="G422" s="27" t="s">
        <v>210</v>
      </c>
      <c r="H422" s="27"/>
      <c r="I422" s="163"/>
      <c r="J422" s="27"/>
      <c r="K422" s="27"/>
      <c r="L422" s="421">
        <f t="shared" ref="L422:Q424" si="181">L419*L28</f>
        <v>74.374665526882779</v>
      </c>
      <c r="M422" s="421">
        <f t="shared" si="181"/>
        <v>187.44867379232386</v>
      </c>
      <c r="N422" s="421">
        <f t="shared" si="181"/>
        <v>189.39777249009069</v>
      </c>
      <c r="O422" s="421">
        <f t="shared" si="181"/>
        <v>191.12379604000122</v>
      </c>
      <c r="P422" s="421">
        <f t="shared" si="181"/>
        <v>192.58865254863861</v>
      </c>
      <c r="Q422" s="421">
        <f t="shared" si="181"/>
        <v>193.67249968411093</v>
      </c>
      <c r="AI422" s="107"/>
    </row>
    <row r="423" spans="4:35" outlineLevel="1">
      <c r="D423" s="27" t="s">
        <v>235</v>
      </c>
      <c r="E423" s="27"/>
      <c r="F423" s="27"/>
      <c r="G423" s="27" t="s">
        <v>210</v>
      </c>
      <c r="H423" s="27"/>
      <c r="I423" s="163"/>
      <c r="J423" s="27"/>
      <c r="K423" s="27"/>
      <c r="L423" s="421">
        <f t="shared" si="181"/>
        <v>64.41950919212141</v>
      </c>
      <c r="M423" s="421">
        <f t="shared" si="181"/>
        <v>148.6507111629447</v>
      </c>
      <c r="N423" s="421">
        <f t="shared" si="181"/>
        <v>138.75577357709599</v>
      </c>
      <c r="O423" s="421">
        <f t="shared" si="181"/>
        <v>128.78564738655393</v>
      </c>
      <c r="P423" s="421">
        <f t="shared" si="181"/>
        <v>118.74220105869362</v>
      </c>
      <c r="Q423" s="421">
        <f t="shared" si="181"/>
        <v>108.51326673682452</v>
      </c>
      <c r="AI423" s="107"/>
    </row>
    <row r="424" spans="4:35" outlineLevel="1">
      <c r="D424" s="95" t="s">
        <v>236</v>
      </c>
      <c r="E424" s="95"/>
      <c r="F424" s="95"/>
      <c r="G424" s="95" t="s">
        <v>210</v>
      </c>
      <c r="H424" s="95"/>
      <c r="I424" s="213"/>
      <c r="J424" s="95"/>
      <c r="K424" s="95"/>
      <c r="L424" s="422">
        <f t="shared" si="181"/>
        <v>29.398393767833081</v>
      </c>
      <c r="M424" s="422">
        <f t="shared" si="181"/>
        <v>67.838022913268901</v>
      </c>
      <c r="N424" s="422">
        <f t="shared" si="181"/>
        <v>63.32238355020948</v>
      </c>
      <c r="O424" s="422">
        <f t="shared" si="181"/>
        <v>58.772431224580949</v>
      </c>
      <c r="P424" s="422">
        <f t="shared" si="181"/>
        <v>54.189018627444213</v>
      </c>
      <c r="Q424" s="422">
        <f t="shared" si="181"/>
        <v>49.520956998430933</v>
      </c>
      <c r="AI424" s="107"/>
    </row>
    <row r="425" spans="4:35" outlineLevel="1">
      <c r="D425" s="10" t="s">
        <v>230</v>
      </c>
      <c r="E425" s="27"/>
      <c r="F425" s="27"/>
      <c r="G425" s="10" t="s">
        <v>210</v>
      </c>
      <c r="H425" s="27"/>
      <c r="I425" s="163"/>
      <c r="J425" s="27"/>
      <c r="K425" s="27"/>
      <c r="L425" s="421"/>
      <c r="M425" s="418">
        <f>M418*M32</f>
        <v>3776.0465058082004</v>
      </c>
      <c r="N425" s="418">
        <f>N418*N32</f>
        <v>3776.0465058082004</v>
      </c>
      <c r="O425" s="418">
        <f>O418*O32</f>
        <v>3776.0465058082004</v>
      </c>
      <c r="P425" s="418">
        <f>P418*P32</f>
        <v>3776.0465058082004</v>
      </c>
      <c r="Q425" s="418">
        <f>Q418*Q32</f>
        <v>3776.0465058082004</v>
      </c>
      <c r="AI425" s="107"/>
    </row>
    <row r="426" spans="4:35" outlineLevel="1">
      <c r="D426" s="786" t="s">
        <v>212</v>
      </c>
      <c r="E426" s="787"/>
      <c r="F426" s="787"/>
      <c r="G426" s="787" t="s">
        <v>210</v>
      </c>
      <c r="H426" s="787"/>
      <c r="I426" s="788"/>
      <c r="J426" s="787"/>
      <c r="K426" s="787"/>
      <c r="L426" s="802">
        <f t="shared" ref="L426:Q426" si="182">SUM(L423:L424)*L$34/L$31</f>
        <v>18.091319241743435</v>
      </c>
      <c r="M426" s="802">
        <f t="shared" si="182"/>
        <v>41.746475638934704</v>
      </c>
      <c r="N426" s="802">
        <f t="shared" si="182"/>
        <v>38.967620646282754</v>
      </c>
      <c r="O426" s="802">
        <f t="shared" si="182"/>
        <v>36.167649984357503</v>
      </c>
      <c r="P426" s="802">
        <f t="shared" si="182"/>
        <v>33.347088386119516</v>
      </c>
      <c r="Q426" s="802">
        <f t="shared" si="182"/>
        <v>30.474435075957498</v>
      </c>
      <c r="AI426" s="107"/>
    </row>
    <row r="427" spans="4:35" outlineLevel="1">
      <c r="D427" s="27" t="s">
        <v>213</v>
      </c>
      <c r="G427" s="10" t="s">
        <v>210</v>
      </c>
      <c r="L427" s="418">
        <f>L422-L428+SUM(L423:L424)-L426</f>
        <v>81.412857288769004</v>
      </c>
      <c r="M427" s="418">
        <f t="shared" ref="M427:Q427" si="183">M422-M428+SUM(M423:M424)-M426</f>
        <v>189.07354224300124</v>
      </c>
      <c r="N427" s="418">
        <f t="shared" si="183"/>
        <v>177.59083754057747</v>
      </c>
      <c r="O427" s="418">
        <f t="shared" si="183"/>
        <v>166.00269185415482</v>
      </c>
      <c r="P427" s="418">
        <f t="shared" si="183"/>
        <v>154.30838931474327</v>
      </c>
      <c r="Q427" s="418">
        <f t="shared" si="183"/>
        <v>142.3669116022522</v>
      </c>
      <c r="AI427" s="107"/>
    </row>
    <row r="428" spans="4:35" outlineLevel="1">
      <c r="D428" s="95" t="s">
        <v>214</v>
      </c>
      <c r="E428" s="62"/>
      <c r="F428" s="62"/>
      <c r="G428" s="62" t="s">
        <v>210</v>
      </c>
      <c r="H428" s="62"/>
      <c r="I428" s="212"/>
      <c r="J428" s="62"/>
      <c r="K428" s="62"/>
      <c r="L428" s="423">
        <f>L422*L$35/L$28</f>
        <v>68.688391956324836</v>
      </c>
      <c r="M428" s="423">
        <f t="shared" ref="M428:Q428" si="184">M422*M$35/M$28</f>
        <v>173.11738998660152</v>
      </c>
      <c r="N428" s="423">
        <f t="shared" si="184"/>
        <v>174.91747143053593</v>
      </c>
      <c r="O428" s="423">
        <f t="shared" si="184"/>
        <v>176.51153281262378</v>
      </c>
      <c r="P428" s="423">
        <f t="shared" si="184"/>
        <v>177.86439453391367</v>
      </c>
      <c r="Q428" s="423">
        <f t="shared" si="184"/>
        <v>178.86537674115669</v>
      </c>
      <c r="AI428" s="107"/>
    </row>
    <row r="429" spans="4:35" outlineLevel="1">
      <c r="E429" s="10" t="s">
        <v>263</v>
      </c>
      <c r="L429" s="429" t="str">
        <f>IF(ROUND(SUM(L426:L428)-SUM(L422:L424),5)=0,"OK","FAIL")</f>
        <v>OK</v>
      </c>
      <c r="M429" s="429" t="str">
        <f t="shared" ref="M429" si="185">IF(ROUND(SUM(M426:M428)-SUM(M422:M424),5)=0,"OK","FAIL")</f>
        <v>OK</v>
      </c>
      <c r="N429" s="429" t="str">
        <f t="shared" ref="N429" si="186">IF(ROUND(SUM(N426:N428)-SUM(N422:N424),5)=0,"OK","FAIL")</f>
        <v>OK</v>
      </c>
      <c r="O429" s="429" t="str">
        <f t="shared" ref="O429" si="187">IF(ROUND(SUM(O426:O428)-SUM(O422:O424),5)=0,"OK","FAIL")</f>
        <v>OK</v>
      </c>
      <c r="P429" s="429" t="str">
        <f t="shared" ref="P429" si="188">IF(ROUND(SUM(P426:P428)-SUM(P422:P424),5)=0,"OK","FAIL")</f>
        <v>OK</v>
      </c>
      <c r="Q429" s="429" t="str">
        <f t="shared" ref="Q429" si="189">IF(ROUND(SUM(Q426:Q428)-SUM(Q422:Q424),5)=0,"OK","FAIL")</f>
        <v>OK</v>
      </c>
      <c r="AI429" s="107"/>
    </row>
    <row r="430" spans="4:35" outlineLevel="1">
      <c r="D430" s="27" t="s">
        <v>237</v>
      </c>
      <c r="L430" s="418"/>
      <c r="M430" s="418"/>
      <c r="N430" s="418"/>
      <c r="O430" s="418"/>
      <c r="P430" s="418"/>
      <c r="Q430" s="418"/>
      <c r="AI430" s="107"/>
    </row>
    <row r="431" spans="4:35" outlineLevel="1">
      <c r="D431" s="786"/>
      <c r="E431" s="787" t="s">
        <v>238</v>
      </c>
      <c r="F431" s="787"/>
      <c r="G431" s="787" t="s">
        <v>171</v>
      </c>
      <c r="H431" s="787"/>
      <c r="I431" s="788"/>
      <c r="J431" s="787"/>
      <c r="K431" s="787"/>
      <c r="L431" s="802">
        <f>L$414-L$418</f>
        <v>77.520980095999988</v>
      </c>
      <c r="M431" s="802">
        <f t="shared" ref="M431:Q433" si="190">M$414-M$418</f>
        <v>0</v>
      </c>
      <c r="N431" s="802">
        <f t="shared" si="190"/>
        <v>0</v>
      </c>
      <c r="O431" s="802">
        <f t="shared" si="190"/>
        <v>0</v>
      </c>
      <c r="P431" s="802">
        <f t="shared" si="190"/>
        <v>0</v>
      </c>
      <c r="Q431" s="802">
        <f t="shared" si="190"/>
        <v>0</v>
      </c>
      <c r="AI431" s="107"/>
    </row>
    <row r="432" spans="4:35" outlineLevel="1">
      <c r="E432" s="10" t="s">
        <v>239</v>
      </c>
      <c r="G432" s="10" t="s">
        <v>171</v>
      </c>
      <c r="L432" s="418">
        <f t="shared" ref="L432:L433" si="191">L$414-L$418</f>
        <v>77.520980095999988</v>
      </c>
      <c r="M432" s="418">
        <f t="shared" si="190"/>
        <v>0</v>
      </c>
      <c r="N432" s="418">
        <f t="shared" si="190"/>
        <v>0</v>
      </c>
      <c r="O432" s="418">
        <f t="shared" si="190"/>
        <v>0</v>
      </c>
      <c r="P432" s="418">
        <f t="shared" si="190"/>
        <v>0</v>
      </c>
      <c r="Q432" s="418">
        <f t="shared" si="190"/>
        <v>0</v>
      </c>
      <c r="AI432" s="107"/>
    </row>
    <row r="433" spans="1:35" outlineLevel="1">
      <c r="E433" s="10" t="s">
        <v>240</v>
      </c>
      <c r="G433" s="10" t="s">
        <v>171</v>
      </c>
      <c r="L433" s="418">
        <f t="shared" si="191"/>
        <v>77.520980095999988</v>
      </c>
      <c r="M433" s="418">
        <f t="shared" si="190"/>
        <v>0</v>
      </c>
      <c r="N433" s="418">
        <f t="shared" si="190"/>
        <v>0</v>
      </c>
      <c r="O433" s="418">
        <f t="shared" si="190"/>
        <v>0</v>
      </c>
      <c r="P433" s="418">
        <f t="shared" si="190"/>
        <v>0</v>
      </c>
      <c r="Q433" s="418">
        <f t="shared" si="190"/>
        <v>0</v>
      </c>
      <c r="AI433" s="107"/>
    </row>
    <row r="434" spans="1:35" outlineLevel="1">
      <c r="E434" s="268" t="s">
        <v>241</v>
      </c>
      <c r="F434" s="268"/>
      <c r="G434" s="268" t="s">
        <v>171</v>
      </c>
      <c r="H434" s="268"/>
      <c r="I434" s="269"/>
      <c r="J434" s="268"/>
      <c r="K434" s="268"/>
      <c r="L434" s="419">
        <f t="shared" ref="L434:Q434" si="192">L431*L363</f>
        <v>6.523639266044845</v>
      </c>
      <c r="M434" s="419">
        <f t="shared" si="192"/>
        <v>0</v>
      </c>
      <c r="N434" s="419">
        <f t="shared" si="192"/>
        <v>0</v>
      </c>
      <c r="O434" s="419">
        <f t="shared" si="192"/>
        <v>0</v>
      </c>
      <c r="P434" s="419">
        <f t="shared" si="192"/>
        <v>0</v>
      </c>
      <c r="Q434" s="419">
        <f t="shared" si="192"/>
        <v>0</v>
      </c>
      <c r="S434" s="230"/>
      <c r="AI434" s="107"/>
    </row>
    <row r="435" spans="1:35" outlineLevel="1">
      <c r="E435" s="10" t="s">
        <v>242</v>
      </c>
      <c r="G435" s="10" t="s">
        <v>171</v>
      </c>
      <c r="L435" s="418">
        <f t="shared" ref="L435:Q436" si="193">L432*(L364-L$362)</f>
        <v>7.7304751459582546</v>
      </c>
      <c r="M435" s="418">
        <f t="shared" si="193"/>
        <v>0</v>
      </c>
      <c r="N435" s="418">
        <f t="shared" si="193"/>
        <v>0</v>
      </c>
      <c r="O435" s="418">
        <f t="shared" si="193"/>
        <v>0</v>
      </c>
      <c r="P435" s="418">
        <f t="shared" si="193"/>
        <v>0</v>
      </c>
      <c r="Q435" s="418">
        <f t="shared" si="193"/>
        <v>0</v>
      </c>
      <c r="S435" s="230"/>
      <c r="AI435" s="107"/>
    </row>
    <row r="436" spans="1:35" outlineLevel="1">
      <c r="E436" s="285" t="s">
        <v>243</v>
      </c>
      <c r="F436" s="285"/>
      <c r="G436" s="285" t="s">
        <v>171</v>
      </c>
      <c r="H436" s="285"/>
      <c r="I436" s="286"/>
      <c r="J436" s="285"/>
      <c r="K436" s="285"/>
      <c r="L436" s="439">
        <f t="shared" si="193"/>
        <v>7.7304751459582546</v>
      </c>
      <c r="M436" s="439">
        <f t="shared" si="193"/>
        <v>0</v>
      </c>
      <c r="N436" s="439">
        <f t="shared" si="193"/>
        <v>0</v>
      </c>
      <c r="O436" s="439">
        <f t="shared" si="193"/>
        <v>0</v>
      </c>
      <c r="P436" s="439">
        <f t="shared" si="193"/>
        <v>0</v>
      </c>
      <c r="Q436" s="439">
        <f t="shared" si="193"/>
        <v>0</v>
      </c>
      <c r="S436" s="230"/>
      <c r="AI436" s="107"/>
    </row>
    <row r="437" spans="1:35" outlineLevel="1">
      <c r="A437" s="27"/>
      <c r="B437" s="27"/>
      <c r="E437" s="27" t="s">
        <v>244</v>
      </c>
      <c r="F437" s="27"/>
      <c r="G437" s="27" t="s">
        <v>210</v>
      </c>
      <c r="H437" s="27"/>
      <c r="I437" s="163"/>
      <c r="J437" s="27"/>
      <c r="K437" s="27"/>
      <c r="L437" s="421">
        <f t="shared" ref="L437:Q439" si="194">L434*L28</f>
        <v>111.56199829032415</v>
      </c>
      <c r="M437" s="421">
        <f t="shared" si="194"/>
        <v>0</v>
      </c>
      <c r="N437" s="421">
        <f t="shared" si="194"/>
        <v>0</v>
      </c>
      <c r="O437" s="421">
        <f t="shared" si="194"/>
        <v>0</v>
      </c>
      <c r="P437" s="421">
        <f t="shared" si="194"/>
        <v>0</v>
      </c>
      <c r="Q437" s="421">
        <f t="shared" si="194"/>
        <v>0</v>
      </c>
      <c r="R437" s="27"/>
      <c r="S437" s="27"/>
      <c r="T437" s="27"/>
      <c r="U437" s="27"/>
      <c r="V437" s="27"/>
      <c r="W437" s="27"/>
      <c r="X437" s="27"/>
      <c r="Y437" s="27"/>
      <c r="Z437" s="27"/>
      <c r="AA437" s="27"/>
      <c r="AB437" s="27"/>
      <c r="AC437" s="27"/>
      <c r="AD437" s="27"/>
      <c r="AE437" s="27"/>
      <c r="AF437" s="27"/>
      <c r="AG437" s="27"/>
      <c r="AH437" s="27"/>
      <c r="AI437" s="107"/>
    </row>
    <row r="438" spans="1:35" outlineLevel="1">
      <c r="A438" s="27"/>
      <c r="B438" s="27"/>
      <c r="E438" s="27" t="s">
        <v>245</v>
      </c>
      <c r="F438" s="27"/>
      <c r="G438" s="27" t="s">
        <v>210</v>
      </c>
      <c r="H438" s="27"/>
      <c r="I438" s="163"/>
      <c r="J438" s="27"/>
      <c r="K438" s="27"/>
      <c r="L438" s="421">
        <f t="shared" si="194"/>
        <v>64.359502671433702</v>
      </c>
      <c r="M438" s="421">
        <f t="shared" si="194"/>
        <v>0</v>
      </c>
      <c r="N438" s="421">
        <f t="shared" si="194"/>
        <v>0</v>
      </c>
      <c r="O438" s="421">
        <f t="shared" si="194"/>
        <v>0</v>
      </c>
      <c r="P438" s="421">
        <f t="shared" si="194"/>
        <v>0</v>
      </c>
      <c r="Q438" s="421">
        <f t="shared" si="194"/>
        <v>0</v>
      </c>
      <c r="R438" s="27"/>
      <c r="S438" s="27"/>
      <c r="T438" s="27"/>
      <c r="U438" s="27"/>
      <c r="V438" s="27"/>
      <c r="W438" s="27"/>
      <c r="X438" s="27"/>
      <c r="Y438" s="27"/>
      <c r="Z438" s="27"/>
      <c r="AA438" s="27"/>
      <c r="AB438" s="27"/>
      <c r="AC438" s="27"/>
      <c r="AD438" s="27"/>
      <c r="AE438" s="27"/>
      <c r="AF438" s="27"/>
      <c r="AG438" s="27"/>
      <c r="AH438" s="27"/>
      <c r="AI438" s="107"/>
    </row>
    <row r="439" spans="1:35" outlineLevel="1">
      <c r="A439" s="27"/>
      <c r="B439" s="27"/>
      <c r="E439" s="27" t="s">
        <v>246</v>
      </c>
      <c r="F439" s="27"/>
      <c r="G439" s="27" t="s">
        <v>210</v>
      </c>
      <c r="H439" s="27"/>
      <c r="I439" s="163"/>
      <c r="J439" s="27"/>
      <c r="K439" s="27"/>
      <c r="L439" s="421">
        <f t="shared" si="194"/>
        <v>29.371009279097628</v>
      </c>
      <c r="M439" s="421">
        <f t="shared" si="194"/>
        <v>0</v>
      </c>
      <c r="N439" s="421">
        <f t="shared" si="194"/>
        <v>0</v>
      </c>
      <c r="O439" s="421">
        <f t="shared" si="194"/>
        <v>0</v>
      </c>
      <c r="P439" s="421">
        <f t="shared" si="194"/>
        <v>0</v>
      </c>
      <c r="Q439" s="421">
        <f t="shared" si="194"/>
        <v>0</v>
      </c>
      <c r="R439" s="27"/>
      <c r="S439" s="27"/>
      <c r="T439" s="27"/>
      <c r="U439" s="27"/>
      <c r="V439" s="27"/>
      <c r="W439" s="27"/>
      <c r="X439" s="27"/>
      <c r="Y439" s="27"/>
      <c r="Z439" s="27"/>
      <c r="AA439" s="27"/>
      <c r="AB439" s="27"/>
      <c r="AC439" s="27"/>
      <c r="AD439" s="27"/>
      <c r="AE439" s="27"/>
      <c r="AF439" s="27"/>
      <c r="AG439" s="27"/>
      <c r="AH439" s="27"/>
      <c r="AI439" s="107"/>
    </row>
    <row r="440" spans="1:35" outlineLevel="1">
      <c r="A440" s="27"/>
      <c r="B440" s="27"/>
      <c r="D440" s="95" t="s">
        <v>247</v>
      </c>
      <c r="E440" s="95"/>
      <c r="F440" s="95"/>
      <c r="G440" s="95" t="s">
        <v>210</v>
      </c>
      <c r="H440" s="95"/>
      <c r="I440" s="213"/>
      <c r="J440" s="95"/>
      <c r="K440" s="95"/>
      <c r="L440" s="422">
        <f>SUM(L437:L439)</f>
        <v>205.29251024085548</v>
      </c>
      <c r="M440" s="422">
        <f t="shared" ref="M440:Q440" si="195">SUM(M437:M439)</f>
        <v>0</v>
      </c>
      <c r="N440" s="422">
        <f t="shared" si="195"/>
        <v>0</v>
      </c>
      <c r="O440" s="422">
        <f t="shared" si="195"/>
        <v>0</v>
      </c>
      <c r="P440" s="422">
        <f t="shared" si="195"/>
        <v>0</v>
      </c>
      <c r="Q440" s="422">
        <f t="shared" si="195"/>
        <v>0</v>
      </c>
      <c r="R440" s="27"/>
      <c r="S440" s="27"/>
      <c r="T440" s="27"/>
      <c r="U440" s="27"/>
      <c r="V440" s="27"/>
      <c r="W440" s="27"/>
      <c r="X440" s="27"/>
      <c r="Y440" s="27"/>
      <c r="Z440" s="27"/>
      <c r="AA440" s="27"/>
      <c r="AB440" s="27"/>
      <c r="AC440" s="27"/>
      <c r="AD440" s="27"/>
      <c r="AE440" s="27"/>
      <c r="AF440" s="27"/>
      <c r="AG440" s="27"/>
      <c r="AH440" s="27"/>
      <c r="AI440" s="107"/>
    </row>
    <row r="441" spans="1:35" outlineLevel="1">
      <c r="L441" s="418"/>
      <c r="M441" s="418"/>
      <c r="N441" s="418"/>
      <c r="O441" s="418"/>
      <c r="P441" s="418"/>
      <c r="Q441" s="418"/>
      <c r="AI441" s="107"/>
    </row>
    <row r="442" spans="1:35" outlineLevel="1">
      <c r="D442" s="786" t="s">
        <v>212</v>
      </c>
      <c r="E442" s="787"/>
      <c r="F442" s="787"/>
      <c r="G442" s="787" t="s">
        <v>210</v>
      </c>
      <c r="H442" s="787"/>
      <c r="I442" s="788"/>
      <c r="J442" s="787"/>
      <c r="K442" s="787"/>
      <c r="L442" s="802">
        <f t="shared" ref="L442:Q442" si="196">L$440*L34/L$38</f>
        <v>16.423400819268437</v>
      </c>
      <c r="M442" s="802">
        <f t="shared" si="196"/>
        <v>0</v>
      </c>
      <c r="N442" s="802">
        <f t="shared" si="196"/>
        <v>0</v>
      </c>
      <c r="O442" s="802">
        <f t="shared" si="196"/>
        <v>0</v>
      </c>
      <c r="P442" s="802">
        <f t="shared" si="196"/>
        <v>0</v>
      </c>
      <c r="Q442" s="802">
        <f t="shared" si="196"/>
        <v>0</v>
      </c>
      <c r="AI442" s="107"/>
    </row>
    <row r="443" spans="1:35" outlineLevel="1">
      <c r="D443" s="27" t="s">
        <v>213</v>
      </c>
      <c r="G443" s="10" t="s">
        <v>210</v>
      </c>
      <c r="L443" s="418">
        <f t="shared" ref="L443:Q443" si="197">L$440*L37/L$38</f>
        <v>77.929036887428737</v>
      </c>
      <c r="M443" s="418">
        <f t="shared" si="197"/>
        <v>0</v>
      </c>
      <c r="N443" s="418">
        <f t="shared" si="197"/>
        <v>0</v>
      </c>
      <c r="O443" s="418">
        <f t="shared" si="197"/>
        <v>0</v>
      </c>
      <c r="P443" s="418">
        <f t="shared" si="197"/>
        <v>0</v>
      </c>
      <c r="Q443" s="418">
        <f t="shared" si="197"/>
        <v>0</v>
      </c>
      <c r="AI443" s="107"/>
    </row>
    <row r="444" spans="1:35" outlineLevel="1">
      <c r="D444" s="95" t="s">
        <v>214</v>
      </c>
      <c r="E444" s="62"/>
      <c r="F444" s="62"/>
      <c r="G444" s="62" t="s">
        <v>210</v>
      </c>
      <c r="H444" s="62"/>
      <c r="I444" s="212"/>
      <c r="J444" s="62"/>
      <c r="K444" s="62"/>
      <c r="L444" s="423">
        <f t="shared" ref="L444:Q444" si="198">L$440*L35/L$38</f>
        <v>110.9400725341583</v>
      </c>
      <c r="M444" s="423">
        <f t="shared" si="198"/>
        <v>0</v>
      </c>
      <c r="N444" s="423">
        <f t="shared" si="198"/>
        <v>0</v>
      </c>
      <c r="O444" s="423">
        <f t="shared" si="198"/>
        <v>0</v>
      </c>
      <c r="P444" s="423">
        <f t="shared" si="198"/>
        <v>0</v>
      </c>
      <c r="Q444" s="423">
        <f t="shared" si="198"/>
        <v>0</v>
      </c>
      <c r="AI444" s="107"/>
    </row>
    <row r="445" spans="1:35" outlineLevel="1">
      <c r="D445" s="27" t="s">
        <v>321</v>
      </c>
      <c r="G445" s="10" t="s">
        <v>171</v>
      </c>
      <c r="L445" s="410">
        <f t="shared" ref="L445:Q445" si="199">L418</f>
        <v>51.680653397333337</v>
      </c>
      <c r="M445" s="410">
        <f t="shared" si="199"/>
        <v>129.20163349333333</v>
      </c>
      <c r="N445" s="410">
        <f t="shared" si="199"/>
        <v>129.20163349333333</v>
      </c>
      <c r="O445" s="410">
        <f t="shared" si="199"/>
        <v>129.20163349333333</v>
      </c>
      <c r="P445" s="410">
        <f t="shared" si="199"/>
        <v>129.20163349333333</v>
      </c>
      <c r="Q445" s="410">
        <f t="shared" si="199"/>
        <v>129.20163349333333</v>
      </c>
      <c r="AI445" s="107"/>
    </row>
    <row r="446" spans="1:35" outlineLevel="1">
      <c r="L446" s="410"/>
      <c r="M446" s="410"/>
      <c r="N446" s="410"/>
      <c r="O446" s="410"/>
      <c r="P446" s="410"/>
      <c r="Q446" s="410"/>
      <c r="AI446" s="107"/>
    </row>
    <row r="447" spans="1:35" outlineLevel="1">
      <c r="C447" s="184" t="s">
        <v>248</v>
      </c>
      <c r="D447" s="321"/>
      <c r="E447" s="322"/>
      <c r="F447" s="322"/>
      <c r="G447" s="322"/>
      <c r="H447" s="322"/>
      <c r="I447" s="323"/>
      <c r="J447" s="322"/>
      <c r="K447" s="322"/>
      <c r="L447" s="411"/>
      <c r="M447" s="411"/>
      <c r="N447" s="411"/>
      <c r="O447" s="411"/>
      <c r="P447" s="411"/>
      <c r="Q447" s="411"/>
      <c r="R447" s="322"/>
      <c r="S447" s="322"/>
      <c r="T447" s="322"/>
      <c r="U447" s="322"/>
      <c r="V447" s="322"/>
      <c r="W447" s="322"/>
      <c r="X447" s="322"/>
      <c r="Y447" s="322"/>
      <c r="Z447" s="322"/>
      <c r="AA447" s="322"/>
      <c r="AB447" s="322"/>
      <c r="AC447" s="322"/>
      <c r="AD447" s="322"/>
      <c r="AE447" s="322"/>
      <c r="AF447" s="322"/>
      <c r="AG447" s="322"/>
      <c r="AH447" s="322"/>
      <c r="AI447" s="107"/>
    </row>
    <row r="448" spans="1:35" outlineLevel="1">
      <c r="L448" s="21"/>
      <c r="M448" s="21"/>
      <c r="N448" s="21"/>
      <c r="O448" s="21"/>
      <c r="P448" s="21"/>
      <c r="Q448" s="21"/>
      <c r="AI448" s="107"/>
    </row>
    <row r="449" spans="3:35" outlineLevel="1">
      <c r="D449" s="27" t="s">
        <v>249</v>
      </c>
      <c r="L449" s="21"/>
      <c r="M449" s="21"/>
      <c r="N449" s="21"/>
      <c r="O449" s="21"/>
      <c r="P449" s="21"/>
      <c r="Q449" s="21"/>
      <c r="AI449" s="107"/>
    </row>
    <row r="450" spans="3:35" outlineLevel="1">
      <c r="E450" s="787" t="s">
        <v>250</v>
      </c>
      <c r="F450" s="787"/>
      <c r="G450" s="787" t="s">
        <v>142</v>
      </c>
      <c r="H450" s="787"/>
      <c r="I450" s="788"/>
      <c r="J450" s="787"/>
      <c r="K450" s="787"/>
      <c r="L450" s="798">
        <f>'Central Inputs'!$C$17</f>
        <v>0.75</v>
      </c>
      <c r="M450" s="798">
        <f>'Central Inputs'!$C$17</f>
        <v>0.75</v>
      </c>
      <c r="N450" s="798">
        <f>'Central Inputs'!$C$17</f>
        <v>0.75</v>
      </c>
      <c r="O450" s="798">
        <f>'Central Inputs'!$C$17</f>
        <v>0.75</v>
      </c>
      <c r="P450" s="798">
        <f>'Central Inputs'!$C$17</f>
        <v>0.75</v>
      </c>
      <c r="Q450" s="798">
        <f>'Central Inputs'!$C$17</f>
        <v>0.75</v>
      </c>
      <c r="AI450" s="107"/>
    </row>
    <row r="451" spans="3:35" outlineLevel="1">
      <c r="E451" s="10" t="s">
        <v>251</v>
      </c>
      <c r="G451" s="10" t="s">
        <v>142</v>
      </c>
      <c r="L451" s="222">
        <f>'Central Inputs'!$C$18</f>
        <v>0.2</v>
      </c>
      <c r="M451" s="222">
        <f>'Central Inputs'!$C$18</f>
        <v>0.2</v>
      </c>
      <c r="N451" s="222">
        <f>'Central Inputs'!$C$18</f>
        <v>0.2</v>
      </c>
      <c r="O451" s="222">
        <f>'Central Inputs'!$C$18</f>
        <v>0.2</v>
      </c>
      <c r="P451" s="222">
        <f>'Central Inputs'!$C$18</f>
        <v>0.2</v>
      </c>
      <c r="Q451" s="222">
        <f>'Central Inputs'!$C$18</f>
        <v>0.2</v>
      </c>
      <c r="AI451" s="107"/>
    </row>
    <row r="452" spans="3:35" outlineLevel="1">
      <c r="E452" s="10" t="s">
        <v>252</v>
      </c>
      <c r="G452" s="10" t="s">
        <v>142</v>
      </c>
      <c r="L452" s="222">
        <f>'Central Inputs'!$C$19</f>
        <v>0</v>
      </c>
      <c r="M452" s="222">
        <f>'Central Inputs'!$C$19</f>
        <v>0</v>
      </c>
      <c r="N452" s="222">
        <f>'Central Inputs'!$C$19</f>
        <v>0</v>
      </c>
      <c r="O452" s="222">
        <f>'Central Inputs'!$C$19</f>
        <v>0</v>
      </c>
      <c r="P452" s="222">
        <f>'Central Inputs'!$C$19</f>
        <v>0</v>
      </c>
      <c r="Q452" s="222">
        <f>'Central Inputs'!$C$19</f>
        <v>0</v>
      </c>
      <c r="AI452" s="107"/>
    </row>
    <row r="453" spans="3:35" outlineLevel="1">
      <c r="E453" s="10" t="s">
        <v>322</v>
      </c>
      <c r="G453" s="10" t="s">
        <v>171</v>
      </c>
      <c r="I453" s="283">
        <f>'Historical Hedging'!$E$32</f>
        <v>178.10692115930257</v>
      </c>
      <c r="L453" s="440">
        <f>$I$453*'Central Inputs'!C57</f>
        <v>466.24215658041123</v>
      </c>
      <c r="M453" s="440">
        <f>$I$453*'Central Inputs'!D57</f>
        <v>541.46931919816507</v>
      </c>
      <c r="N453" s="440">
        <f>$I$453*'Central Inputs'!E57</f>
        <v>449.32214607272437</v>
      </c>
      <c r="O453" s="440">
        <f>$I$453*'Central Inputs'!F57</f>
        <v>416.81286192959362</v>
      </c>
      <c r="P453" s="440">
        <f>$I$453*'Central Inputs'!G57</f>
        <v>416.81286192959362</v>
      </c>
      <c r="Q453" s="440">
        <f>$I$453*'Central Inputs'!H57</f>
        <v>416.81286192959362</v>
      </c>
      <c r="R453" s="18"/>
      <c r="S453" s="259"/>
      <c r="T453" s="18"/>
      <c r="U453" s="18"/>
      <c r="V453" s="18"/>
      <c r="W453" s="18"/>
      <c r="X453" s="18"/>
      <c r="AI453" s="107"/>
    </row>
    <row r="454" spans="3:35" outlineLevel="1">
      <c r="C454" s="10"/>
      <c r="D454" s="62"/>
      <c r="E454" s="62" t="s">
        <v>254</v>
      </c>
      <c r="F454" s="62"/>
      <c r="G454" s="62" t="s">
        <v>171</v>
      </c>
      <c r="H454" s="62"/>
      <c r="I454" s="212"/>
      <c r="J454" s="62"/>
      <c r="K454" s="62"/>
      <c r="L454" s="423">
        <f t="shared" ref="L454:Q454" si="200">L453*L345</f>
        <v>0</v>
      </c>
      <c r="M454" s="423">
        <f t="shared" si="200"/>
        <v>0</v>
      </c>
      <c r="N454" s="423">
        <f t="shared" si="200"/>
        <v>0</v>
      </c>
      <c r="O454" s="423">
        <f t="shared" si="200"/>
        <v>0</v>
      </c>
      <c r="P454" s="423">
        <f t="shared" si="200"/>
        <v>0</v>
      </c>
      <c r="Q454" s="423">
        <f t="shared" si="200"/>
        <v>0</v>
      </c>
      <c r="AI454" s="204"/>
    </row>
    <row r="455" spans="3:35" outlineLevel="1">
      <c r="L455" s="418"/>
      <c r="M455" s="418"/>
      <c r="N455" s="418"/>
      <c r="O455" s="418"/>
      <c r="P455" s="418"/>
      <c r="Q455" s="418"/>
      <c r="AI455" s="107"/>
    </row>
    <row r="456" spans="3:35" outlineLevel="1">
      <c r="D456" s="27" t="s">
        <v>255</v>
      </c>
      <c r="L456" s="418"/>
      <c r="M456" s="418"/>
      <c r="N456" s="418"/>
      <c r="O456" s="418"/>
      <c r="P456" s="418"/>
      <c r="Q456" s="418"/>
      <c r="AI456" s="107"/>
    </row>
    <row r="457" spans="3:35" outlineLevel="1">
      <c r="D457" s="786"/>
      <c r="E457" s="787" t="s">
        <v>179</v>
      </c>
      <c r="F457" s="787"/>
      <c r="G457" s="787" t="s">
        <v>171</v>
      </c>
      <c r="H457" s="787"/>
      <c r="I457" s="788"/>
      <c r="J457" s="787"/>
      <c r="K457" s="787"/>
      <c r="L457" s="802">
        <f>L$453*L450</f>
        <v>349.68161743530845</v>
      </c>
      <c r="M457" s="802">
        <f>M$453*M450</f>
        <v>406.1019893986238</v>
      </c>
      <c r="N457" s="802">
        <f t="shared" ref="N457:Q457" si="201">N$453*N450</f>
        <v>336.99160955454329</v>
      </c>
      <c r="O457" s="802">
        <f t="shared" si="201"/>
        <v>312.60964644719525</v>
      </c>
      <c r="P457" s="802">
        <f t="shared" si="201"/>
        <v>312.60964644719525</v>
      </c>
      <c r="Q457" s="802">
        <f t="shared" si="201"/>
        <v>312.60964644719525</v>
      </c>
      <c r="S457" s="230"/>
      <c r="AI457" s="107"/>
    </row>
    <row r="458" spans="3:35" outlineLevel="1">
      <c r="E458" s="10" t="s">
        <v>189</v>
      </c>
      <c r="G458" s="10" t="s">
        <v>171</v>
      </c>
      <c r="L458" s="418">
        <f>L$451*L$453</f>
        <v>93.248431316082247</v>
      </c>
      <c r="M458" s="418">
        <f t="shared" ref="M458:Q458" si="202">M$451*M$453</f>
        <v>108.29386383963302</v>
      </c>
      <c r="N458" s="418">
        <f t="shared" si="202"/>
        <v>89.864429214544884</v>
      </c>
      <c r="O458" s="418">
        <f t="shared" si="202"/>
        <v>83.362572385918725</v>
      </c>
      <c r="P458" s="418">
        <f t="shared" si="202"/>
        <v>83.362572385918725</v>
      </c>
      <c r="Q458" s="418">
        <f t="shared" si="202"/>
        <v>83.362572385918725</v>
      </c>
      <c r="AI458" s="107"/>
    </row>
    <row r="459" spans="3:35" outlineLevel="1">
      <c r="D459" s="95"/>
      <c r="E459" s="62" t="s">
        <v>190</v>
      </c>
      <c r="F459" s="62"/>
      <c r="G459" s="62" t="s">
        <v>171</v>
      </c>
      <c r="H459" s="62"/>
      <c r="I459" s="212"/>
      <c r="J459" s="62"/>
      <c r="K459" s="62"/>
      <c r="L459" s="423">
        <f>L$452*L$453</f>
        <v>0</v>
      </c>
      <c r="M459" s="423">
        <f t="shared" ref="M459:Q459" si="203">M$452*M$453</f>
        <v>0</v>
      </c>
      <c r="N459" s="423">
        <f t="shared" si="203"/>
        <v>0</v>
      </c>
      <c r="O459" s="423">
        <f t="shared" si="203"/>
        <v>0</v>
      </c>
      <c r="P459" s="423">
        <f t="shared" si="203"/>
        <v>0</v>
      </c>
      <c r="Q459" s="423">
        <f t="shared" si="203"/>
        <v>0</v>
      </c>
      <c r="S459" s="105"/>
      <c r="AI459" s="107"/>
    </row>
    <row r="460" spans="3:35" outlineLevel="1">
      <c r="L460" s="418"/>
      <c r="M460" s="418"/>
      <c r="N460" s="418"/>
      <c r="O460" s="418"/>
      <c r="P460" s="418"/>
      <c r="Q460" s="418"/>
      <c r="R460" s="51"/>
      <c r="S460" s="51"/>
      <c r="AI460" s="107"/>
    </row>
    <row r="461" spans="3:35" outlineLevel="1">
      <c r="D461" s="27" t="s">
        <v>256</v>
      </c>
      <c r="L461" s="418"/>
      <c r="M461" s="418"/>
      <c r="N461" s="418"/>
      <c r="O461" s="418"/>
      <c r="P461" s="418"/>
      <c r="Q461" s="418"/>
      <c r="R461" s="51"/>
      <c r="S461" s="51"/>
      <c r="AI461" s="107"/>
    </row>
    <row r="462" spans="3:35" outlineLevel="1">
      <c r="D462" s="786"/>
      <c r="E462" s="787" t="s">
        <v>179</v>
      </c>
      <c r="F462" s="787"/>
      <c r="G462" s="787" t="s">
        <v>171</v>
      </c>
      <c r="H462" s="787"/>
      <c r="I462" s="788"/>
      <c r="J462" s="787"/>
      <c r="K462" s="787"/>
      <c r="L462" s="802">
        <f>MAX(L$454-L457,0)</f>
        <v>0</v>
      </c>
      <c r="M462" s="802">
        <f t="shared" ref="L462:Q464" si="204">MAX(M$454-M457,0)</f>
        <v>0</v>
      </c>
      <c r="N462" s="802">
        <f t="shared" si="204"/>
        <v>0</v>
      </c>
      <c r="O462" s="802">
        <f t="shared" si="204"/>
        <v>0</v>
      </c>
      <c r="P462" s="802">
        <f t="shared" si="204"/>
        <v>0</v>
      </c>
      <c r="Q462" s="802">
        <f t="shared" si="204"/>
        <v>0</v>
      </c>
      <c r="R462" s="51"/>
      <c r="S462" s="51"/>
      <c r="AI462" s="107"/>
    </row>
    <row r="463" spans="3:35" outlineLevel="1">
      <c r="E463" s="10" t="s">
        <v>189</v>
      </c>
      <c r="G463" s="10" t="s">
        <v>171</v>
      </c>
      <c r="L463" s="418">
        <f>MAX(L$454-L458,0)</f>
        <v>0</v>
      </c>
      <c r="M463" s="418">
        <f t="shared" si="204"/>
        <v>0</v>
      </c>
      <c r="N463" s="418">
        <f t="shared" si="204"/>
        <v>0</v>
      </c>
      <c r="O463" s="418">
        <f t="shared" si="204"/>
        <v>0</v>
      </c>
      <c r="P463" s="418">
        <f t="shared" si="204"/>
        <v>0</v>
      </c>
      <c r="Q463" s="418">
        <f t="shared" si="204"/>
        <v>0</v>
      </c>
      <c r="R463" s="51"/>
      <c r="S463" s="51"/>
      <c r="AI463" s="107"/>
    </row>
    <row r="464" spans="3:35" outlineLevel="1">
      <c r="D464" s="95"/>
      <c r="E464" s="62" t="s">
        <v>190</v>
      </c>
      <c r="F464" s="62"/>
      <c r="G464" s="62" t="s">
        <v>171</v>
      </c>
      <c r="H464" s="62"/>
      <c r="I464" s="212"/>
      <c r="J464" s="62"/>
      <c r="K464" s="62"/>
      <c r="L464" s="423">
        <f t="shared" si="204"/>
        <v>0</v>
      </c>
      <c r="M464" s="423">
        <f>MAX(M$454-M459,0)</f>
        <v>0</v>
      </c>
      <c r="N464" s="423">
        <f t="shared" si="204"/>
        <v>0</v>
      </c>
      <c r="O464" s="423">
        <f t="shared" si="204"/>
        <v>0</v>
      </c>
      <c r="P464" s="423">
        <f t="shared" si="204"/>
        <v>0</v>
      </c>
      <c r="Q464" s="423">
        <f t="shared" si="204"/>
        <v>0</v>
      </c>
      <c r="R464" s="51"/>
      <c r="S464" s="51"/>
      <c r="AI464" s="107"/>
    </row>
    <row r="465" spans="4:35" outlineLevel="1">
      <c r="L465" s="418"/>
      <c r="M465" s="418"/>
      <c r="N465" s="418"/>
      <c r="O465" s="418"/>
      <c r="P465" s="418"/>
      <c r="Q465" s="418"/>
      <c r="R465" s="51"/>
      <c r="S465" s="51"/>
      <c r="AI465" s="107"/>
    </row>
    <row r="466" spans="4:35" outlineLevel="1">
      <c r="D466" s="27" t="s">
        <v>257</v>
      </c>
      <c r="L466" s="418"/>
      <c r="M466" s="418"/>
      <c r="N466" s="418"/>
      <c r="O466" s="418"/>
      <c r="P466" s="418"/>
      <c r="Q466" s="418"/>
      <c r="R466" s="51"/>
      <c r="S466" s="51"/>
      <c r="AI466" s="107"/>
    </row>
    <row r="467" spans="4:35" outlineLevel="1">
      <c r="D467" s="786"/>
      <c r="E467" s="787" t="s">
        <v>179</v>
      </c>
      <c r="F467" s="787"/>
      <c r="G467" s="787" t="s">
        <v>171</v>
      </c>
      <c r="H467" s="787"/>
      <c r="I467" s="788"/>
      <c r="J467" s="787"/>
      <c r="K467" s="787"/>
      <c r="L467" s="802">
        <f t="shared" ref="L467:Q469" si="205">L462*L363</f>
        <v>0</v>
      </c>
      <c r="M467" s="802">
        <f t="shared" si="205"/>
        <v>0</v>
      </c>
      <c r="N467" s="802">
        <f t="shared" si="205"/>
        <v>0</v>
      </c>
      <c r="O467" s="802">
        <f t="shared" si="205"/>
        <v>0</v>
      </c>
      <c r="P467" s="802">
        <f t="shared" si="205"/>
        <v>0</v>
      </c>
      <c r="Q467" s="802">
        <f t="shared" si="205"/>
        <v>0</v>
      </c>
      <c r="R467" s="51"/>
      <c r="S467" s="51"/>
      <c r="AI467" s="107"/>
    </row>
    <row r="468" spans="4:35" outlineLevel="1">
      <c r="E468" s="10" t="s">
        <v>189</v>
      </c>
      <c r="G468" s="10" t="s">
        <v>171</v>
      </c>
      <c r="L468" s="418">
        <f t="shared" si="205"/>
        <v>0</v>
      </c>
      <c r="M468" s="418">
        <f t="shared" si="205"/>
        <v>0</v>
      </c>
      <c r="N468" s="418">
        <f t="shared" si="205"/>
        <v>0</v>
      </c>
      <c r="O468" s="418">
        <f t="shared" si="205"/>
        <v>0</v>
      </c>
      <c r="P468" s="418">
        <f t="shared" si="205"/>
        <v>0</v>
      </c>
      <c r="Q468" s="418">
        <f t="shared" si="205"/>
        <v>0</v>
      </c>
      <c r="R468" s="51"/>
      <c r="S468" s="51"/>
      <c r="AI468" s="107"/>
    </row>
    <row r="469" spans="4:35" outlineLevel="1">
      <c r="D469" s="95"/>
      <c r="E469" s="62" t="s">
        <v>190</v>
      </c>
      <c r="F469" s="62"/>
      <c r="G469" s="62" t="s">
        <v>171</v>
      </c>
      <c r="H469" s="62"/>
      <c r="I469" s="212"/>
      <c r="J469" s="62"/>
      <c r="K469" s="62"/>
      <c r="L469" s="423">
        <f t="shared" si="205"/>
        <v>0</v>
      </c>
      <c r="M469" s="423">
        <f t="shared" si="205"/>
        <v>0</v>
      </c>
      <c r="N469" s="423">
        <f t="shared" si="205"/>
        <v>0</v>
      </c>
      <c r="O469" s="423">
        <f t="shared" si="205"/>
        <v>0</v>
      </c>
      <c r="P469" s="423">
        <f t="shared" si="205"/>
        <v>0</v>
      </c>
      <c r="Q469" s="423">
        <f t="shared" si="205"/>
        <v>0</v>
      </c>
      <c r="R469" s="51"/>
      <c r="S469" s="51"/>
      <c r="AI469" s="107"/>
    </row>
    <row r="470" spans="4:35" outlineLevel="1">
      <c r="L470" s="418"/>
      <c r="M470" s="418"/>
      <c r="N470" s="418"/>
      <c r="O470" s="418"/>
      <c r="P470" s="418"/>
      <c r="Q470" s="418"/>
      <c r="R470" s="51"/>
      <c r="S470" s="51"/>
      <c r="AI470" s="107"/>
    </row>
    <row r="471" spans="4:35" outlineLevel="1">
      <c r="D471" s="27" t="s">
        <v>258</v>
      </c>
      <c r="L471" s="418"/>
      <c r="M471" s="418"/>
      <c r="N471" s="418"/>
      <c r="O471" s="418"/>
      <c r="P471" s="418"/>
      <c r="Q471" s="418"/>
      <c r="R471" s="51"/>
      <c r="S471" s="51"/>
      <c r="AI471" s="107"/>
    </row>
    <row r="472" spans="4:35" outlineLevel="1">
      <c r="D472" s="786"/>
      <c r="E472" s="787" t="s">
        <v>179</v>
      </c>
      <c r="F472" s="787"/>
      <c r="G472" s="787" t="s">
        <v>171</v>
      </c>
      <c r="H472" s="787"/>
      <c r="I472" s="788"/>
      <c r="J472" s="787"/>
      <c r="K472" s="787"/>
      <c r="L472" s="802">
        <f>L457+L462</f>
        <v>349.68161743530845</v>
      </c>
      <c r="M472" s="802">
        <f>M457+M462</f>
        <v>406.1019893986238</v>
      </c>
      <c r="N472" s="802">
        <f t="shared" ref="M472:Q474" si="206">N457+N462</f>
        <v>336.99160955454329</v>
      </c>
      <c r="O472" s="802">
        <f t="shared" si="206"/>
        <v>312.60964644719525</v>
      </c>
      <c r="P472" s="802">
        <f t="shared" si="206"/>
        <v>312.60964644719525</v>
      </c>
      <c r="Q472" s="802">
        <f t="shared" si="206"/>
        <v>312.60964644719525</v>
      </c>
      <c r="R472" s="51"/>
      <c r="S472" s="51"/>
      <c r="T472" s="51"/>
      <c r="U472" s="51"/>
      <c r="V472" s="51"/>
      <c r="W472" s="51"/>
      <c r="X472" s="51"/>
      <c r="AI472" s="107"/>
    </row>
    <row r="473" spans="4:35" outlineLevel="1">
      <c r="E473" s="10" t="s">
        <v>189</v>
      </c>
      <c r="G473" s="10" t="s">
        <v>171</v>
      </c>
      <c r="L473" s="418">
        <f>L458+L463</f>
        <v>93.248431316082247</v>
      </c>
      <c r="M473" s="418">
        <f>M458+M463</f>
        <v>108.29386383963302</v>
      </c>
      <c r="N473" s="418">
        <f t="shared" si="206"/>
        <v>89.864429214544884</v>
      </c>
      <c r="O473" s="418">
        <f t="shared" si="206"/>
        <v>83.362572385918725</v>
      </c>
      <c r="P473" s="418">
        <f t="shared" si="206"/>
        <v>83.362572385918725</v>
      </c>
      <c r="Q473" s="418">
        <f t="shared" si="206"/>
        <v>83.362572385918725</v>
      </c>
      <c r="R473" s="51"/>
      <c r="S473" s="51"/>
      <c r="T473" s="51"/>
      <c r="U473" s="51"/>
      <c r="V473" s="51"/>
      <c r="W473" s="51"/>
      <c r="X473" s="51"/>
      <c r="AI473" s="107"/>
    </row>
    <row r="474" spans="4:35" outlineLevel="1">
      <c r="D474" s="95"/>
      <c r="E474" s="62" t="s">
        <v>190</v>
      </c>
      <c r="F474" s="62"/>
      <c r="G474" s="62" t="s">
        <v>171</v>
      </c>
      <c r="H474" s="62"/>
      <c r="I474" s="212"/>
      <c r="J474" s="62"/>
      <c r="K474" s="62"/>
      <c r="L474" s="423">
        <f>L459+L464</f>
        <v>0</v>
      </c>
      <c r="M474" s="423">
        <f t="shared" si="206"/>
        <v>0</v>
      </c>
      <c r="N474" s="423">
        <f t="shared" si="206"/>
        <v>0</v>
      </c>
      <c r="O474" s="423">
        <f>O459+O464</f>
        <v>0</v>
      </c>
      <c r="P474" s="423">
        <f t="shared" si="206"/>
        <v>0</v>
      </c>
      <c r="Q474" s="423">
        <f t="shared" si="206"/>
        <v>0</v>
      </c>
      <c r="R474" s="51"/>
      <c r="S474" s="51"/>
      <c r="T474" s="51"/>
      <c r="U474" s="51"/>
      <c r="V474" s="51"/>
      <c r="W474" s="51"/>
      <c r="X474" s="51"/>
      <c r="AI474" s="107"/>
    </row>
    <row r="475" spans="4:35" outlineLevel="1">
      <c r="L475" s="418"/>
      <c r="M475" s="418"/>
      <c r="N475" s="418"/>
      <c r="O475" s="418"/>
      <c r="P475" s="418"/>
      <c r="Q475" s="418"/>
      <c r="R475" s="51"/>
      <c r="S475" s="51"/>
      <c r="AI475" s="107"/>
    </row>
    <row r="476" spans="4:35" outlineLevel="1">
      <c r="D476" s="27" t="s">
        <v>259</v>
      </c>
      <c r="L476" s="418"/>
      <c r="M476" s="418"/>
      <c r="N476" s="418"/>
      <c r="O476" s="418"/>
      <c r="P476" s="418"/>
      <c r="Q476" s="418"/>
      <c r="R476" s="51"/>
      <c r="S476" s="51"/>
      <c r="AI476" s="107"/>
    </row>
    <row r="477" spans="4:35" outlineLevel="1">
      <c r="D477" s="786"/>
      <c r="E477" s="787" t="s">
        <v>179</v>
      </c>
      <c r="F477" s="787"/>
      <c r="G477" s="787" t="s">
        <v>171</v>
      </c>
      <c r="H477" s="787"/>
      <c r="I477" s="788"/>
      <c r="J477" s="787"/>
      <c r="K477" s="787"/>
      <c r="L477" s="802">
        <f t="shared" ref="L477:Q477" si="207">L472*L363</f>
        <v>29.426830353409805</v>
      </c>
      <c r="M477" s="802">
        <f t="shared" si="207"/>
        <v>34.452690125688029</v>
      </c>
      <c r="N477" s="802">
        <f t="shared" si="207"/>
        <v>28.886811254842485</v>
      </c>
      <c r="O477" s="802">
        <f t="shared" si="207"/>
        <v>27.041002407487088</v>
      </c>
      <c r="P477" s="802">
        <f t="shared" si="207"/>
        <v>27.248256497231075</v>
      </c>
      <c r="Q477" s="802">
        <f t="shared" si="207"/>
        <v>27.401603770605245</v>
      </c>
      <c r="R477" s="51"/>
      <c r="S477" s="51"/>
      <c r="T477" s="51"/>
      <c r="U477" s="51"/>
      <c r="V477" s="51"/>
      <c r="W477" s="51"/>
      <c r="AI477" s="107"/>
    </row>
    <row r="478" spans="4:35" outlineLevel="1">
      <c r="E478" s="10" t="s">
        <v>189</v>
      </c>
      <c r="G478" s="10" t="s">
        <v>171</v>
      </c>
      <c r="L478" s="418">
        <f t="shared" ref="L478:Q479" si="208">(L473-L199)*L364+L199*(L364-L$362)</f>
        <v>9.2988334228473537</v>
      </c>
      <c r="M478" s="418">
        <f t="shared" si="208"/>
        <v>10.633921655888861</v>
      </c>
      <c r="N478" s="418">
        <f t="shared" si="208"/>
        <v>8.8962276737606238</v>
      </c>
      <c r="O478" s="418">
        <f t="shared" si="208"/>
        <v>8.313519231389888</v>
      </c>
      <c r="P478" s="418">
        <f t="shared" si="208"/>
        <v>8.3687869886549517</v>
      </c>
      <c r="Q478" s="418">
        <f t="shared" si="208"/>
        <v>8.4096795948880629</v>
      </c>
      <c r="R478" s="51"/>
      <c r="S478" s="207"/>
      <c r="U478" s="51"/>
      <c r="V478" s="51"/>
      <c r="W478" s="51"/>
      <c r="AI478" s="107"/>
    </row>
    <row r="479" spans="4:35" outlineLevel="1">
      <c r="E479" s="10" t="s">
        <v>190</v>
      </c>
      <c r="G479" s="10" t="s">
        <v>171</v>
      </c>
      <c r="L479" s="418">
        <f t="shared" si="208"/>
        <v>0</v>
      </c>
      <c r="M479" s="418">
        <f t="shared" si="208"/>
        <v>0</v>
      </c>
      <c r="N479" s="418">
        <f t="shared" si="208"/>
        <v>0</v>
      </c>
      <c r="O479" s="418">
        <f t="shared" si="208"/>
        <v>0</v>
      </c>
      <c r="P479" s="418">
        <f t="shared" si="208"/>
        <v>0</v>
      </c>
      <c r="Q479" s="418">
        <f t="shared" si="208"/>
        <v>0</v>
      </c>
      <c r="R479" s="51"/>
      <c r="S479" s="51"/>
      <c r="T479" s="51"/>
      <c r="U479" s="51"/>
      <c r="V479" s="51"/>
      <c r="W479" s="51"/>
      <c r="AI479" s="107"/>
    </row>
    <row r="480" spans="4:35" outlineLevel="1">
      <c r="D480" s="786" t="s">
        <v>260</v>
      </c>
      <c r="E480" s="787"/>
      <c r="F480" s="787"/>
      <c r="G480" s="787" t="s">
        <v>210</v>
      </c>
      <c r="H480" s="787"/>
      <c r="I480" s="788"/>
      <c r="J480" s="787"/>
      <c r="K480" s="787"/>
      <c r="L480" s="806">
        <f>L477*L$28</f>
        <v>503.23383370753601</v>
      </c>
      <c r="M480" s="806">
        <f t="shared" ref="M480:Q480" si="209">M477*M$28</f>
        <v>589.18201944501175</v>
      </c>
      <c r="N480" s="806">
        <f t="shared" si="209"/>
        <v>493.99886419217904</v>
      </c>
      <c r="O480" s="806">
        <f t="shared" si="209"/>
        <v>462.4333353400948</v>
      </c>
      <c r="P480" s="806">
        <f t="shared" si="209"/>
        <v>465.97762702495675</v>
      </c>
      <c r="Q480" s="806">
        <f t="shared" si="209"/>
        <v>468.60004797012454</v>
      </c>
      <c r="R480" s="51"/>
      <c r="S480" s="51"/>
      <c r="T480" s="51"/>
      <c r="U480" s="51"/>
      <c r="V480" s="51"/>
      <c r="W480" s="51"/>
      <c r="AI480" s="107"/>
    </row>
    <row r="481" spans="4:35" outlineLevel="1">
      <c r="D481" s="27" t="s">
        <v>261</v>
      </c>
      <c r="G481" s="10" t="s">
        <v>210</v>
      </c>
      <c r="L481" s="421">
        <f>L478*L$29</f>
        <v>77.416754238173837</v>
      </c>
      <c r="M481" s="421">
        <f>M478*M$29</f>
        <v>88.531933199192721</v>
      </c>
      <c r="N481" s="421">
        <f t="shared" ref="N481:Q481" si="210">N478*N$29</f>
        <v>74.064889663920681</v>
      </c>
      <c r="O481" s="421">
        <f t="shared" si="210"/>
        <v>69.213593353494801</v>
      </c>
      <c r="P481" s="421">
        <f t="shared" si="210"/>
        <v>69.673721004665722</v>
      </c>
      <c r="Q481" s="421">
        <f t="shared" si="210"/>
        <v>70.0141693924311</v>
      </c>
      <c r="R481" s="51"/>
      <c r="S481" s="51"/>
      <c r="T481" s="51"/>
      <c r="U481" s="51"/>
      <c r="V481" s="51"/>
      <c r="W481" s="51"/>
      <c r="AI481" s="107"/>
    </row>
    <row r="482" spans="4:35" outlineLevel="1">
      <c r="D482" s="95" t="s">
        <v>262</v>
      </c>
      <c r="E482" s="62"/>
      <c r="F482" s="62"/>
      <c r="G482" s="62" t="s">
        <v>210</v>
      </c>
      <c r="H482" s="62"/>
      <c r="I482" s="212"/>
      <c r="J482" s="62"/>
      <c r="K482" s="62"/>
      <c r="L482" s="422">
        <f>L479*L$30</f>
        <v>0</v>
      </c>
      <c r="M482" s="422">
        <f t="shared" ref="M482:Q482" si="211">M479*M$30</f>
        <v>0</v>
      </c>
      <c r="N482" s="422">
        <f t="shared" si="211"/>
        <v>0</v>
      </c>
      <c r="O482" s="422">
        <f t="shared" si="211"/>
        <v>0</v>
      </c>
      <c r="P482" s="422">
        <f t="shared" si="211"/>
        <v>0</v>
      </c>
      <c r="Q482" s="422">
        <f t="shared" si="211"/>
        <v>0</v>
      </c>
      <c r="R482" s="51"/>
      <c r="S482" s="51"/>
      <c r="T482" s="51"/>
      <c r="U482" s="51"/>
      <c r="V482" s="51"/>
      <c r="W482" s="51"/>
      <c r="AI482" s="107"/>
    </row>
    <row r="483" spans="4:35" outlineLevel="1">
      <c r="L483" s="421"/>
      <c r="M483" s="421"/>
      <c r="N483" s="421"/>
      <c r="O483" s="421"/>
      <c r="P483" s="421"/>
      <c r="Q483" s="421"/>
      <c r="R483" s="51"/>
      <c r="AI483" s="107"/>
    </row>
    <row r="484" spans="4:35" outlineLevel="1">
      <c r="D484" s="786" t="s">
        <v>212</v>
      </c>
      <c r="E484" s="787"/>
      <c r="F484" s="787"/>
      <c r="G484" s="787" t="s">
        <v>210</v>
      </c>
      <c r="H484" s="787"/>
      <c r="I484" s="788"/>
      <c r="J484" s="787"/>
      <c r="K484" s="787"/>
      <c r="L484" s="802">
        <f>SUM(L481:L482)*L$34/L$31</f>
        <v>14.928613531046635</v>
      </c>
      <c r="M484" s="802">
        <f t="shared" ref="M484:Q484" si="212">SUM(M481:M482)*M$34/M$31</f>
        <v>17.072002422383672</v>
      </c>
      <c r="N484" s="802">
        <f t="shared" si="212"/>
        <v>14.282258729300663</v>
      </c>
      <c r="O484" s="802">
        <f t="shared" si="212"/>
        <v>13.346761904929421</v>
      </c>
      <c r="P484" s="802">
        <f t="shared" si="212"/>
        <v>13.435490345521831</v>
      </c>
      <c r="Q484" s="802">
        <f t="shared" si="212"/>
        <v>13.501140506888467</v>
      </c>
      <c r="AI484" s="107"/>
    </row>
    <row r="485" spans="4:35" outlineLevel="1">
      <c r="D485" s="27" t="s">
        <v>213</v>
      </c>
      <c r="G485" s="10" t="s">
        <v>210</v>
      </c>
      <c r="L485" s="418">
        <f>L480-L486+SUM(L481:L482)-L484</f>
        <v>100.96260278571518</v>
      </c>
      <c r="M485" s="418">
        <f t="shared" ref="M485:Q485" si="213">M480-M486+SUM(M481:M482)-M484</f>
        <v>116.50551345855148</v>
      </c>
      <c r="N485" s="418">
        <f t="shared" si="213"/>
        <v>97.551038569694612</v>
      </c>
      <c r="O485" s="418">
        <f t="shared" si="213"/>
        <v>91.221914180855478</v>
      </c>
      <c r="P485" s="418">
        <f t="shared" si="213"/>
        <v>91.864290235379499</v>
      </c>
      <c r="Q485" s="418">
        <f t="shared" si="213"/>
        <v>92.339584192491742</v>
      </c>
      <c r="AI485" s="107"/>
    </row>
    <row r="486" spans="4:35" outlineLevel="1">
      <c r="D486" s="95" t="s">
        <v>214</v>
      </c>
      <c r="E486" s="62"/>
      <c r="F486" s="62"/>
      <c r="G486" s="62" t="s">
        <v>210</v>
      </c>
      <c r="H486" s="62"/>
      <c r="I486" s="212"/>
      <c r="J486" s="62"/>
      <c r="K486" s="62"/>
      <c r="L486" s="423">
        <f>L480*L$35/L$28</f>
        <v>464.75937162894803</v>
      </c>
      <c r="M486" s="423">
        <f t="shared" ref="M486:Q486" si="214">M480*M$35/M$28</f>
        <v>544.13643676326933</v>
      </c>
      <c r="N486" s="423">
        <f t="shared" si="214"/>
        <v>456.23045655710445</v>
      </c>
      <c r="O486" s="423">
        <f t="shared" si="214"/>
        <v>427.0782526078047</v>
      </c>
      <c r="P486" s="423">
        <f t="shared" si="214"/>
        <v>430.35156744872114</v>
      </c>
      <c r="Q486" s="423">
        <f t="shared" si="214"/>
        <v>432.77349266317543</v>
      </c>
      <c r="AI486" s="107"/>
    </row>
    <row r="487" spans="4:35" outlineLevel="1">
      <c r="E487" s="10" t="s">
        <v>263</v>
      </c>
      <c r="L487" s="429" t="str">
        <f>IF(ROUND(SUM(L484:L486)-SUM(L480:L482),5)=0,"OK","FAIL")</f>
        <v>OK</v>
      </c>
      <c r="M487" s="429" t="str">
        <f t="shared" ref="M487" si="215">IF(ROUND(SUM(M484:M486)-SUM(M480:M482),5)=0,"OK","FAIL")</f>
        <v>OK</v>
      </c>
      <c r="N487" s="429" t="str">
        <f t="shared" ref="N487" si="216">IF(ROUND(SUM(N484:N486)-SUM(N480:N482),5)=0,"OK","FAIL")</f>
        <v>OK</v>
      </c>
      <c r="O487" s="429" t="str">
        <f t="shared" ref="O487" si="217">IF(ROUND(SUM(O484:O486)-SUM(O480:O482),5)=0,"OK","FAIL")</f>
        <v>OK</v>
      </c>
      <c r="P487" s="429" t="str">
        <f t="shared" ref="P487" si="218">IF(ROUND(SUM(P484:P486)-SUM(P480:P482),5)=0,"OK","FAIL")</f>
        <v>OK</v>
      </c>
      <c r="Q487" s="429" t="str">
        <f t="shared" ref="Q487" si="219">IF(ROUND(SUM(Q484:Q486)-SUM(Q480:Q482),5)=0,"OK","FAIL")</f>
        <v>OK</v>
      </c>
      <c r="AI487" s="107"/>
    </row>
    <row r="488" spans="4:35" outlineLevel="1">
      <c r="D488" s="27" t="s">
        <v>264</v>
      </c>
      <c r="L488" s="418"/>
      <c r="M488" s="418"/>
      <c r="N488" s="418"/>
      <c r="O488" s="418"/>
      <c r="P488" s="418"/>
      <c r="Q488" s="418"/>
      <c r="AI488" s="107"/>
    </row>
    <row r="489" spans="4:35" outlineLevel="1">
      <c r="D489" s="786"/>
      <c r="E489" s="787" t="s">
        <v>179</v>
      </c>
      <c r="F489" s="787"/>
      <c r="G489" s="787" t="s">
        <v>171</v>
      </c>
      <c r="H489" s="787"/>
      <c r="I489" s="788"/>
      <c r="J489" s="787"/>
      <c r="K489" s="787"/>
      <c r="L489" s="802">
        <f t="shared" ref="L489:M491" si="220">L$453-L472</f>
        <v>116.56053914510278</v>
      </c>
      <c r="M489" s="802">
        <f t="shared" si="220"/>
        <v>135.36732979954127</v>
      </c>
      <c r="N489" s="802">
        <f t="shared" ref="N489:Q491" si="221">N$453-N472</f>
        <v>112.33053651818108</v>
      </c>
      <c r="O489" s="802">
        <f t="shared" si="221"/>
        <v>104.20321548239838</v>
      </c>
      <c r="P489" s="802">
        <f t="shared" si="221"/>
        <v>104.20321548239838</v>
      </c>
      <c r="Q489" s="802">
        <f>Q$453-Q472</f>
        <v>104.20321548239838</v>
      </c>
      <c r="R489" s="234"/>
      <c r="S489" s="234"/>
      <c r="T489" s="234"/>
      <c r="U489" s="234"/>
      <c r="V489" s="234"/>
      <c r="W489" s="234"/>
      <c r="AI489" s="107"/>
    </row>
    <row r="490" spans="4:35" outlineLevel="1">
      <c r="E490" s="10" t="s">
        <v>189</v>
      </c>
      <c r="G490" s="10" t="s">
        <v>171</v>
      </c>
      <c r="L490" s="418">
        <f t="shared" si="220"/>
        <v>372.99372526432899</v>
      </c>
      <c r="M490" s="418">
        <f t="shared" si="220"/>
        <v>433.17545535853208</v>
      </c>
      <c r="N490" s="418">
        <f t="shared" si="221"/>
        <v>359.45771685817948</v>
      </c>
      <c r="O490" s="418">
        <f>O$453-O473</f>
        <v>333.4502895436749</v>
      </c>
      <c r="P490" s="418">
        <f t="shared" si="221"/>
        <v>333.4502895436749</v>
      </c>
      <c r="Q490" s="418">
        <f t="shared" si="221"/>
        <v>333.4502895436749</v>
      </c>
      <c r="R490" s="234"/>
      <c r="S490" s="234"/>
      <c r="T490" s="234"/>
      <c r="U490" s="234"/>
      <c r="V490" s="234"/>
      <c r="W490" s="234"/>
      <c r="AI490" s="107"/>
    </row>
    <row r="491" spans="4:35" outlineLevel="1">
      <c r="D491" s="95"/>
      <c r="E491" s="62" t="s">
        <v>190</v>
      </c>
      <c r="F491" s="62"/>
      <c r="G491" s="62" t="s">
        <v>171</v>
      </c>
      <c r="H491" s="62"/>
      <c r="I491" s="212"/>
      <c r="J491" s="62"/>
      <c r="K491" s="62"/>
      <c r="L491" s="423">
        <f t="shared" si="220"/>
        <v>466.24215658041123</v>
      </c>
      <c r="M491" s="423">
        <f t="shared" si="220"/>
        <v>541.46931919816507</v>
      </c>
      <c r="N491" s="423">
        <f t="shared" si="221"/>
        <v>449.32214607272437</v>
      </c>
      <c r="O491" s="423">
        <f t="shared" si="221"/>
        <v>416.81286192959362</v>
      </c>
      <c r="P491" s="423">
        <f t="shared" si="221"/>
        <v>416.81286192959362</v>
      </c>
      <c r="Q491" s="423">
        <f t="shared" si="221"/>
        <v>416.81286192959362</v>
      </c>
      <c r="R491" s="234"/>
      <c r="S491" s="103"/>
      <c r="T491" s="234"/>
      <c r="U491" s="234"/>
      <c r="V491" s="234"/>
      <c r="W491" s="234"/>
      <c r="AI491" s="107"/>
    </row>
    <row r="492" spans="4:35" outlineLevel="1">
      <c r="E492" s="27"/>
      <c r="F492" s="27"/>
      <c r="G492" s="27"/>
      <c r="H492" s="27"/>
      <c r="I492" s="163"/>
      <c r="J492" s="27"/>
      <c r="K492" s="27"/>
      <c r="L492" s="421"/>
      <c r="M492" s="421"/>
      <c r="N492" s="421"/>
      <c r="O492" s="421"/>
      <c r="P492" s="421"/>
      <c r="Q492" s="421"/>
      <c r="AI492" s="107"/>
    </row>
    <row r="493" spans="4:35" outlineLevel="1">
      <c r="D493" s="27" t="s">
        <v>265</v>
      </c>
      <c r="L493" s="418"/>
      <c r="M493" s="418"/>
      <c r="N493" s="418"/>
      <c r="O493" s="418"/>
      <c r="P493" s="418"/>
      <c r="Q493" s="418"/>
      <c r="AI493" s="107"/>
    </row>
    <row r="494" spans="4:35" outlineLevel="1">
      <c r="D494" s="786"/>
      <c r="E494" s="787" t="s">
        <v>179</v>
      </c>
      <c r="F494" s="787"/>
      <c r="G494" s="787" t="s">
        <v>171</v>
      </c>
      <c r="H494" s="787"/>
      <c r="I494" s="788"/>
      <c r="J494" s="787"/>
      <c r="K494" s="787"/>
      <c r="L494" s="802">
        <f t="shared" ref="L494:Q494" si="222">L489*L363</f>
        <v>9.8089434511365994</v>
      </c>
      <c r="M494" s="802">
        <f t="shared" si="222"/>
        <v>11.48423004189601</v>
      </c>
      <c r="N494" s="802">
        <f t="shared" si="222"/>
        <v>9.6289370849474931</v>
      </c>
      <c r="O494" s="802">
        <f t="shared" si="222"/>
        <v>9.0136674691623604</v>
      </c>
      <c r="P494" s="802">
        <f t="shared" si="222"/>
        <v>9.0827521657436883</v>
      </c>
      <c r="Q494" s="802">
        <f t="shared" si="222"/>
        <v>9.1338679235350781</v>
      </c>
      <c r="AI494" s="107"/>
    </row>
    <row r="495" spans="4:35" outlineLevel="1">
      <c r="E495" s="10" t="s">
        <v>189</v>
      </c>
      <c r="G495" s="10" t="s">
        <v>171</v>
      </c>
      <c r="L495" s="418">
        <f t="shared" ref="L495:Q496" si="223">L490*(L364-L$362)</f>
        <v>37.195333691389415</v>
      </c>
      <c r="M495" s="418">
        <f t="shared" si="223"/>
        <v>42.535686623555442</v>
      </c>
      <c r="N495" s="418">
        <f t="shared" si="223"/>
        <v>35.584910695042488</v>
      </c>
      <c r="O495" s="418">
        <f t="shared" si="223"/>
        <v>33.254076925559552</v>
      </c>
      <c r="P495" s="418">
        <f t="shared" si="223"/>
        <v>33.475147954619807</v>
      </c>
      <c r="Q495" s="418">
        <f t="shared" si="223"/>
        <v>33.638718379552252</v>
      </c>
      <c r="AI495" s="107"/>
    </row>
    <row r="496" spans="4:35" outlineLevel="1">
      <c r="E496" s="10" t="s">
        <v>190</v>
      </c>
      <c r="G496" s="10" t="s">
        <v>171</v>
      </c>
      <c r="L496" s="418">
        <f t="shared" si="223"/>
        <v>46.494167114236774</v>
      </c>
      <c r="M496" s="418">
        <f t="shared" si="223"/>
        <v>53.169608279444304</v>
      </c>
      <c r="N496" s="418">
        <f t="shared" si="223"/>
        <v>44.481138368803109</v>
      </c>
      <c r="O496" s="418">
        <f t="shared" si="223"/>
        <v>41.567596156949435</v>
      </c>
      <c r="P496" s="418">
        <f t="shared" si="223"/>
        <v>41.84393494327476</v>
      </c>
      <c r="Q496" s="418">
        <f t="shared" si="223"/>
        <v>42.04839797444032</v>
      </c>
      <c r="AI496" s="107"/>
    </row>
    <row r="497" spans="3:35" outlineLevel="1">
      <c r="D497" s="201"/>
      <c r="E497" s="272" t="s">
        <v>179</v>
      </c>
      <c r="F497" s="272"/>
      <c r="G497" s="272" t="s">
        <v>210</v>
      </c>
      <c r="H497" s="272"/>
      <c r="I497" s="287"/>
      <c r="J497" s="272"/>
      <c r="K497" s="272"/>
      <c r="L497" s="419">
        <f>L494*L$28</f>
        <v>167.7446112358453</v>
      </c>
      <c r="M497" s="419">
        <f t="shared" ref="M497:Q497" si="224">M494*M$28</f>
        <v>196.39400648167057</v>
      </c>
      <c r="N497" s="419">
        <f>N494*N$28</f>
        <v>164.66628806405964</v>
      </c>
      <c r="O497" s="419">
        <f t="shared" si="224"/>
        <v>154.1444451133649</v>
      </c>
      <c r="P497" s="419">
        <f t="shared" si="224"/>
        <v>155.32587567498553</v>
      </c>
      <c r="Q497" s="419">
        <f t="shared" si="224"/>
        <v>156.20001599004144</v>
      </c>
      <c r="AI497" s="107"/>
    </row>
    <row r="498" spans="3:35" outlineLevel="1">
      <c r="D498" s="201"/>
      <c r="E498" s="51" t="s">
        <v>189</v>
      </c>
      <c r="F498" s="51"/>
      <c r="G498" s="51" t="s">
        <v>210</v>
      </c>
      <c r="H498" s="51"/>
      <c r="I498" s="128"/>
      <c r="J498" s="51"/>
      <c r="K498" s="51"/>
      <c r="L498" s="418">
        <f>L495*L$29</f>
        <v>309.66701695269535</v>
      </c>
      <c r="M498" s="418">
        <f>M495*M$29</f>
        <v>354.12773279677089</v>
      </c>
      <c r="N498" s="418">
        <f t="shared" ref="N498:Q498" si="225">N495*N$29</f>
        <v>296.25955865568267</v>
      </c>
      <c r="O498" s="418">
        <f t="shared" si="225"/>
        <v>276.8543734139792</v>
      </c>
      <c r="P498" s="418">
        <f t="shared" si="225"/>
        <v>278.69488401866289</v>
      </c>
      <c r="Q498" s="418">
        <f t="shared" si="225"/>
        <v>280.0566775697244</v>
      </c>
      <c r="AI498" s="107"/>
    </row>
    <row r="499" spans="3:35" outlineLevel="1">
      <c r="D499" s="201"/>
      <c r="E499" s="51" t="s">
        <v>190</v>
      </c>
      <c r="F499" s="51"/>
      <c r="G499" s="51" t="s">
        <v>210</v>
      </c>
      <c r="H499" s="51"/>
      <c r="I499" s="128"/>
      <c r="J499" s="51"/>
      <c r="K499" s="51"/>
      <c r="L499" s="418">
        <f>L496*L$30</f>
        <v>176.64898831608485</v>
      </c>
      <c r="M499" s="418">
        <f t="shared" ref="M499:Q499" si="226">M496*M$30</f>
        <v>202.01152305082101</v>
      </c>
      <c r="N499" s="418">
        <f t="shared" si="226"/>
        <v>169.00072804166501</v>
      </c>
      <c r="O499" s="418">
        <f t="shared" si="226"/>
        <v>157.93107530704137</v>
      </c>
      <c r="P499" s="418">
        <f t="shared" si="226"/>
        <v>158.98099124417226</v>
      </c>
      <c r="Q499" s="418">
        <f t="shared" si="226"/>
        <v>159.75782390609936</v>
      </c>
      <c r="AI499" s="107"/>
    </row>
    <row r="500" spans="3:35" outlineLevel="1">
      <c r="D500" s="202" t="s">
        <v>107</v>
      </c>
      <c r="E500" s="202"/>
      <c r="F500" s="202"/>
      <c r="G500" s="202" t="s">
        <v>210</v>
      </c>
      <c r="H500" s="202"/>
      <c r="I500" s="178"/>
      <c r="J500" s="202"/>
      <c r="K500" s="202"/>
      <c r="L500" s="422">
        <f>SUM(L497:L499)</f>
        <v>654.0606165046255</v>
      </c>
      <c r="M500" s="422">
        <f>SUM(M497:M499)</f>
        <v>752.53326232926247</v>
      </c>
      <c r="N500" s="422">
        <f>SUM(N497:N499)</f>
        <v>629.92657476140732</v>
      </c>
      <c r="O500" s="422">
        <f t="shared" ref="O500:P500" si="227">SUM(O497:O499)</f>
        <v>588.92989383438544</v>
      </c>
      <c r="P500" s="422">
        <f t="shared" si="227"/>
        <v>593.0017509378207</v>
      </c>
      <c r="Q500" s="422">
        <f>SUM(Q497:Q499)</f>
        <v>596.0145174658652</v>
      </c>
      <c r="AI500" s="107"/>
    </row>
    <row r="501" spans="3:35" outlineLevel="1">
      <c r="E501" s="27"/>
      <c r="F501" s="27"/>
      <c r="G501" s="27"/>
      <c r="H501" s="27"/>
      <c r="I501" s="163"/>
      <c r="J501" s="27"/>
      <c r="K501" s="27"/>
      <c r="L501" s="421"/>
      <c r="M501" s="421"/>
      <c r="N501" s="421"/>
      <c r="O501" s="421"/>
      <c r="P501" s="421"/>
      <c r="Q501" s="421"/>
      <c r="AI501" s="107"/>
    </row>
    <row r="502" spans="3:35" outlineLevel="1">
      <c r="D502" s="807" t="s">
        <v>212</v>
      </c>
      <c r="E502" s="808"/>
      <c r="F502" s="808"/>
      <c r="G502" s="808" t="s">
        <v>210</v>
      </c>
      <c r="H502" s="808"/>
      <c r="I502" s="809"/>
      <c r="J502" s="808"/>
      <c r="K502" s="808"/>
      <c r="L502" s="802">
        <f>L500*L$34/L$38</f>
        <v>52.324849320370035</v>
      </c>
      <c r="M502" s="802">
        <f t="shared" ref="M502:Q502" si="228">M500*M$34/M$38</f>
        <v>60.202660986340994</v>
      </c>
      <c r="N502" s="802">
        <f>N500*N$34/N$38</f>
        <v>50.394125980912584</v>
      </c>
      <c r="O502" s="802">
        <f t="shared" si="228"/>
        <v>47.114391506750835</v>
      </c>
      <c r="P502" s="802">
        <f t="shared" si="228"/>
        <v>47.440140075025653</v>
      </c>
      <c r="Q502" s="802">
        <f t="shared" si="228"/>
        <v>47.681161397269207</v>
      </c>
      <c r="AI502" s="107"/>
    </row>
    <row r="503" spans="3:35" outlineLevel="1">
      <c r="D503" s="201" t="s">
        <v>213</v>
      </c>
      <c r="E503" s="51"/>
      <c r="F503" s="51"/>
      <c r="G503" s="51" t="s">
        <v>210</v>
      </c>
      <c r="H503" s="51"/>
      <c r="I503" s="128"/>
      <c r="J503" s="51"/>
      <c r="K503" s="51"/>
      <c r="L503" s="418">
        <f>L500*L$37/L$38</f>
        <v>248.28141002515585</v>
      </c>
      <c r="M503" s="418">
        <f t="shared" ref="M503:Q503" si="229">M500*M$37/M$38</f>
        <v>285.66162638018801</v>
      </c>
      <c r="N503" s="418">
        <f t="shared" si="229"/>
        <v>239.12012777943022</v>
      </c>
      <c r="O503" s="418">
        <f t="shared" si="229"/>
        <v>223.55778769953272</v>
      </c>
      <c r="P503" s="418">
        <f t="shared" si="229"/>
        <v>225.10346465599673</v>
      </c>
      <c r="Q503" s="418">
        <f t="shared" si="229"/>
        <v>226.24711083004243</v>
      </c>
      <c r="AI503" s="107"/>
    </row>
    <row r="504" spans="3:35" outlineLevel="1">
      <c r="D504" s="202" t="s">
        <v>214</v>
      </c>
      <c r="E504" s="183"/>
      <c r="F504" s="183"/>
      <c r="G504" s="183" t="s">
        <v>210</v>
      </c>
      <c r="H504" s="183"/>
      <c r="I504" s="177"/>
      <c r="J504" s="183"/>
      <c r="K504" s="183"/>
      <c r="L504" s="423">
        <f>L500*L$35/L$38</f>
        <v>353.45435715909963</v>
      </c>
      <c r="M504" s="423">
        <f t="shared" ref="M504:Q504" si="230">M500*M$35/M$38</f>
        <v>406.66897496273344</v>
      </c>
      <c r="N504" s="423">
        <f t="shared" si="230"/>
        <v>340.41232100106453</v>
      </c>
      <c r="O504" s="423">
        <f t="shared" si="230"/>
        <v>318.25771462810189</v>
      </c>
      <c r="P504" s="423">
        <f t="shared" si="230"/>
        <v>320.45814620679829</v>
      </c>
      <c r="Q504" s="423">
        <f t="shared" si="230"/>
        <v>322.08624523855354</v>
      </c>
      <c r="AI504" s="107"/>
    </row>
    <row r="505" spans="3:35" outlineLevel="1">
      <c r="E505" s="10" t="s">
        <v>263</v>
      </c>
      <c r="L505" s="429" t="str">
        <f>IF(ROUND(SUM(L502:L504)-SUM(L500),5)=0,"OK","FAIL")</f>
        <v>OK</v>
      </c>
      <c r="M505" s="429" t="str">
        <f t="shared" ref="M505:Q505" si="231">IF(ROUND(SUM(M502:M504)-SUM(M500),5)=0,"OK","FAIL")</f>
        <v>OK</v>
      </c>
      <c r="N505" s="429" t="str">
        <f t="shared" si="231"/>
        <v>OK</v>
      </c>
      <c r="O505" s="429" t="str">
        <f t="shared" si="231"/>
        <v>OK</v>
      </c>
      <c r="P505" s="429" t="str">
        <f t="shared" si="231"/>
        <v>OK</v>
      </c>
      <c r="Q505" s="429" t="str">
        <f t="shared" si="231"/>
        <v>OK</v>
      </c>
      <c r="AI505" s="107"/>
    </row>
    <row r="506" spans="3:35" outlineLevel="1">
      <c r="L506" s="418">
        <f>L500+SUM(L480:L482)</f>
        <v>1234.7112044503353</v>
      </c>
      <c r="M506" s="418">
        <f t="shared" ref="M506:Q506" si="232">M500+SUM(M480:M482)</f>
        <v>1430.247214973467</v>
      </c>
      <c r="N506" s="418">
        <f t="shared" si="232"/>
        <v>1197.9903286175072</v>
      </c>
      <c r="O506" s="418">
        <f t="shared" si="232"/>
        <v>1120.5768225279751</v>
      </c>
      <c r="P506" s="418">
        <f t="shared" si="232"/>
        <v>1128.6530989674432</v>
      </c>
      <c r="Q506" s="418">
        <f t="shared" si="232"/>
        <v>1134.6287348284209</v>
      </c>
      <c r="AI506" s="107"/>
    </row>
    <row r="507" spans="3:35" outlineLevel="1">
      <c r="C507" s="184" t="s">
        <v>266</v>
      </c>
      <c r="D507" s="321"/>
      <c r="E507" s="322"/>
      <c r="F507" s="322"/>
      <c r="G507" s="322"/>
      <c r="H507" s="322"/>
      <c r="I507" s="323"/>
      <c r="J507" s="322"/>
      <c r="K507" s="322"/>
      <c r="L507" s="411"/>
      <c r="M507" s="411"/>
      <c r="N507" s="411"/>
      <c r="O507" s="411"/>
      <c r="P507" s="411"/>
      <c r="Q507" s="411"/>
      <c r="R507" s="322"/>
      <c r="S507" s="322"/>
      <c r="T507" s="322"/>
      <c r="U507" s="322"/>
      <c r="V507" s="322"/>
      <c r="W507" s="322"/>
      <c r="X507" s="322"/>
      <c r="Y507" s="322"/>
      <c r="Z507" s="322"/>
      <c r="AA507" s="322"/>
      <c r="AB507" s="322"/>
      <c r="AC507" s="322"/>
      <c r="AD507" s="322"/>
      <c r="AE507" s="322"/>
      <c r="AF507" s="322"/>
      <c r="AG507" s="322"/>
      <c r="AH507" s="322"/>
      <c r="AI507" s="107"/>
    </row>
    <row r="508" spans="3:35" outlineLevel="1">
      <c r="L508" s="21"/>
      <c r="M508" s="21"/>
      <c r="N508" s="21"/>
      <c r="O508" s="21"/>
      <c r="P508" s="21"/>
      <c r="Q508" s="21"/>
      <c r="AI508" s="107"/>
    </row>
    <row r="509" spans="3:35" outlineLevel="1">
      <c r="D509" s="27" t="s">
        <v>323</v>
      </c>
      <c r="L509" s="21"/>
      <c r="M509" s="21"/>
      <c r="N509" s="21"/>
      <c r="O509" s="21"/>
      <c r="P509" s="21"/>
      <c r="Q509" s="21"/>
      <c r="S509" s="230"/>
      <c r="AI509" s="107"/>
    </row>
    <row r="510" spans="3:35" outlineLevel="1">
      <c r="D510" s="786"/>
      <c r="E510" s="787" t="s">
        <v>324</v>
      </c>
      <c r="F510" s="787"/>
      <c r="G510" s="787" t="s">
        <v>171</v>
      </c>
      <c r="H510" s="787"/>
      <c r="I510" s="788"/>
      <c r="J510" s="787"/>
      <c r="K510" s="787"/>
      <c r="L510" s="802">
        <f t="shared" ref="L510:Q510" si="233">L381</f>
        <v>68.668836120515593</v>
      </c>
      <c r="M510" s="802">
        <f t="shared" si="233"/>
        <v>79.748404170512359</v>
      </c>
      <c r="N510" s="802">
        <f t="shared" si="233"/>
        <v>66.176831885567438</v>
      </c>
      <c r="O510" s="802">
        <f t="shared" si="233"/>
        <v>61.388816315304609</v>
      </c>
      <c r="P510" s="802">
        <f t="shared" si="233"/>
        <v>61.388816315304609</v>
      </c>
      <c r="Q510" s="802">
        <f t="shared" si="233"/>
        <v>61.388816315304609</v>
      </c>
      <c r="AI510" s="107"/>
    </row>
    <row r="511" spans="3:35" outlineLevel="1">
      <c r="E511" s="10" t="s">
        <v>325</v>
      </c>
      <c r="G511" s="10" t="s">
        <v>171</v>
      </c>
      <c r="L511" s="418">
        <f t="shared" ref="L511:Q511" si="234">L418</f>
        <v>51.680653397333337</v>
      </c>
      <c r="M511" s="418">
        <f t="shared" si="234"/>
        <v>129.20163349333333</v>
      </c>
      <c r="N511" s="418">
        <f t="shared" si="234"/>
        <v>129.20163349333333</v>
      </c>
      <c r="O511" s="418">
        <f t="shared" si="234"/>
        <v>129.20163349333333</v>
      </c>
      <c r="P511" s="418">
        <f t="shared" si="234"/>
        <v>129.20163349333333</v>
      </c>
      <c r="Q511" s="418">
        <f t="shared" si="234"/>
        <v>129.20163349333333</v>
      </c>
      <c r="AI511" s="107"/>
    </row>
    <row r="512" spans="3:35" outlineLevel="1">
      <c r="E512" s="10" t="s">
        <v>308</v>
      </c>
      <c r="G512" s="10" t="s">
        <v>171</v>
      </c>
      <c r="L512" s="418">
        <f t="shared" ref="L512:Q512" si="235">L463</f>
        <v>0</v>
      </c>
      <c r="M512" s="418">
        <f t="shared" si="235"/>
        <v>0</v>
      </c>
      <c r="N512" s="418">
        <f t="shared" si="235"/>
        <v>0</v>
      </c>
      <c r="O512" s="418">
        <f t="shared" si="235"/>
        <v>0</v>
      </c>
      <c r="P512" s="418">
        <f t="shared" si="235"/>
        <v>0</v>
      </c>
      <c r="Q512" s="418">
        <f t="shared" si="235"/>
        <v>0</v>
      </c>
      <c r="S512" s="230"/>
      <c r="AI512" s="107"/>
    </row>
    <row r="513" spans="4:35" outlineLevel="1">
      <c r="E513" s="288" t="s">
        <v>326</v>
      </c>
      <c r="F513" s="288"/>
      <c r="G513" s="288" t="s">
        <v>171</v>
      </c>
      <c r="H513" s="288"/>
      <c r="I513" s="289"/>
      <c r="J513" s="288"/>
      <c r="K513" s="288"/>
      <c r="L513" s="441">
        <f>SUM(L510:L512)</f>
        <v>120.34948951784892</v>
      </c>
      <c r="M513" s="441">
        <f t="shared" ref="M513:O513" si="236">SUM(M510:M512)</f>
        <v>208.95003766384571</v>
      </c>
      <c r="N513" s="441">
        <f t="shared" si="236"/>
        <v>195.37846537890078</v>
      </c>
      <c r="O513" s="441">
        <f t="shared" si="236"/>
        <v>190.59044980863794</v>
      </c>
      <c r="P513" s="441">
        <f>SUM(P510:P512)</f>
        <v>190.59044980863794</v>
      </c>
      <c r="Q513" s="441">
        <f>SUM(Q510:Q512)</f>
        <v>190.59044980863794</v>
      </c>
      <c r="S513" s="230"/>
      <c r="AI513" s="107"/>
    </row>
    <row r="514" spans="4:35" outlineLevel="1">
      <c r="E514" s="268" t="s">
        <v>327</v>
      </c>
      <c r="G514" s="268" t="s">
        <v>171</v>
      </c>
      <c r="L514" s="418">
        <f t="shared" ref="L514:Q514" si="237">L384</f>
        <v>10.281171675722272</v>
      </c>
      <c r="M514" s="418">
        <f t="shared" si="237"/>
        <v>11.020834909035534</v>
      </c>
      <c r="N514" s="418">
        <f t="shared" si="237"/>
        <v>8.5365529679092269</v>
      </c>
      <c r="O514" s="418">
        <f t="shared" si="237"/>
        <v>7.3499135207642805</v>
      </c>
      <c r="P514" s="418">
        <f t="shared" si="237"/>
        <v>6.7767249437899952</v>
      </c>
      <c r="Q514" s="418">
        <f t="shared" si="237"/>
        <v>6.1929503990252739</v>
      </c>
      <c r="S514" s="230"/>
      <c r="AI514" s="107"/>
    </row>
    <row r="515" spans="4:35" outlineLevel="1">
      <c r="E515" s="10" t="s">
        <v>328</v>
      </c>
      <c r="G515" s="10" t="s">
        <v>171</v>
      </c>
      <c r="L515" s="418">
        <f t="shared" ref="L515:Q515" si="238">L420</f>
        <v>7.7376827671721715</v>
      </c>
      <c r="M515" s="418">
        <f t="shared" si="238"/>
        <v>17.855026536496457</v>
      </c>
      <c r="N515" s="418">
        <f t="shared" si="238"/>
        <v>16.666506335078505</v>
      </c>
      <c r="O515" s="418">
        <f t="shared" si="238"/>
        <v>15.468954932117423</v>
      </c>
      <c r="P515" s="418">
        <f t="shared" si="238"/>
        <v>14.262596756640859</v>
      </c>
      <c r="Q515" s="418">
        <f t="shared" si="238"/>
        <v>13.033958882471174</v>
      </c>
      <c r="S515" s="230"/>
      <c r="AI515" s="107"/>
    </row>
    <row r="516" spans="4:35" outlineLevel="1">
      <c r="E516" s="10" t="s">
        <v>329</v>
      </c>
      <c r="G516" s="10" t="s">
        <v>171</v>
      </c>
      <c r="L516" s="418">
        <f>L468</f>
        <v>0</v>
      </c>
      <c r="M516" s="418">
        <f t="shared" ref="M516:Q516" si="239">M468</f>
        <v>0</v>
      </c>
      <c r="N516" s="418">
        <f t="shared" si="239"/>
        <v>0</v>
      </c>
      <c r="O516" s="418">
        <f t="shared" si="239"/>
        <v>0</v>
      </c>
      <c r="P516" s="418">
        <f t="shared" si="239"/>
        <v>0</v>
      </c>
      <c r="Q516" s="418">
        <f t="shared" si="239"/>
        <v>0</v>
      </c>
      <c r="S516" s="230"/>
      <c r="AI516" s="107"/>
    </row>
    <row r="517" spans="4:35" outlineLevel="1">
      <c r="D517" s="273" t="s">
        <v>330</v>
      </c>
      <c r="E517" s="274"/>
      <c r="F517" s="274"/>
      <c r="G517" s="274" t="s">
        <v>171</v>
      </c>
      <c r="H517" s="274"/>
      <c r="I517" s="336"/>
      <c r="J517" s="274"/>
      <c r="K517" s="274"/>
      <c r="L517" s="431">
        <f>SUM(L514:L516)</f>
        <v>18.018854442894444</v>
      </c>
      <c r="M517" s="431">
        <f t="shared" ref="M517:Q517" si="240">SUM(M514:M516)</f>
        <v>28.875861445531989</v>
      </c>
      <c r="N517" s="431">
        <f t="shared" si="240"/>
        <v>25.203059302987732</v>
      </c>
      <c r="O517" s="431">
        <f t="shared" si="240"/>
        <v>22.818868452881702</v>
      </c>
      <c r="P517" s="431">
        <f t="shared" si="240"/>
        <v>21.039321700430854</v>
      </c>
      <c r="Q517" s="431">
        <f t="shared" si="240"/>
        <v>19.226909281496447</v>
      </c>
      <c r="S517" s="230"/>
      <c r="AI517" s="107"/>
    </row>
    <row r="518" spans="4:35" outlineLevel="1">
      <c r="L518" s="21"/>
      <c r="M518" s="21"/>
      <c r="N518" s="21"/>
      <c r="O518" s="21"/>
      <c r="P518" s="21"/>
      <c r="Q518" s="21"/>
      <c r="S518" s="230"/>
      <c r="AI518" s="107"/>
    </row>
    <row r="519" spans="4:35" outlineLevel="1">
      <c r="D519" s="27" t="s">
        <v>331</v>
      </c>
      <c r="L519" s="21"/>
      <c r="M519" s="21"/>
      <c r="N519" s="21"/>
      <c r="O519" s="21"/>
      <c r="P519" s="21"/>
      <c r="Q519" s="21"/>
      <c r="S519" s="230"/>
      <c r="AI519" s="107"/>
    </row>
    <row r="520" spans="4:35" outlineLevel="1">
      <c r="D520" s="786"/>
      <c r="E520" s="787" t="s">
        <v>324</v>
      </c>
      <c r="F520" s="787"/>
      <c r="G520" s="787" t="s">
        <v>171</v>
      </c>
      <c r="H520" s="787"/>
      <c r="I520" s="788"/>
      <c r="J520" s="787"/>
      <c r="K520" s="787"/>
      <c r="L520" s="802">
        <f t="shared" ref="L520:Q520" si="241">L382</f>
        <v>57.042017215680147</v>
      </c>
      <c r="M520" s="802">
        <f t="shared" si="241"/>
        <v>66.245623205754555</v>
      </c>
      <c r="N520" s="802">
        <f t="shared" si="241"/>
        <v>54.971952299740899</v>
      </c>
      <c r="O520" s="802">
        <f t="shared" si="241"/>
        <v>50.994630387533931</v>
      </c>
      <c r="P520" s="802">
        <f t="shared" si="241"/>
        <v>50.994630387533931</v>
      </c>
      <c r="Q520" s="802">
        <f t="shared" si="241"/>
        <v>50.994630387533931</v>
      </c>
      <c r="S520" s="230"/>
      <c r="AI520" s="107"/>
    </row>
    <row r="521" spans="4:35" outlineLevel="1">
      <c r="E521" s="10" t="s">
        <v>325</v>
      </c>
      <c r="G521" s="10" t="s">
        <v>171</v>
      </c>
      <c r="L521" s="418">
        <f t="shared" ref="L521:Q521" si="242">L418</f>
        <v>51.680653397333337</v>
      </c>
      <c r="M521" s="418">
        <f t="shared" si="242"/>
        <v>129.20163349333333</v>
      </c>
      <c r="N521" s="418">
        <f t="shared" si="242"/>
        <v>129.20163349333333</v>
      </c>
      <c r="O521" s="418">
        <f t="shared" si="242"/>
        <v>129.20163349333333</v>
      </c>
      <c r="P521" s="418">
        <f t="shared" si="242"/>
        <v>129.20163349333333</v>
      </c>
      <c r="Q521" s="418">
        <f t="shared" si="242"/>
        <v>129.20163349333333</v>
      </c>
      <c r="S521" s="230"/>
      <c r="AI521" s="107"/>
    </row>
    <row r="522" spans="4:35" outlineLevel="1">
      <c r="E522" s="285" t="s">
        <v>308</v>
      </c>
      <c r="F522" s="285"/>
      <c r="G522" s="285" t="s">
        <v>171</v>
      </c>
      <c r="H522" s="285"/>
      <c r="I522" s="286"/>
      <c r="J522" s="285"/>
      <c r="K522" s="285"/>
      <c r="L522" s="439">
        <f t="shared" ref="L522:Q522" si="243">L464</f>
        <v>0</v>
      </c>
      <c r="M522" s="439">
        <f t="shared" si="243"/>
        <v>0</v>
      </c>
      <c r="N522" s="439">
        <f t="shared" si="243"/>
        <v>0</v>
      </c>
      <c r="O522" s="439">
        <f t="shared" si="243"/>
        <v>0</v>
      </c>
      <c r="P522" s="439">
        <f t="shared" si="243"/>
        <v>0</v>
      </c>
      <c r="Q522" s="439">
        <f t="shared" si="243"/>
        <v>0</v>
      </c>
      <c r="S522" s="230"/>
      <c r="AI522" s="107"/>
    </row>
    <row r="523" spans="4:35" outlineLevel="1">
      <c r="E523" s="288" t="s">
        <v>326</v>
      </c>
      <c r="F523" s="288"/>
      <c r="G523" s="288" t="s">
        <v>171</v>
      </c>
      <c r="H523" s="288"/>
      <c r="I523" s="289"/>
      <c r="J523" s="288"/>
      <c r="K523" s="288"/>
      <c r="L523" s="441">
        <f>SUM(L520:L522)</f>
        <v>108.72267061301349</v>
      </c>
      <c r="M523" s="441">
        <f>SUM(M520:M522)</f>
        <v>195.44725669908789</v>
      </c>
      <c r="N523" s="441">
        <f t="shared" ref="N523:O523" si="244">SUM(N520:N522)</f>
        <v>184.17358579307424</v>
      </c>
      <c r="O523" s="441">
        <f t="shared" si="244"/>
        <v>180.19626388086726</v>
      </c>
      <c r="P523" s="441">
        <f>SUM(P520:P522)</f>
        <v>180.19626388086726</v>
      </c>
      <c r="Q523" s="441">
        <f>SUM(Q520:Q522)</f>
        <v>180.19626388086726</v>
      </c>
      <c r="AI523" s="107"/>
    </row>
    <row r="524" spans="4:35" outlineLevel="1">
      <c r="E524" s="268" t="s">
        <v>327</v>
      </c>
      <c r="G524" s="268" t="s">
        <v>171</v>
      </c>
      <c r="L524" s="418">
        <f t="shared" ref="L524:Q524" si="245">L385</f>
        <v>8.5403918990947005</v>
      </c>
      <c r="M524" s="418">
        <f t="shared" si="245"/>
        <v>9.1548173833771624</v>
      </c>
      <c r="N524" s="418">
        <f t="shared" si="245"/>
        <v>7.0911672436598066</v>
      </c>
      <c r="O524" s="418">
        <f t="shared" si="245"/>
        <v>6.1054463315701888</v>
      </c>
      <c r="P524" s="418">
        <f t="shared" si="245"/>
        <v>5.6293084716213713</v>
      </c>
      <c r="Q524" s="418">
        <f t="shared" si="245"/>
        <v>5.1443770309005279</v>
      </c>
      <c r="AI524" s="107"/>
    </row>
    <row r="525" spans="4:35" outlineLevel="1">
      <c r="E525" s="10" t="s">
        <v>328</v>
      </c>
      <c r="G525" s="10" t="s">
        <v>171</v>
      </c>
      <c r="L525" s="418">
        <f t="shared" ref="L525:Q525" si="246">L421</f>
        <v>7.7376827671721715</v>
      </c>
      <c r="M525" s="418">
        <f t="shared" si="246"/>
        <v>17.855026536496457</v>
      </c>
      <c r="N525" s="418">
        <f t="shared" si="246"/>
        <v>16.666506335078505</v>
      </c>
      <c r="O525" s="418">
        <f t="shared" si="246"/>
        <v>15.468954932117423</v>
      </c>
      <c r="P525" s="418">
        <f t="shared" si="246"/>
        <v>14.262596756640859</v>
      </c>
      <c r="Q525" s="418">
        <f t="shared" si="246"/>
        <v>13.033958882471174</v>
      </c>
      <c r="AI525" s="107"/>
    </row>
    <row r="526" spans="4:35" outlineLevel="1">
      <c r="E526" s="10" t="s">
        <v>329</v>
      </c>
      <c r="G526" s="10" t="s">
        <v>171</v>
      </c>
      <c r="L526" s="418">
        <f t="shared" ref="L526:Q526" si="247">L469</f>
        <v>0</v>
      </c>
      <c r="M526" s="418">
        <f t="shared" si="247"/>
        <v>0</v>
      </c>
      <c r="N526" s="418">
        <f t="shared" si="247"/>
        <v>0</v>
      </c>
      <c r="O526" s="418">
        <f t="shared" si="247"/>
        <v>0</v>
      </c>
      <c r="P526" s="418">
        <f t="shared" si="247"/>
        <v>0</v>
      </c>
      <c r="Q526" s="418">
        <f t="shared" si="247"/>
        <v>0</v>
      </c>
      <c r="AI526" s="107"/>
    </row>
    <row r="527" spans="4:35" outlineLevel="1">
      <c r="D527" s="337" t="s">
        <v>332</v>
      </c>
      <c r="E527" s="338"/>
      <c r="F527" s="338"/>
      <c r="G527" s="338" t="s">
        <v>171</v>
      </c>
      <c r="H527" s="338"/>
      <c r="I527" s="339"/>
      <c r="J527" s="338"/>
      <c r="K527" s="338"/>
      <c r="L527" s="442">
        <f>SUM(L524:L526)</f>
        <v>16.278074666266871</v>
      </c>
      <c r="M527" s="442">
        <f t="shared" ref="M527:Q527" si="248">SUM(M524:M526)</f>
        <v>27.009843919873617</v>
      </c>
      <c r="N527" s="442">
        <f t="shared" si="248"/>
        <v>23.757673578738313</v>
      </c>
      <c r="O527" s="442">
        <f t="shared" si="248"/>
        <v>21.574401263687612</v>
      </c>
      <c r="P527" s="442">
        <f t="shared" si="248"/>
        <v>19.891905228262232</v>
      </c>
      <c r="Q527" s="442">
        <f t="shared" si="248"/>
        <v>18.178335913371701</v>
      </c>
      <c r="AI527" s="107"/>
    </row>
    <row r="528" spans="4:35" outlineLevel="1">
      <c r="L528" s="21"/>
      <c r="M528" s="21"/>
      <c r="N528" s="21"/>
      <c r="O528" s="21"/>
      <c r="P528" s="21"/>
      <c r="Q528" s="21"/>
      <c r="AI528" s="107"/>
    </row>
    <row r="529" spans="4:35" outlineLevel="1">
      <c r="D529" s="27" t="s">
        <v>333</v>
      </c>
      <c r="L529" s="21"/>
      <c r="M529" s="21"/>
      <c r="N529" s="21"/>
      <c r="O529" s="21"/>
      <c r="P529" s="21"/>
      <c r="Q529" s="21"/>
      <c r="AI529" s="107"/>
    </row>
    <row r="530" spans="4:35" outlineLevel="1">
      <c r="D530" s="786"/>
      <c r="E530" s="787" t="s">
        <v>334</v>
      </c>
      <c r="F530" s="787"/>
      <c r="G530" s="787" t="s">
        <v>171</v>
      </c>
      <c r="H530" s="787"/>
      <c r="I530" s="816">
        <f>'Central Inputs'!C36</f>
        <v>1</v>
      </c>
      <c r="J530" s="787"/>
      <c r="K530" s="787"/>
      <c r="L530" s="802">
        <f t="shared" ref="L530:Q530" si="249">L379</f>
        <v>54.342815065315094</v>
      </c>
      <c r="M530" s="802">
        <f t="shared" si="249"/>
        <v>63.110910631808387</v>
      </c>
      <c r="N530" s="802">
        <f t="shared" si="249"/>
        <v>52.370704673869106</v>
      </c>
      <c r="O530" s="802">
        <f t="shared" si="249"/>
        <v>48.581587814396002</v>
      </c>
      <c r="P530" s="802">
        <f t="shared" si="249"/>
        <v>48.581587814396002</v>
      </c>
      <c r="Q530" s="802">
        <f t="shared" si="249"/>
        <v>48.581587814396002</v>
      </c>
      <c r="AI530" s="107"/>
    </row>
    <row r="531" spans="4:35" outlineLevel="1">
      <c r="E531" s="10" t="s">
        <v>335</v>
      </c>
      <c r="G531" s="10" t="s">
        <v>171</v>
      </c>
      <c r="I531" s="290">
        <f>'Central Inputs'!C37</f>
        <v>1</v>
      </c>
      <c r="L531" s="418">
        <f t="shared" ref="L531:Q531" si="250">L418</f>
        <v>51.680653397333337</v>
      </c>
      <c r="M531" s="418">
        <f t="shared" si="250"/>
        <v>129.20163349333333</v>
      </c>
      <c r="N531" s="418">
        <f t="shared" si="250"/>
        <v>129.20163349333333</v>
      </c>
      <c r="O531" s="418">
        <f t="shared" si="250"/>
        <v>129.20163349333333</v>
      </c>
      <c r="P531" s="418">
        <f t="shared" si="250"/>
        <v>129.20163349333333</v>
      </c>
      <c r="Q531" s="418">
        <f t="shared" si="250"/>
        <v>129.20163349333333</v>
      </c>
      <c r="AI531" s="107"/>
    </row>
    <row r="532" spans="4:35" outlineLevel="1">
      <c r="E532" s="10" t="s">
        <v>336</v>
      </c>
      <c r="G532" s="10" t="s">
        <v>171</v>
      </c>
      <c r="I532" s="291">
        <v>0</v>
      </c>
      <c r="L532" s="418">
        <f t="shared" ref="L532:Q532" si="251">L454</f>
        <v>0</v>
      </c>
      <c r="M532" s="418">
        <f t="shared" si="251"/>
        <v>0</v>
      </c>
      <c r="N532" s="418">
        <f t="shared" si="251"/>
        <v>0</v>
      </c>
      <c r="O532" s="418">
        <f t="shared" si="251"/>
        <v>0</v>
      </c>
      <c r="P532" s="418">
        <f t="shared" si="251"/>
        <v>0</v>
      </c>
      <c r="Q532" s="418">
        <f t="shared" si="251"/>
        <v>0</v>
      </c>
      <c r="AI532" s="107"/>
    </row>
    <row r="533" spans="4:35" outlineLevel="1">
      <c r="D533" s="270" t="s">
        <v>337</v>
      </c>
      <c r="E533" s="268"/>
      <c r="F533" s="268"/>
      <c r="G533" s="268" t="s">
        <v>171</v>
      </c>
      <c r="H533" s="268"/>
      <c r="I533" s="269"/>
      <c r="J533" s="268"/>
      <c r="K533" s="268"/>
      <c r="L533" s="419">
        <f>SUMPRODUCT(L530:L532,$I$530:$I$532)</f>
        <v>106.02346846264842</v>
      </c>
      <c r="M533" s="419">
        <f>SUMPRODUCT(M530:M532,$I$530:$I$532)</f>
        <v>192.31254412514173</v>
      </c>
      <c r="N533" s="419">
        <f t="shared" ref="N533:Q533" si="252">SUMPRODUCT(N530:N532,$I$530:$I$532)</f>
        <v>181.57233816720245</v>
      </c>
      <c r="O533" s="419">
        <f t="shared" si="252"/>
        <v>177.78322130772932</v>
      </c>
      <c r="P533" s="419">
        <f t="shared" si="252"/>
        <v>177.78322130772932</v>
      </c>
      <c r="Q533" s="419">
        <f t="shared" si="252"/>
        <v>177.78322130772932</v>
      </c>
      <c r="AI533" s="107"/>
    </row>
    <row r="534" spans="4:35" outlineLevel="1">
      <c r="E534" s="288" t="s">
        <v>338</v>
      </c>
      <c r="F534" s="288"/>
      <c r="G534" s="288" t="s">
        <v>142</v>
      </c>
      <c r="H534" s="288"/>
      <c r="I534" s="289"/>
      <c r="J534" s="288"/>
      <c r="K534" s="288"/>
      <c r="L534" s="443">
        <v>0.1</v>
      </c>
      <c r="M534" s="443">
        <v>0.1</v>
      </c>
      <c r="N534" s="443">
        <v>0.1</v>
      </c>
      <c r="O534" s="443">
        <v>0.1</v>
      </c>
      <c r="P534" s="443">
        <v>0.1</v>
      </c>
      <c r="Q534" s="443">
        <v>0.1</v>
      </c>
      <c r="AI534" s="107"/>
    </row>
    <row r="535" spans="4:35" outlineLevel="1">
      <c r="D535" s="95" t="s">
        <v>333</v>
      </c>
      <c r="E535" s="62"/>
      <c r="F535" s="62"/>
      <c r="G535" s="62" t="s">
        <v>171</v>
      </c>
      <c r="H535" s="62"/>
      <c r="I535" s="212"/>
      <c r="J535" s="62"/>
      <c r="K535" s="62"/>
      <c r="L535" s="423">
        <f>L533*L534</f>
        <v>10.602346846264844</v>
      </c>
      <c r="M535" s="423">
        <f>M533*M534</f>
        <v>19.231254412514176</v>
      </c>
      <c r="N535" s="423">
        <f t="shared" ref="N535:Q535" si="253">N533*N534</f>
        <v>18.157233816720247</v>
      </c>
      <c r="O535" s="423">
        <f t="shared" si="253"/>
        <v>17.778322130772931</v>
      </c>
      <c r="P535" s="423">
        <f t="shared" si="253"/>
        <v>17.778322130772931</v>
      </c>
      <c r="Q535" s="423">
        <f t="shared" si="253"/>
        <v>17.778322130772931</v>
      </c>
      <c r="AI535" s="107"/>
    </row>
    <row r="536" spans="4:35" outlineLevel="1">
      <c r="L536" s="22"/>
      <c r="M536" s="22"/>
      <c r="N536" s="22"/>
      <c r="O536" s="22"/>
      <c r="P536" s="22"/>
      <c r="Q536" s="22"/>
      <c r="AI536" s="107"/>
    </row>
    <row r="537" spans="4:35" outlineLevel="1">
      <c r="D537" s="27" t="s">
        <v>339</v>
      </c>
      <c r="L537" s="21"/>
      <c r="M537" s="21"/>
      <c r="N537" s="21"/>
      <c r="O537" s="21"/>
      <c r="P537" s="21"/>
      <c r="Q537" s="21"/>
      <c r="AI537" s="107"/>
    </row>
    <row r="538" spans="4:35" outlineLevel="1">
      <c r="D538" s="786"/>
      <c r="E538" s="787" t="s">
        <v>268</v>
      </c>
      <c r="F538" s="787"/>
      <c r="G538" s="787" t="s">
        <v>171</v>
      </c>
      <c r="H538" s="787"/>
      <c r="I538" s="817"/>
      <c r="J538" s="787"/>
      <c r="K538" s="787"/>
      <c r="L538" s="802">
        <f>L535</f>
        <v>10.602346846264844</v>
      </c>
      <c r="M538" s="802">
        <f>M535</f>
        <v>19.231254412514176</v>
      </c>
      <c r="N538" s="802">
        <f t="shared" ref="N538:P538" si="254">N535</f>
        <v>18.157233816720247</v>
      </c>
      <c r="O538" s="802">
        <f t="shared" si="254"/>
        <v>17.778322130772931</v>
      </c>
      <c r="P538" s="802">
        <f t="shared" si="254"/>
        <v>17.778322130772931</v>
      </c>
      <c r="Q538" s="802">
        <f>Q535</f>
        <v>17.778322130772931</v>
      </c>
      <c r="AI538" s="107"/>
    </row>
    <row r="539" spans="4:35" outlineLevel="1">
      <c r="E539" s="10" t="s">
        <v>270</v>
      </c>
      <c r="G539" s="10" t="s">
        <v>171</v>
      </c>
      <c r="I539" s="132"/>
      <c r="L539" s="418">
        <f>L$517</f>
        <v>18.018854442894444</v>
      </c>
      <c r="M539" s="418">
        <f>M$517</f>
        <v>28.875861445531989</v>
      </c>
      <c r="N539" s="418">
        <f>N$517</f>
        <v>25.203059302987732</v>
      </c>
      <c r="O539" s="418">
        <f t="shared" ref="O539:Q539" si="255">O$517</f>
        <v>22.818868452881702</v>
      </c>
      <c r="P539" s="418">
        <f>P$517</f>
        <v>21.039321700430854</v>
      </c>
      <c r="Q539" s="418">
        <f t="shared" si="255"/>
        <v>19.226909281496447</v>
      </c>
      <c r="AI539" s="107"/>
    </row>
    <row r="540" spans="4:35" outlineLevel="1">
      <c r="E540" s="10" t="s">
        <v>271</v>
      </c>
      <c r="G540" s="10" t="s">
        <v>171</v>
      </c>
      <c r="I540" s="132"/>
      <c r="L540" s="418">
        <f t="shared" ref="L540:L541" si="256">L$527</f>
        <v>16.278074666266871</v>
      </c>
      <c r="M540" s="418">
        <f>M$527</f>
        <v>27.009843919873617</v>
      </c>
      <c r="N540" s="418">
        <f t="shared" ref="M540:Q541" si="257">N$527</f>
        <v>23.757673578738313</v>
      </c>
      <c r="O540" s="418">
        <f t="shared" si="257"/>
        <v>21.574401263687612</v>
      </c>
      <c r="P540" s="418">
        <f t="shared" si="257"/>
        <v>19.891905228262232</v>
      </c>
      <c r="Q540" s="418">
        <f t="shared" si="257"/>
        <v>18.178335913371701</v>
      </c>
      <c r="AI540" s="107"/>
    </row>
    <row r="541" spans="4:35" outlineLevel="1">
      <c r="D541" s="95"/>
      <c r="E541" s="62" t="s">
        <v>272</v>
      </c>
      <c r="F541" s="62"/>
      <c r="G541" s="62" t="s">
        <v>171</v>
      </c>
      <c r="H541" s="62"/>
      <c r="I541" s="199"/>
      <c r="J541" s="62"/>
      <c r="K541" s="62"/>
      <c r="L541" s="423">
        <f t="shared" si="256"/>
        <v>16.278074666266871</v>
      </c>
      <c r="M541" s="423">
        <f t="shared" si="257"/>
        <v>27.009843919873617</v>
      </c>
      <c r="N541" s="423">
        <f t="shared" si="257"/>
        <v>23.757673578738313</v>
      </c>
      <c r="O541" s="423">
        <f t="shared" si="257"/>
        <v>21.574401263687612</v>
      </c>
      <c r="P541" s="423">
        <f t="shared" si="257"/>
        <v>19.891905228262232</v>
      </c>
      <c r="Q541" s="423">
        <f t="shared" si="257"/>
        <v>18.178335913371701</v>
      </c>
      <c r="AI541" s="107"/>
    </row>
    <row r="542" spans="4:35" outlineLevel="1">
      <c r="I542" s="132"/>
      <c r="L542" s="418"/>
      <c r="M542" s="418"/>
      <c r="N542" s="418"/>
      <c r="O542" s="418"/>
      <c r="P542" s="418"/>
      <c r="Q542" s="418"/>
      <c r="AI542" s="107"/>
    </row>
    <row r="543" spans="4:35" outlineLevel="1">
      <c r="D543" s="27" t="s">
        <v>340</v>
      </c>
      <c r="I543" s="132"/>
      <c r="L543" s="418"/>
      <c r="M543" s="418"/>
      <c r="N543" s="418"/>
      <c r="O543" s="418"/>
      <c r="P543" s="418"/>
      <c r="Q543" s="418"/>
      <c r="S543" s="103"/>
      <c r="AI543" s="107"/>
    </row>
    <row r="544" spans="4:35" outlineLevel="1">
      <c r="D544" s="786"/>
      <c r="E544" s="787" t="s">
        <v>268</v>
      </c>
      <c r="F544" s="787"/>
      <c r="G544" s="787" t="s">
        <v>171</v>
      </c>
      <c r="H544" s="787"/>
      <c r="I544" s="817"/>
      <c r="J544" s="787"/>
      <c r="K544" s="787"/>
      <c r="L544" s="802">
        <f t="shared" ref="L544:Q546" si="258">L538-SUM(L383,L419,L467)</f>
        <v>2.3108216609644678</v>
      </c>
      <c r="M544" s="802">
        <f t="shared" si="258"/>
        <v>3.6543395730220407</v>
      </c>
      <c r="N544" s="802">
        <f t="shared" si="258"/>
        <v>3.212027999154591</v>
      </c>
      <c r="O544" s="802">
        <f t="shared" si="258"/>
        <v>2.9794768213708824</v>
      </c>
      <c r="P544" s="802">
        <f t="shared" si="258"/>
        <v>2.8660519872007928</v>
      </c>
      <c r="Q544" s="802">
        <f t="shared" si="258"/>
        <v>2.7821289675181138</v>
      </c>
      <c r="AI544" s="107"/>
    </row>
    <row r="545" spans="4:35" outlineLevel="1">
      <c r="E545" s="10" t="s">
        <v>270</v>
      </c>
      <c r="G545" s="10" t="s">
        <v>171</v>
      </c>
      <c r="I545" s="132"/>
      <c r="L545" s="418">
        <f t="shared" si="258"/>
        <v>0</v>
      </c>
      <c r="M545" s="418">
        <f t="shared" si="258"/>
        <v>0</v>
      </c>
      <c r="N545" s="418">
        <f t="shared" si="258"/>
        <v>0</v>
      </c>
      <c r="O545" s="418">
        <f t="shared" si="258"/>
        <v>0</v>
      </c>
      <c r="P545" s="418">
        <f t="shared" si="258"/>
        <v>0</v>
      </c>
      <c r="Q545" s="418">
        <f t="shared" si="258"/>
        <v>0</v>
      </c>
      <c r="R545" s="84"/>
      <c r="S545" s="84"/>
      <c r="T545" s="51"/>
      <c r="AI545" s="107"/>
    </row>
    <row r="546" spans="4:35" outlineLevel="1">
      <c r="E546" s="10" t="s">
        <v>271</v>
      </c>
      <c r="G546" s="10" t="s">
        <v>171</v>
      </c>
      <c r="I546" s="132"/>
      <c r="L546" s="418">
        <f t="shared" si="258"/>
        <v>0</v>
      </c>
      <c r="M546" s="418">
        <f t="shared" si="258"/>
        <v>0</v>
      </c>
      <c r="N546" s="418">
        <f t="shared" si="258"/>
        <v>0</v>
      </c>
      <c r="O546" s="418">
        <f t="shared" si="258"/>
        <v>0</v>
      </c>
      <c r="P546" s="418">
        <f t="shared" si="258"/>
        <v>0</v>
      </c>
      <c r="Q546" s="418">
        <f t="shared" si="258"/>
        <v>0</v>
      </c>
      <c r="AI546" s="107"/>
    </row>
    <row r="547" spans="4:35" outlineLevel="1">
      <c r="D547" s="95"/>
      <c r="E547" s="62" t="s">
        <v>272</v>
      </c>
      <c r="F547" s="62"/>
      <c r="G547" s="62" t="s">
        <v>171</v>
      </c>
      <c r="H547" s="62"/>
      <c r="I547" s="199"/>
      <c r="J547" s="62"/>
      <c r="K547" s="62"/>
      <c r="L547" s="423">
        <f>L546</f>
        <v>0</v>
      </c>
      <c r="M547" s="423">
        <f t="shared" ref="M547:Q547" si="259">M546</f>
        <v>0</v>
      </c>
      <c r="N547" s="423">
        <f t="shared" si="259"/>
        <v>0</v>
      </c>
      <c r="O547" s="423">
        <f t="shared" si="259"/>
        <v>0</v>
      </c>
      <c r="P547" s="423">
        <f t="shared" si="259"/>
        <v>0</v>
      </c>
      <c r="Q547" s="423">
        <f t="shared" si="259"/>
        <v>0</v>
      </c>
      <c r="AI547" s="107"/>
    </row>
    <row r="548" spans="4:35" outlineLevel="1">
      <c r="I548" s="132"/>
      <c r="L548" s="418"/>
      <c r="M548" s="418"/>
      <c r="N548" s="418"/>
      <c r="O548" s="418"/>
      <c r="P548" s="418"/>
      <c r="Q548" s="418"/>
      <c r="R548" s="234"/>
      <c r="S548" s="234"/>
      <c r="T548" s="234"/>
      <c r="U548" s="234"/>
      <c r="V548" s="234"/>
      <c r="W548" s="234"/>
      <c r="X548" s="234"/>
      <c r="Y548" s="234"/>
      <c r="Z548" s="234"/>
      <c r="AA548" s="234"/>
      <c r="AB548" s="234"/>
      <c r="AC548" s="234"/>
      <c r="AD548" s="234"/>
      <c r="AE548" s="234"/>
      <c r="AF548" s="234"/>
      <c r="AG548" s="234"/>
      <c r="AH548" s="234"/>
      <c r="AI548" s="234"/>
    </row>
    <row r="549" spans="4:35" outlineLevel="1">
      <c r="D549" s="27" t="s">
        <v>341</v>
      </c>
      <c r="I549" s="300" t="s">
        <v>342</v>
      </c>
      <c r="L549" s="222">
        <v>0</v>
      </c>
      <c r="M549" s="222">
        <v>0</v>
      </c>
      <c r="N549" s="222">
        <v>0</v>
      </c>
      <c r="O549" s="222">
        <v>0</v>
      </c>
      <c r="P549" s="222">
        <v>0</v>
      </c>
      <c r="Q549" s="222">
        <v>0</v>
      </c>
      <c r="S549" s="103"/>
      <c r="AI549" s="107"/>
    </row>
    <row r="550" spans="4:35" outlineLevel="1">
      <c r="D550" s="786"/>
      <c r="E550" s="787" t="s">
        <v>276</v>
      </c>
      <c r="F550" s="787"/>
      <c r="G550" s="787" t="s">
        <v>171</v>
      </c>
      <c r="H550" s="787"/>
      <c r="I550" s="817"/>
      <c r="J550" s="787"/>
      <c r="K550" s="787"/>
      <c r="L550" s="802">
        <f>MAX(L551*L549,L383+L419+L467)</f>
        <v>8.291525185300376</v>
      </c>
      <c r="M550" s="802">
        <f t="shared" ref="M550:Q550" si="260">MAX(M551*M549,M383+M419+M467)</f>
        <v>15.576914839492135</v>
      </c>
      <c r="N550" s="802">
        <f t="shared" si="260"/>
        <v>14.945205817565656</v>
      </c>
      <c r="O550" s="802">
        <f t="shared" si="260"/>
        <v>14.798845309402049</v>
      </c>
      <c r="P550" s="802">
        <f t="shared" si="260"/>
        <v>14.912270143572139</v>
      </c>
      <c r="Q550" s="802">
        <f t="shared" si="260"/>
        <v>14.996193163254818</v>
      </c>
      <c r="S550" s="230"/>
      <c r="AI550" s="107"/>
    </row>
    <row r="551" spans="4:35" outlineLevel="1">
      <c r="E551" s="10" t="s">
        <v>277</v>
      </c>
      <c r="G551" s="10" t="s">
        <v>171</v>
      </c>
      <c r="I551" s="298">
        <f>I245</f>
        <v>-32.671687783202081</v>
      </c>
      <c r="L551" s="418">
        <f>L539</f>
        <v>18.018854442894444</v>
      </c>
      <c r="M551" s="418">
        <f>M539</f>
        <v>28.875861445531989</v>
      </c>
      <c r="N551" s="418">
        <f>N539</f>
        <v>25.203059302987732</v>
      </c>
      <c r="O551" s="418">
        <f t="shared" ref="O551:Q551" si="261">O539</f>
        <v>22.818868452881702</v>
      </c>
      <c r="P551" s="418">
        <f t="shared" si="261"/>
        <v>21.039321700430854</v>
      </c>
      <c r="Q551" s="418">
        <f t="shared" si="261"/>
        <v>19.226909281496447</v>
      </c>
      <c r="S551" s="103"/>
      <c r="AI551" s="107"/>
    </row>
    <row r="552" spans="4:35" outlineLevel="1">
      <c r="E552" s="10" t="s">
        <v>278</v>
      </c>
      <c r="G552" s="10" t="s">
        <v>171</v>
      </c>
      <c r="I552" s="298">
        <f>I246</f>
        <v>-32.718532470859202</v>
      </c>
      <c r="L552" s="418">
        <f t="shared" ref="L552:Q553" si="262">L540</f>
        <v>16.278074666266871</v>
      </c>
      <c r="M552" s="418">
        <f>M540</f>
        <v>27.009843919873617</v>
      </c>
      <c r="N552" s="418">
        <f t="shared" si="262"/>
        <v>23.757673578738313</v>
      </c>
      <c r="O552" s="418">
        <f t="shared" si="262"/>
        <v>21.574401263687612</v>
      </c>
      <c r="P552" s="418">
        <f t="shared" si="262"/>
        <v>19.891905228262232</v>
      </c>
      <c r="Q552" s="418">
        <f t="shared" si="262"/>
        <v>18.178335913371701</v>
      </c>
      <c r="S552" s="103"/>
      <c r="AI552" s="107"/>
    </row>
    <row r="553" spans="4:35" outlineLevel="1">
      <c r="D553" s="95"/>
      <c r="E553" s="62" t="s">
        <v>279</v>
      </c>
      <c r="F553" s="62"/>
      <c r="G553" s="62" t="s">
        <v>171</v>
      </c>
      <c r="H553" s="62"/>
      <c r="I553" s="299">
        <f>I247</f>
        <v>-53.414019724529417</v>
      </c>
      <c r="J553" s="62"/>
      <c r="K553" s="62"/>
      <c r="L553" s="423">
        <f t="shared" si="262"/>
        <v>16.278074666266871</v>
      </c>
      <c r="M553" s="423">
        <f>M541</f>
        <v>27.009843919873617</v>
      </c>
      <c r="N553" s="423">
        <f t="shared" si="262"/>
        <v>23.757673578738313</v>
      </c>
      <c r="O553" s="423">
        <f t="shared" si="262"/>
        <v>21.574401263687612</v>
      </c>
      <c r="P553" s="423">
        <f t="shared" si="262"/>
        <v>19.891905228262232</v>
      </c>
      <c r="Q553" s="423">
        <f t="shared" si="262"/>
        <v>18.178335913371701</v>
      </c>
      <c r="S553" s="103"/>
      <c r="AI553" s="107"/>
    </row>
    <row r="554" spans="4:35" outlineLevel="1">
      <c r="I554" s="132"/>
      <c r="L554" s="418"/>
      <c r="M554" s="418"/>
      <c r="N554" s="418"/>
      <c r="O554" s="418"/>
      <c r="P554" s="418"/>
      <c r="Q554" s="418"/>
      <c r="AI554" s="107"/>
    </row>
    <row r="555" spans="4:35" outlineLevel="1">
      <c r="D555" s="27" t="s">
        <v>343</v>
      </c>
      <c r="I555" s="132"/>
      <c r="L555" s="418"/>
      <c r="M555" s="418"/>
      <c r="N555" s="418"/>
      <c r="O555" s="418"/>
      <c r="P555" s="418"/>
      <c r="Q555" s="418"/>
      <c r="AI555" s="107"/>
    </row>
    <row r="556" spans="4:35" outlineLevel="1">
      <c r="D556" s="786"/>
      <c r="E556" s="787" t="s">
        <v>276</v>
      </c>
      <c r="F556" s="787"/>
      <c r="G556" s="787" t="s">
        <v>171</v>
      </c>
      <c r="H556" s="787"/>
      <c r="I556" s="817"/>
      <c r="J556" s="787"/>
      <c r="K556" s="787"/>
      <c r="L556" s="802">
        <f t="shared" ref="L556:Q558" si="263">L550-SUM(L383,L419,L467)</f>
        <v>0</v>
      </c>
      <c r="M556" s="802">
        <f t="shared" si="263"/>
        <v>0</v>
      </c>
      <c r="N556" s="802">
        <f t="shared" si="263"/>
        <v>0</v>
      </c>
      <c r="O556" s="802">
        <f t="shared" si="263"/>
        <v>0</v>
      </c>
      <c r="P556" s="802">
        <f t="shared" si="263"/>
        <v>0</v>
      </c>
      <c r="Q556" s="802">
        <f t="shared" si="263"/>
        <v>0</v>
      </c>
      <c r="S556" s="103"/>
      <c r="AI556" s="107"/>
    </row>
    <row r="557" spans="4:35" outlineLevel="1">
      <c r="E557" s="10" t="s">
        <v>277</v>
      </c>
      <c r="G557" s="10" t="s">
        <v>171</v>
      </c>
      <c r="I557" s="132"/>
      <c r="L557" s="418">
        <f t="shared" si="263"/>
        <v>0</v>
      </c>
      <c r="M557" s="418">
        <f t="shared" si="263"/>
        <v>0</v>
      </c>
      <c r="N557" s="418">
        <f t="shared" si="263"/>
        <v>0</v>
      </c>
      <c r="O557" s="418">
        <f t="shared" si="263"/>
        <v>0</v>
      </c>
      <c r="P557" s="418">
        <f t="shared" si="263"/>
        <v>0</v>
      </c>
      <c r="Q557" s="418">
        <f t="shared" si="263"/>
        <v>0</v>
      </c>
      <c r="AI557" s="107"/>
    </row>
    <row r="558" spans="4:35" outlineLevel="1">
      <c r="E558" s="10" t="s">
        <v>278</v>
      </c>
      <c r="G558" s="10" t="s">
        <v>171</v>
      </c>
      <c r="I558" s="132"/>
      <c r="L558" s="418">
        <f t="shared" si="263"/>
        <v>0</v>
      </c>
      <c r="M558" s="418">
        <f t="shared" si="263"/>
        <v>0</v>
      </c>
      <c r="N558" s="418">
        <f t="shared" si="263"/>
        <v>0</v>
      </c>
      <c r="O558" s="418">
        <f t="shared" si="263"/>
        <v>0</v>
      </c>
      <c r="P558" s="418">
        <f t="shared" si="263"/>
        <v>0</v>
      </c>
      <c r="Q558" s="418">
        <f t="shared" si="263"/>
        <v>0</v>
      </c>
      <c r="AI558" s="107"/>
    </row>
    <row r="559" spans="4:35" outlineLevel="1">
      <c r="D559" s="95"/>
      <c r="E559" s="62" t="s">
        <v>279</v>
      </c>
      <c r="F559" s="62"/>
      <c r="G559" s="62" t="s">
        <v>171</v>
      </c>
      <c r="H559" s="62"/>
      <c r="I559" s="199"/>
      <c r="J559" s="62"/>
      <c r="K559" s="62"/>
      <c r="L559" s="423">
        <f>L558</f>
        <v>0</v>
      </c>
      <c r="M559" s="423">
        <f t="shared" ref="M559:Q559" si="264">M558</f>
        <v>0</v>
      </c>
      <c r="N559" s="423">
        <f t="shared" si="264"/>
        <v>0</v>
      </c>
      <c r="O559" s="423">
        <f t="shared" si="264"/>
        <v>0</v>
      </c>
      <c r="P559" s="423">
        <f t="shared" si="264"/>
        <v>0</v>
      </c>
      <c r="Q559" s="423">
        <f t="shared" si="264"/>
        <v>0</v>
      </c>
      <c r="AI559" s="107"/>
    </row>
    <row r="560" spans="4:35" outlineLevel="1">
      <c r="I560" s="132"/>
      <c r="L560" s="22"/>
      <c r="M560" s="22"/>
      <c r="N560" s="22"/>
      <c r="O560" s="22"/>
      <c r="P560" s="22"/>
      <c r="Q560" s="22"/>
      <c r="AI560" s="107"/>
    </row>
    <row r="561" spans="4:35" outlineLevel="1">
      <c r="D561" s="27" t="s">
        <v>344</v>
      </c>
      <c r="I561" s="132"/>
      <c r="L561" s="22"/>
      <c r="M561" s="22"/>
      <c r="N561" s="22"/>
      <c r="O561" s="22"/>
      <c r="P561" s="22"/>
      <c r="Q561" s="22"/>
      <c r="AI561" s="107"/>
    </row>
    <row r="562" spans="4:35" outlineLevel="1">
      <c r="D562" s="786"/>
      <c r="E562" s="787" t="s">
        <v>179</v>
      </c>
      <c r="F562" s="787"/>
      <c r="G562" s="787" t="s">
        <v>142</v>
      </c>
      <c r="H562" s="786"/>
      <c r="I562" s="818"/>
      <c r="J562" s="819"/>
      <c r="K562" s="819"/>
      <c r="L562" s="805">
        <f>'Central Inputs'!C63</f>
        <v>0.75269980636994116</v>
      </c>
      <c r="M562" s="805">
        <f>'Central Inputs'!D63</f>
        <v>0.73346463112055171</v>
      </c>
      <c r="N562" s="805">
        <f>'Central Inputs'!E63</f>
        <v>0.71472100902919888</v>
      </c>
      <c r="O562" s="805">
        <f>'Central Inputs'!F63</f>
        <v>0.67865849894566399</v>
      </c>
      <c r="P562" s="805">
        <f>'Central Inputs'!G63</f>
        <v>0.64441558646328478</v>
      </c>
      <c r="Q562" s="805">
        <f>'Central Inputs'!H63</f>
        <v>0.61190046057327496</v>
      </c>
      <c r="AI562" s="107"/>
    </row>
    <row r="563" spans="4:35" outlineLevel="1">
      <c r="E563" s="10" t="s">
        <v>189</v>
      </c>
      <c r="G563" s="10" t="s">
        <v>142</v>
      </c>
      <c r="H563" s="27"/>
      <c r="I563" s="214"/>
      <c r="J563" s="185"/>
      <c r="K563" s="185"/>
      <c r="L563" s="385">
        <f>'Central Inputs'!C64</f>
        <v>0.7935589063906342</v>
      </c>
      <c r="M563" s="385">
        <f>'Central Inputs'!D64</f>
        <v>0.73659502795672027</v>
      </c>
      <c r="N563" s="385">
        <f>'Central Inputs'!E64</f>
        <v>0.68372017608416469</v>
      </c>
      <c r="O563" s="385">
        <f>'Central Inputs'!F64</f>
        <v>0.58908453477106415</v>
      </c>
      <c r="P563" s="385">
        <f>'Central Inputs'!G64</f>
        <v>0.50754767994987982</v>
      </c>
      <c r="Q563" s="385">
        <f>'Central Inputs'!H64</f>
        <v>0.43729657157375296</v>
      </c>
      <c r="AI563" s="107"/>
    </row>
    <row r="564" spans="4:35" outlineLevel="1">
      <c r="E564" s="10" t="s">
        <v>190</v>
      </c>
      <c r="G564" s="10" t="s">
        <v>142</v>
      </c>
      <c r="H564" s="27"/>
      <c r="I564" s="214"/>
      <c r="J564" s="185"/>
      <c r="K564" s="185"/>
      <c r="L564" s="385">
        <f>'Central Inputs'!C65</f>
        <v>0.8653272143179267</v>
      </c>
      <c r="M564" s="385">
        <f>'Central Inputs'!D65</f>
        <v>0.81630099329019024</v>
      </c>
      <c r="N564" s="385">
        <f>'Central Inputs'!E65</f>
        <v>0.7700524155729731</v>
      </c>
      <c r="O564" s="385">
        <f>'Central Inputs'!F65</f>
        <v>0.68526762237239192</v>
      </c>
      <c r="P564" s="385">
        <f>'Central Inputs'!G65</f>
        <v>0.60981785755778961</v>
      </c>
      <c r="Q564" s="385">
        <f>'Central Inputs'!H65</f>
        <v>0.54267530998901425</v>
      </c>
      <c r="AI564" s="107"/>
    </row>
    <row r="565" spans="4:35" outlineLevel="1">
      <c r="D565" s="95"/>
      <c r="E565" s="62" t="s">
        <v>345</v>
      </c>
      <c r="F565" s="62"/>
      <c r="G565" s="62" t="s">
        <v>142</v>
      </c>
      <c r="H565" s="95"/>
      <c r="I565" s="217"/>
      <c r="J565" s="186"/>
      <c r="K565" s="186"/>
      <c r="L565" s="363">
        <f>'Central Inputs'!C66</f>
        <v>0.99907109476106826</v>
      </c>
      <c r="M565" s="363">
        <f>'Central Inputs'!D66</f>
        <v>0.97097030600816714</v>
      </c>
      <c r="N565" s="363">
        <f>'Central Inputs'!E66</f>
        <v>0.94365990577984249</v>
      </c>
      <c r="O565" s="363">
        <f>'Central Inputs'!F66</f>
        <v>0.89132197142525305</v>
      </c>
      <c r="P565" s="363">
        <f>'Central Inputs'!G66</f>
        <v>0.84188684067154518</v>
      </c>
      <c r="Q565" s="363">
        <f>'Central Inputs'!H66</f>
        <v>0.79519351616853307</v>
      </c>
      <c r="AI565" s="107"/>
    </row>
    <row r="566" spans="4:35" outlineLevel="1">
      <c r="E566" s="103" t="s">
        <v>346</v>
      </c>
      <c r="G566" s="10" t="s">
        <v>142</v>
      </c>
      <c r="I566" s="132"/>
      <c r="L566" s="444">
        <f t="shared" ref="L566:Q566" si="265">L40/L28</f>
        <v>7.6454442252283414E-2</v>
      </c>
      <c r="M566" s="444">
        <f>M40/M28</f>
        <v>7.6454442252283414E-2</v>
      </c>
      <c r="N566" s="444">
        <f t="shared" si="265"/>
        <v>7.6454442252283414E-2</v>
      </c>
      <c r="O566" s="444">
        <f t="shared" si="265"/>
        <v>7.6454442252283414E-2</v>
      </c>
      <c r="P566" s="444">
        <f t="shared" si="265"/>
        <v>7.6454442252283414E-2</v>
      </c>
      <c r="Q566" s="444">
        <f t="shared" si="265"/>
        <v>7.6454442252283414E-2</v>
      </c>
      <c r="AI566" s="107"/>
    </row>
    <row r="567" spans="4:35" outlineLevel="1">
      <c r="E567" s="103"/>
      <c r="I567" s="132"/>
      <c r="L567" s="444"/>
      <c r="M567" s="444"/>
      <c r="N567" s="444"/>
      <c r="O567" s="444"/>
      <c r="P567" s="444"/>
      <c r="Q567" s="444"/>
      <c r="AI567" s="107"/>
    </row>
    <row r="568" spans="4:35" outlineLevel="1">
      <c r="E568" s="10" t="s">
        <v>347</v>
      </c>
      <c r="I568" s="132"/>
      <c r="L568" s="444"/>
      <c r="M568" s="444"/>
      <c r="N568" s="444"/>
      <c r="O568" s="444"/>
      <c r="P568" s="444"/>
      <c r="Q568" s="444"/>
      <c r="AI568" s="107"/>
    </row>
    <row r="569" spans="4:35" outlineLevel="1">
      <c r="E569" s="315" t="s">
        <v>348</v>
      </c>
      <c r="G569" s="10" t="s">
        <v>142</v>
      </c>
      <c r="I569" s="132"/>
      <c r="L569" s="444">
        <f>MAX(0,L566-L563)</f>
        <v>0</v>
      </c>
      <c r="M569" s="444">
        <f t="shared" ref="M569:Q569" si="266">MAX(0,M566-M563)</f>
        <v>0</v>
      </c>
      <c r="N569" s="444">
        <f t="shared" si="266"/>
        <v>0</v>
      </c>
      <c r="O569" s="444">
        <f t="shared" si="266"/>
        <v>0</v>
      </c>
      <c r="P569" s="444">
        <f t="shared" si="266"/>
        <v>0</v>
      </c>
      <c r="Q569" s="444">
        <f t="shared" si="266"/>
        <v>0</v>
      </c>
      <c r="S569" s="103"/>
      <c r="AI569" s="107"/>
    </row>
    <row r="570" spans="4:35" outlineLevel="1">
      <c r="E570" s="315" t="s">
        <v>349</v>
      </c>
      <c r="G570" s="10" t="s">
        <v>142</v>
      </c>
      <c r="I570" s="132"/>
      <c r="L570" s="444">
        <f>1-L569</f>
        <v>1</v>
      </c>
      <c r="M570" s="444">
        <f t="shared" ref="M570:Q570" si="267">1-M569</f>
        <v>1</v>
      </c>
      <c r="N570" s="444">
        <f t="shared" si="267"/>
        <v>1</v>
      </c>
      <c r="O570" s="444">
        <f t="shared" si="267"/>
        <v>1</v>
      </c>
      <c r="P570" s="444">
        <f t="shared" si="267"/>
        <v>1</v>
      </c>
      <c r="Q570" s="444">
        <f t="shared" si="267"/>
        <v>1</v>
      </c>
      <c r="AI570" s="107"/>
    </row>
    <row r="571" spans="4:35" outlineLevel="1">
      <c r="E571" s="10" t="s">
        <v>350</v>
      </c>
      <c r="I571" s="132"/>
      <c r="L571" s="444"/>
      <c r="M571" s="444"/>
      <c r="N571" s="444"/>
      <c r="O571" s="444"/>
      <c r="P571" s="444"/>
      <c r="Q571" s="444"/>
      <c r="AI571" s="107"/>
    </row>
    <row r="572" spans="4:35" outlineLevel="1">
      <c r="E572" s="315" t="s">
        <v>348</v>
      </c>
      <c r="G572" s="10" t="s">
        <v>142</v>
      </c>
      <c r="I572" s="132"/>
      <c r="L572" s="444">
        <f>1-L573</f>
        <v>0.81501101927833097</v>
      </c>
      <c r="M572" s="444">
        <f t="shared" ref="M572:Q572" si="268">1-M573</f>
        <v>0.79418348663738692</v>
      </c>
      <c r="N572" s="444">
        <f t="shared" si="268"/>
        <v>0.77388819970312506</v>
      </c>
      <c r="O572" s="444">
        <f t="shared" si="268"/>
        <v>0.73484030457656324</v>
      </c>
      <c r="P572" s="444">
        <f t="shared" si="268"/>
        <v>0.69776263992308518</v>
      </c>
      <c r="Q572" s="444">
        <f t="shared" si="268"/>
        <v>0.66255579428646527</v>
      </c>
      <c r="AI572" s="107"/>
    </row>
    <row r="573" spans="4:35" outlineLevel="1">
      <c r="E573" s="315" t="s">
        <v>349</v>
      </c>
      <c r="G573" s="10" t="s">
        <v>142</v>
      </c>
      <c r="I573" s="132"/>
      <c r="L573" s="444">
        <f>((1-L562)-L566*L570)/(1-L566)</f>
        <v>0.18498898072166903</v>
      </c>
      <c r="M573" s="444">
        <f t="shared" ref="M573:Q573" si="269">((1-M562)-M566*M570)/(1-M566)</f>
        <v>0.20581651336261306</v>
      </c>
      <c r="N573" s="444">
        <f t="shared" si="269"/>
        <v>0.22611180029687494</v>
      </c>
      <c r="O573" s="444">
        <f t="shared" si="269"/>
        <v>0.26515969542343676</v>
      </c>
      <c r="P573" s="444">
        <f t="shared" si="269"/>
        <v>0.30223736007691487</v>
      </c>
      <c r="Q573" s="444">
        <f t="shared" si="269"/>
        <v>0.33744420571353467</v>
      </c>
      <c r="AI573" s="107"/>
    </row>
    <row r="574" spans="4:35" outlineLevel="1">
      <c r="E574" s="315"/>
      <c r="I574" s="132"/>
      <c r="L574" s="444"/>
      <c r="M574" s="444"/>
      <c r="N574" s="444"/>
      <c r="O574" s="444"/>
      <c r="P574" s="444"/>
      <c r="Q574" s="444"/>
      <c r="AI574" s="107"/>
    </row>
    <row r="575" spans="4:35" outlineLevel="1">
      <c r="D575" s="27" t="s">
        <v>351</v>
      </c>
      <c r="I575" s="132"/>
      <c r="L575" s="22"/>
      <c r="M575" s="22"/>
      <c r="N575" s="22"/>
      <c r="O575" s="22"/>
      <c r="P575" s="22"/>
      <c r="Q575" s="22"/>
      <c r="R575" s="10" t="s">
        <v>352</v>
      </c>
      <c r="AI575" s="107"/>
    </row>
    <row r="576" spans="4:35" outlineLevel="1">
      <c r="D576" s="786"/>
      <c r="E576" s="787" t="s">
        <v>179</v>
      </c>
      <c r="F576" s="787"/>
      <c r="G576" s="787" t="s">
        <v>171</v>
      </c>
      <c r="H576" s="787"/>
      <c r="I576" s="817"/>
      <c r="J576" s="787"/>
      <c r="K576" s="808"/>
      <c r="L576" s="802">
        <f>L562*L544+(1-L562)*L556</f>
        <v>1.7393550167634209</v>
      </c>
      <c r="M576" s="802">
        <f>M562*M544+(1-M562)*M556</f>
        <v>2.6803288269158454</v>
      </c>
      <c r="N576" s="802">
        <f t="shared" ref="M576:Q579" si="270">N562*N544+(1-N562)*N556</f>
        <v>2.295703892585808</v>
      </c>
      <c r="O576" s="802">
        <f t="shared" si="270"/>
        <v>2.0220472672349614</v>
      </c>
      <c r="P576" s="802">
        <f t="shared" si="270"/>
        <v>1.8469285721662616</v>
      </c>
      <c r="Q576" s="802">
        <f t="shared" si="270"/>
        <v>1.7023859965985837</v>
      </c>
      <c r="R576" s="84">
        <f>Q28</f>
        <v>17.101190568736339</v>
      </c>
      <c r="S576" s="230"/>
      <c r="AI576" s="107"/>
    </row>
    <row r="577" spans="4:35" outlineLevel="1">
      <c r="E577" s="10" t="s">
        <v>189</v>
      </c>
      <c r="G577" s="10" t="s">
        <v>171</v>
      </c>
      <c r="I577" s="132"/>
      <c r="L577" s="418">
        <f>L563*L545+(1-L563)*L557</f>
        <v>0</v>
      </c>
      <c r="M577" s="418">
        <f t="shared" si="270"/>
        <v>0</v>
      </c>
      <c r="N577" s="418">
        <f t="shared" si="270"/>
        <v>0</v>
      </c>
      <c r="O577" s="418">
        <f t="shared" si="270"/>
        <v>0</v>
      </c>
      <c r="P577" s="418">
        <f t="shared" si="270"/>
        <v>0</v>
      </c>
      <c r="Q577" s="418">
        <f t="shared" si="270"/>
        <v>0</v>
      </c>
      <c r="R577" s="84">
        <f>Q29</f>
        <v>8.3254265043569742</v>
      </c>
      <c r="AI577" s="107"/>
    </row>
    <row r="578" spans="4:35" outlineLevel="1">
      <c r="E578" s="10" t="s">
        <v>190</v>
      </c>
      <c r="G578" s="10" t="s">
        <v>171</v>
      </c>
      <c r="I578" s="132"/>
      <c r="L578" s="418">
        <f>L564*L546+(1-L564)*L558</f>
        <v>0</v>
      </c>
      <c r="M578" s="418">
        <f t="shared" si="270"/>
        <v>0</v>
      </c>
      <c r="N578" s="418">
        <f t="shared" si="270"/>
        <v>0</v>
      </c>
      <c r="O578" s="418">
        <f t="shared" si="270"/>
        <v>0</v>
      </c>
      <c r="P578" s="418">
        <f t="shared" si="270"/>
        <v>0</v>
      </c>
      <c r="Q578" s="418">
        <f t="shared" si="270"/>
        <v>0</v>
      </c>
      <c r="R578" s="84">
        <f>Q30-R579</f>
        <v>1.4612998317869721</v>
      </c>
      <c r="AI578" s="107"/>
    </row>
    <row r="579" spans="4:35" outlineLevel="1">
      <c r="D579" s="95"/>
      <c r="E579" s="62" t="s">
        <v>345</v>
      </c>
      <c r="F579" s="62"/>
      <c r="G579" s="62" t="s">
        <v>171</v>
      </c>
      <c r="H579" s="62"/>
      <c r="I579" s="199"/>
      <c r="J579" s="62"/>
      <c r="K579" s="62"/>
      <c r="L579" s="423">
        <f>L565*L547+(1-L565)*L559</f>
        <v>0</v>
      </c>
      <c r="M579" s="423">
        <f t="shared" si="270"/>
        <v>0</v>
      </c>
      <c r="N579" s="423">
        <f t="shared" si="270"/>
        <v>0</v>
      </c>
      <c r="O579" s="423">
        <f t="shared" si="270"/>
        <v>0</v>
      </c>
      <c r="P579" s="423">
        <f t="shared" si="270"/>
        <v>0</v>
      </c>
      <c r="Q579" s="423">
        <f t="shared" si="270"/>
        <v>0</v>
      </c>
      <c r="R579" s="84">
        <f>$Q$34</f>
        <v>2.338079730859155</v>
      </c>
      <c r="AI579" s="107"/>
    </row>
    <row r="580" spans="4:35" outlineLevel="1">
      <c r="E580" s="10" t="s">
        <v>107</v>
      </c>
      <c r="G580" s="10" t="s">
        <v>171</v>
      </c>
      <c r="I580" s="132"/>
      <c r="L580" s="418">
        <f>SUMPRODUCT(L576:L579,$R$576:$R$579)/SUM($R$576:$R$579)</f>
        <v>1.0177597013743813</v>
      </c>
      <c r="M580" s="418">
        <f>SUMPRODUCT(M576:M579,$R$576:$R$579)/SUM($R$576:$R$579)</f>
        <v>1.5683576039255807</v>
      </c>
      <c r="N580" s="418">
        <f t="shared" ref="N580:P580" si="271">SUMPRODUCT(N576:N579,$R$576:$R$579)/SUM($R$576:$R$579)</f>
        <v>1.3432996056836242</v>
      </c>
      <c r="O580" s="418">
        <f t="shared" si="271"/>
        <v>1.1831731895052524</v>
      </c>
      <c r="P580" s="418">
        <f t="shared" si="271"/>
        <v>1.0807048900031542</v>
      </c>
      <c r="Q580" s="418">
        <f>SUMPRODUCT(Q576:Q579,$R$576:$R$579)/SUM($R$576:$R$579)</f>
        <v>0.99612778692308002</v>
      </c>
      <c r="AI580" s="107"/>
    </row>
    <row r="581" spans="4:35" outlineLevel="1">
      <c r="E581" s="10" t="s">
        <v>353</v>
      </c>
      <c r="G581" s="10" t="s">
        <v>210</v>
      </c>
      <c r="I581" s="132"/>
      <c r="L581" s="418">
        <f t="shared" ref="L581:Q581" si="272">L580*L32</f>
        <v>29.745041608358846</v>
      </c>
      <c r="M581" s="418">
        <f t="shared" si="272"/>
        <v>45.836814055965391</v>
      </c>
      <c r="N581" s="418">
        <f t="shared" si="272"/>
        <v>39.25926975649972</v>
      </c>
      <c r="O581" s="418">
        <f t="shared" si="272"/>
        <v>34.579415655977613</v>
      </c>
      <c r="P581" s="418">
        <f t="shared" si="272"/>
        <v>31.584677479459348</v>
      </c>
      <c r="Q581" s="418">
        <f t="shared" si="272"/>
        <v>29.112827349380513</v>
      </c>
      <c r="AI581" s="107"/>
    </row>
    <row r="582" spans="4:35" outlineLevel="1">
      <c r="I582" s="132"/>
      <c r="L582" s="418"/>
      <c r="M582" s="418"/>
      <c r="N582" s="418"/>
      <c r="O582" s="418"/>
      <c r="P582" s="418"/>
      <c r="Q582" s="418"/>
      <c r="AI582" s="107"/>
    </row>
    <row r="583" spans="4:35" outlineLevel="1">
      <c r="D583" s="786" t="s">
        <v>212</v>
      </c>
      <c r="E583" s="787"/>
      <c r="F583" s="787"/>
      <c r="G583" s="787" t="s">
        <v>210</v>
      </c>
      <c r="H583" s="787"/>
      <c r="I583" s="817"/>
      <c r="J583" s="787"/>
      <c r="K583" s="787"/>
      <c r="L583" s="803">
        <f t="shared" ref="L583:Q583" si="273">L579*L34</f>
        <v>0</v>
      </c>
      <c r="M583" s="803">
        <f t="shared" si="273"/>
        <v>0</v>
      </c>
      <c r="N583" s="803">
        <f t="shared" si="273"/>
        <v>0</v>
      </c>
      <c r="O583" s="803">
        <f t="shared" si="273"/>
        <v>0</v>
      </c>
      <c r="P583" s="803">
        <f t="shared" si="273"/>
        <v>0</v>
      </c>
      <c r="Q583" s="803">
        <f t="shared" si="273"/>
        <v>0</v>
      </c>
      <c r="S583" s="103"/>
      <c r="AI583" s="107"/>
    </row>
    <row r="584" spans="4:35" outlineLevel="1">
      <c r="D584" s="27" t="s">
        <v>213</v>
      </c>
      <c r="G584" s="10" t="s">
        <v>210</v>
      </c>
      <c r="I584" s="132"/>
      <c r="L584" s="22">
        <f t="shared" ref="L584:Q584" si="274">L556*L40+L577*L29+L578*(L30-L34)</f>
        <v>0</v>
      </c>
      <c r="M584" s="22">
        <f t="shared" si="274"/>
        <v>0</v>
      </c>
      <c r="N584" s="22">
        <f t="shared" si="274"/>
        <v>0</v>
      </c>
      <c r="O584" s="22">
        <f t="shared" si="274"/>
        <v>0</v>
      </c>
      <c r="P584" s="22">
        <f t="shared" si="274"/>
        <v>0</v>
      </c>
      <c r="Q584" s="22">
        <f t="shared" si="274"/>
        <v>0</v>
      </c>
      <c r="S584" s="362"/>
      <c r="AI584" s="107"/>
    </row>
    <row r="585" spans="4:35" outlineLevel="1">
      <c r="D585" s="95" t="s">
        <v>214</v>
      </c>
      <c r="E585" s="62"/>
      <c r="F585" s="62"/>
      <c r="G585" s="62" t="s">
        <v>210</v>
      </c>
      <c r="H585" s="62"/>
      <c r="I585" s="199"/>
      <c r="J585" s="62"/>
      <c r="K585" s="62"/>
      <c r="L585" s="428">
        <f t="shared" ref="L585:Q585" si="275">(L544*L572+L556*L573)*L35</f>
        <v>29.745041608358846</v>
      </c>
      <c r="M585" s="428">
        <f t="shared" si="275"/>
        <v>45.836814055965391</v>
      </c>
      <c r="N585" s="428">
        <f t="shared" si="275"/>
        <v>39.259269756499727</v>
      </c>
      <c r="O585" s="428">
        <f t="shared" si="275"/>
        <v>34.579415655977613</v>
      </c>
      <c r="P585" s="428">
        <f t="shared" si="275"/>
        <v>31.584677479459348</v>
      </c>
      <c r="Q585" s="428">
        <f t="shared" si="275"/>
        <v>29.112827349380513</v>
      </c>
      <c r="AI585" s="107"/>
    </row>
    <row r="586" spans="4:35" outlineLevel="1">
      <c r="L586" s="445" t="str">
        <f>IF(ROUND(SUMPRODUCT(L576:L579,$R$576:$R$579)-SUM(L583:L585),3)=0,"OK","FAIL")</f>
        <v>OK</v>
      </c>
      <c r="M586" s="445" t="str">
        <f t="shared" ref="M586:O586" si="276">IF(ROUND(SUMPRODUCT(M576:M579,$R$576:$R$579)-SUM(M583:M585),3)=0,"OK","FAIL")</f>
        <v>OK</v>
      </c>
      <c r="N586" s="445" t="str">
        <f t="shared" si="276"/>
        <v>OK</v>
      </c>
      <c r="O586" s="445" t="str">
        <f t="shared" si="276"/>
        <v>OK</v>
      </c>
      <c r="P586" s="445" t="str">
        <f>IF(ROUND(SUMPRODUCT(P576:P579,$R$576:$R$579)-SUM(P583:P585),3)=0,"OK","FAIL")</f>
        <v>OK</v>
      </c>
      <c r="Q586" s="445" t="str">
        <f>IF(ROUND(SUMPRODUCT(Q576:Q579,$R$576:$R$579)-SUM(Q583:Q585),3)=0,"OK","FAIL")</f>
        <v>OK</v>
      </c>
      <c r="AI586" s="107"/>
    </row>
    <row r="587" spans="4:35" outlineLevel="1">
      <c r="D587" s="27" t="s">
        <v>354</v>
      </c>
      <c r="I587" s="132"/>
      <c r="L587" s="22"/>
      <c r="M587" s="22"/>
      <c r="N587" s="22"/>
      <c r="O587" s="223"/>
      <c r="P587" s="22"/>
      <c r="Q587" s="22"/>
      <c r="S587" s="103"/>
      <c r="T587" s="51"/>
      <c r="U587" s="51"/>
      <c r="V587" s="51"/>
      <c r="W587" s="51"/>
      <c r="X587" s="51"/>
      <c r="Y587" s="51"/>
      <c r="AI587" s="107"/>
    </row>
    <row r="588" spans="4:35" outlineLevel="1">
      <c r="D588" s="786"/>
      <c r="E588" s="787" t="s">
        <v>268</v>
      </c>
      <c r="F588" s="787"/>
      <c r="G588" s="787" t="s">
        <v>171</v>
      </c>
      <c r="H588" s="787"/>
      <c r="I588" s="817"/>
      <c r="J588" s="787"/>
      <c r="K588" s="787"/>
      <c r="L588" s="803">
        <f t="shared" ref="L588:Q591" si="277">L236+L538</f>
        <v>3035.7828502998395</v>
      </c>
      <c r="M588" s="803">
        <f t="shared" si="277"/>
        <v>3532.5180830222766</v>
      </c>
      <c r="N588" s="803">
        <f t="shared" si="277"/>
        <v>2933.5534005610166</v>
      </c>
      <c r="O588" s="803">
        <f t="shared" si="277"/>
        <v>2722.2402110904513</v>
      </c>
      <c r="P588" s="803">
        <f t="shared" si="277"/>
        <v>2722.2402110904513</v>
      </c>
      <c r="Q588" s="803">
        <f t="shared" si="277"/>
        <v>2722.2402110904513</v>
      </c>
      <c r="S588" s="51"/>
      <c r="T588" s="230"/>
      <c r="W588" s="51"/>
      <c r="AI588" s="107"/>
    </row>
    <row r="589" spans="4:35" outlineLevel="1">
      <c r="E589" s="10" t="s">
        <v>270</v>
      </c>
      <c r="G589" s="10" t="s">
        <v>171</v>
      </c>
      <c r="I589" s="132"/>
      <c r="L589" s="22">
        <f t="shared" si="277"/>
        <v>3004.6597340813482</v>
      </c>
      <c r="M589" s="22">
        <f t="shared" si="277"/>
        <v>3503.6230662401736</v>
      </c>
      <c r="N589" s="22">
        <f t="shared" si="277"/>
        <v>2902.0596022321633</v>
      </c>
      <c r="O589" s="22">
        <f t="shared" si="277"/>
        <v>2688.7411335974398</v>
      </c>
      <c r="P589" s="22">
        <f t="shared" si="277"/>
        <v>2686.9615868449887</v>
      </c>
      <c r="Q589" s="22">
        <f t="shared" si="277"/>
        <v>2685.1491744260543</v>
      </c>
      <c r="S589" s="51"/>
      <c r="T589" s="207"/>
      <c r="W589" s="51"/>
      <c r="X589" s="51"/>
      <c r="Y589" s="51"/>
      <c r="AI589" s="107"/>
    </row>
    <row r="590" spans="4:35" outlineLevel="1">
      <c r="E590" s="10" t="s">
        <v>271</v>
      </c>
      <c r="G590" s="10" t="s">
        <v>171</v>
      </c>
      <c r="I590" s="132"/>
      <c r="L590" s="22">
        <f t="shared" si="277"/>
        <v>2989.5675922478513</v>
      </c>
      <c r="M590" s="22">
        <f t="shared" si="277"/>
        <v>3488.4056866576457</v>
      </c>
      <c r="N590" s="22">
        <f t="shared" si="277"/>
        <v>2887.2628544510444</v>
      </c>
      <c r="O590" s="22">
        <f t="shared" si="277"/>
        <v>2674.1453043513761</v>
      </c>
      <c r="P590" s="22">
        <f t="shared" si="277"/>
        <v>2672.4628083159505</v>
      </c>
      <c r="Q590" s="22">
        <f t="shared" si="277"/>
        <v>2670.7492390010598</v>
      </c>
      <c r="S590" s="51"/>
      <c r="T590" s="207"/>
      <c r="W590" s="51"/>
      <c r="X590" s="51"/>
      <c r="Y590" s="51"/>
      <c r="AI590" s="107"/>
    </row>
    <row r="591" spans="4:35" outlineLevel="1">
      <c r="E591" s="10" t="s">
        <v>272</v>
      </c>
      <c r="G591" s="10" t="s">
        <v>171</v>
      </c>
      <c r="I591" s="132"/>
      <c r="L591" s="22">
        <f t="shared" si="277"/>
        <v>2938.605166518028</v>
      </c>
      <c r="M591" s="22">
        <f t="shared" si="277"/>
        <v>3437.4432609278224</v>
      </c>
      <c r="N591" s="22">
        <f t="shared" si="277"/>
        <v>2836.3004287212211</v>
      </c>
      <c r="O591" s="22">
        <f t="shared" si="277"/>
        <v>2623.1828786215528</v>
      </c>
      <c r="P591" s="22">
        <f t="shared" si="277"/>
        <v>2621.5003825861272</v>
      </c>
      <c r="Q591" s="22">
        <f t="shared" si="277"/>
        <v>2619.7868132712365</v>
      </c>
      <c r="S591" s="51"/>
      <c r="T591" s="207"/>
      <c r="W591" s="51"/>
      <c r="X591" s="51"/>
      <c r="Y591" s="51"/>
      <c r="AI591" s="107"/>
    </row>
    <row r="592" spans="4:35" outlineLevel="1">
      <c r="E592" s="268" t="s">
        <v>276</v>
      </c>
      <c r="F592" s="268"/>
      <c r="G592" s="268" t="s">
        <v>171</v>
      </c>
      <c r="H592" s="268"/>
      <c r="I592" s="292"/>
      <c r="J592" s="272"/>
      <c r="K592" s="268"/>
      <c r="L592" s="424">
        <f t="shared" ref="L592:Q595" si="278">L244+L550</f>
        <v>2901.8612747746038</v>
      </c>
      <c r="M592" s="424">
        <f t="shared" si="278"/>
        <v>3376.0178793671334</v>
      </c>
      <c r="N592" s="424">
        <f t="shared" si="278"/>
        <v>2803.5067962844491</v>
      </c>
      <c r="O592" s="424">
        <f t="shared" si="278"/>
        <v>2601.6028729954032</v>
      </c>
      <c r="P592" s="424">
        <f t="shared" si="278"/>
        <v>2601.7162978295733</v>
      </c>
      <c r="Q592" s="424">
        <f t="shared" si="278"/>
        <v>2601.8002208492558</v>
      </c>
      <c r="S592" s="51"/>
      <c r="T592" s="207"/>
      <c r="W592" s="51"/>
      <c r="X592" s="51"/>
      <c r="Y592" s="51"/>
      <c r="AI592" s="107"/>
    </row>
    <row r="593" spans="3:35" outlineLevel="1">
      <c r="E593" s="10" t="s">
        <v>277</v>
      </c>
      <c r="G593" s="10" t="s">
        <v>171</v>
      </c>
      <c r="I593" s="132"/>
      <c r="J593" s="51"/>
      <c r="L593" s="22">
        <f t="shared" si="278"/>
        <v>2878.9169162489952</v>
      </c>
      <c r="M593" s="22">
        <f t="shared" si="278"/>
        <v>3356.645138189971</v>
      </c>
      <c r="N593" s="22">
        <f t="shared" si="278"/>
        <v>2781.0929619866688</v>
      </c>
      <c r="O593" s="22">
        <f t="shared" si="278"/>
        <v>2576.9512083556806</v>
      </c>
      <c r="P593" s="22">
        <f t="shared" si="278"/>
        <v>2575.1716616032295</v>
      </c>
      <c r="Q593" s="22">
        <f t="shared" si="278"/>
        <v>2573.3592491842951</v>
      </c>
      <c r="R593" s="51"/>
      <c r="S593" s="51"/>
      <c r="T593" s="207"/>
      <c r="W593" s="51"/>
      <c r="X593" s="51"/>
      <c r="Y593" s="51"/>
      <c r="Z593" s="51"/>
      <c r="AI593" s="107"/>
    </row>
    <row r="594" spans="3:35" outlineLevel="1">
      <c r="E594" s="10" t="s">
        <v>278</v>
      </c>
      <c r="G594" s="10" t="s">
        <v>171</v>
      </c>
      <c r="I594" s="132"/>
      <c r="L594" s="22">
        <f t="shared" si="278"/>
        <v>2877.1292917847109</v>
      </c>
      <c r="M594" s="22">
        <f t="shared" si="278"/>
        <v>3354.7322759766557</v>
      </c>
      <c r="N594" s="22">
        <f t="shared" si="278"/>
        <v>2779.6007315747624</v>
      </c>
      <c r="O594" s="22">
        <f t="shared" si="278"/>
        <v>2575.6598964788295</v>
      </c>
      <c r="P594" s="22">
        <f t="shared" si="278"/>
        <v>2573.9774004434039</v>
      </c>
      <c r="Q594" s="22">
        <f t="shared" si="278"/>
        <v>2572.2638311285132</v>
      </c>
      <c r="S594" s="51"/>
      <c r="T594" s="207"/>
      <c r="W594" s="51"/>
      <c r="X594" s="51"/>
      <c r="Y594" s="51"/>
      <c r="AI594" s="107"/>
    </row>
    <row r="595" spans="3:35" outlineLevel="1">
      <c r="D595" s="95"/>
      <c r="E595" s="62" t="s">
        <v>279</v>
      </c>
      <c r="F595" s="62"/>
      <c r="G595" s="62" t="s">
        <v>171</v>
      </c>
      <c r="H595" s="62"/>
      <c r="I595" s="199"/>
      <c r="J595" s="62"/>
      <c r="K595" s="62"/>
      <c r="L595" s="428">
        <f t="shared" si="278"/>
        <v>2856.433804531041</v>
      </c>
      <c r="M595" s="451">
        <f t="shared" si="278"/>
        <v>3334.0367887229859</v>
      </c>
      <c r="N595" s="428">
        <f t="shared" si="278"/>
        <v>2758.9052443210926</v>
      </c>
      <c r="O595" s="428">
        <f t="shared" si="278"/>
        <v>2554.9644092251597</v>
      </c>
      <c r="P595" s="428">
        <f t="shared" si="278"/>
        <v>2553.281913189734</v>
      </c>
      <c r="Q595" s="428">
        <f t="shared" si="278"/>
        <v>2551.5683438748433</v>
      </c>
      <c r="S595" s="51"/>
      <c r="T595" s="207"/>
      <c r="W595" s="51"/>
      <c r="Y595" s="51"/>
      <c r="AI595" s="107"/>
    </row>
    <row r="596" spans="3:35" outlineLevel="1">
      <c r="I596" s="132"/>
      <c r="L596" s="22" cm="1">
        <f t="array" ref="L596">SUMPRODUCT(L562:L565,L538:L541)+SUMPRODUCT((1-L562:L565),L550:L553)</f>
        <v>60.605883977491985</v>
      </c>
      <c r="M596" s="22" cm="1">
        <f t="array" ref="M596">SUMPRODUCT(M562:M565,M538:M541)+SUMPRODUCT((1-M562:M565),M550:M553)</f>
        <v>101.1527929516872</v>
      </c>
      <c r="N596" s="22" cm="1">
        <f t="array" ref="N596">SUMPRODUCT(N562:N565,N538:N541)+SUMPRODUCT((1-N562:N565),N550:N553)</f>
        <v>89.959316170615821</v>
      </c>
      <c r="O596" s="22">
        <f t="array" ref="O596">SUMPRODUCT(O562:O565,O538:O541)+SUMPRODUCT((1-O562:O565),O550:O553)</f>
        <v>82.788563556893948</v>
      </c>
      <c r="P596" s="22">
        <f t="array" ref="P596">SUMPRODUCT(P562:P565,P538:P541)+SUMPRODUCT((1-P562:P565),P550:P553)</f>
        <v>77.582330872693717</v>
      </c>
      <c r="Q596" s="22">
        <f t="array" ref="Q596">SUMPRODUCT(Q562:Q565,Q538:Q541)+SUMPRODUCT((1-Q562:Q565),Q550:Q553)</f>
        <v>72.28216026809325</v>
      </c>
      <c r="X596" s="51"/>
      <c r="AI596" s="107"/>
    </row>
    <row r="597" spans="3:35" outlineLevel="1">
      <c r="I597" s="132"/>
      <c r="L597" s="22" cm="1">
        <f t="array" ref="L597">SUMPRODUCT(L562:L565,L588:L591)+SUMPRODUCT(1-L562:L565,L592:L595)</f>
        <v>11894.31931821223</v>
      </c>
      <c r="M597" s="22" cm="1">
        <f t="array" ref="M597">SUMPRODUCT(M562:M565,M588:M591)+SUMPRODUCT(1-M562:M565,M592:M595)</f>
        <v>13854.005009297451</v>
      </c>
      <c r="N597" s="22" cm="1">
        <f t="array" ref="N597">SUMPRODUCT(N562:N565,N588:N591)+SUMPRODUCT(1-N562:N565,N592:N595)</f>
        <v>11454.700317170737</v>
      </c>
      <c r="O597" s="22" cm="1">
        <f t="array" ref="O597">SUMPRODUCT(O562:O565,O588:O591)+SUMPRODUCT(1-O562:O565,O592:O595)</f>
        <v>10585.197139867794</v>
      </c>
      <c r="P597" s="22" cm="1">
        <f t="array" ref="P597">SUMPRODUCT(P562:P565,P588:P591)+SUMPRODUCT(1-P562:P565,P592:P595)</f>
        <v>10556.043870616144</v>
      </c>
      <c r="Q597" s="22" cm="1">
        <f t="array" ref="Q597">SUMPRODUCT(Q562:Q565,Q588:Q591)+SUMPRODUCT(1-Q562:Q565,Q592:Q595)</f>
        <v>10529.266765375225</v>
      </c>
      <c r="S597" s="103"/>
      <c r="AI597" s="107"/>
    </row>
    <row r="598" spans="3:35" outlineLevel="1">
      <c r="I598" s="132"/>
      <c r="L598" s="22">
        <f t="shared" ref="L598:Q598" si="279">L597-L248</f>
        <v>60.60588397749234</v>
      </c>
      <c r="M598" s="22">
        <f t="shared" si="279"/>
        <v>101.15279295168511</v>
      </c>
      <c r="N598" s="22">
        <f t="shared" si="279"/>
        <v>89.959316170617967</v>
      </c>
      <c r="O598" s="22">
        <f t="shared" si="279"/>
        <v>82.788563556894587</v>
      </c>
      <c r="P598" s="22">
        <f t="shared" si="279"/>
        <v>77.582330872694001</v>
      </c>
      <c r="Q598" s="22">
        <f t="shared" si="279"/>
        <v>72.282160268092412</v>
      </c>
      <c r="S598" s="103"/>
      <c r="AI598" s="107"/>
    </row>
    <row r="599" spans="3:35" outlineLevel="1">
      <c r="C599" s="184" t="s">
        <v>280</v>
      </c>
      <c r="D599" s="321"/>
      <c r="E599" s="322"/>
      <c r="F599" s="322"/>
      <c r="G599" s="322"/>
      <c r="H599" s="322"/>
      <c r="I599" s="323"/>
      <c r="J599" s="322"/>
      <c r="K599" s="322"/>
      <c r="L599" s="411"/>
      <c r="M599" s="411"/>
      <c r="N599" s="411"/>
      <c r="O599" s="411"/>
      <c r="P599" s="411"/>
      <c r="Q599" s="411"/>
      <c r="R599" s="322"/>
      <c r="S599" s="322"/>
      <c r="T599" s="322"/>
      <c r="U599" s="322"/>
      <c r="V599" s="322"/>
      <c r="W599" s="322"/>
      <c r="X599" s="322"/>
      <c r="Y599" s="322"/>
      <c r="Z599" s="322"/>
      <c r="AA599" s="322"/>
      <c r="AB599" s="322"/>
      <c r="AC599" s="322"/>
      <c r="AD599" s="322"/>
      <c r="AE599" s="322"/>
      <c r="AF599" s="322"/>
      <c r="AG599" s="322"/>
      <c r="AH599" s="322"/>
      <c r="AI599" s="107"/>
    </row>
    <row r="600" spans="3:35" outlineLevel="1">
      <c r="L600" s="21"/>
      <c r="M600" s="21"/>
      <c r="N600" s="21"/>
      <c r="O600" s="21"/>
      <c r="P600" s="21"/>
      <c r="Q600" s="21"/>
      <c r="AI600" s="107"/>
    </row>
    <row r="601" spans="3:35" outlineLevel="1">
      <c r="D601" s="27" t="s">
        <v>249</v>
      </c>
      <c r="L601" s="21"/>
      <c r="M601" s="21"/>
      <c r="N601" s="21"/>
      <c r="O601" s="21"/>
      <c r="P601" s="21"/>
      <c r="Q601" s="21"/>
      <c r="AI601" s="107"/>
    </row>
    <row r="602" spans="3:35" outlineLevel="1">
      <c r="D602" s="786"/>
      <c r="E602" s="787" t="s">
        <v>281</v>
      </c>
      <c r="F602" s="787"/>
      <c r="G602" s="787" t="s">
        <v>142</v>
      </c>
      <c r="H602" s="787"/>
      <c r="I602" s="788"/>
      <c r="J602" s="787"/>
      <c r="K602" s="787"/>
      <c r="L602" s="798">
        <v>1</v>
      </c>
      <c r="M602" s="798">
        <v>1</v>
      </c>
      <c r="N602" s="798">
        <v>1</v>
      </c>
      <c r="O602" s="798">
        <v>1</v>
      </c>
      <c r="P602" s="798">
        <v>1</v>
      </c>
      <c r="Q602" s="798">
        <v>1</v>
      </c>
      <c r="S602" s="230"/>
      <c r="AI602" s="107"/>
    </row>
    <row r="603" spans="3:35" outlineLevel="1">
      <c r="E603" s="10" t="s">
        <v>282</v>
      </c>
      <c r="G603" s="10" t="s">
        <v>171</v>
      </c>
      <c r="H603" s="27"/>
      <c r="I603" s="203"/>
      <c r="L603" s="20">
        <f>L588-L593</f>
        <v>156.86593405084432</v>
      </c>
      <c r="M603" s="20">
        <f t="shared" ref="M603:Q603" si="280">M588-M593</f>
        <v>175.87294483230562</v>
      </c>
      <c r="N603" s="20">
        <f t="shared" si="280"/>
        <v>152.46043857434779</v>
      </c>
      <c r="O603" s="20">
        <f t="shared" si="280"/>
        <v>145.28900273477075</v>
      </c>
      <c r="P603" s="20">
        <f t="shared" si="280"/>
        <v>147.06854948722184</v>
      </c>
      <c r="Q603" s="20">
        <f t="shared" si="280"/>
        <v>148.88096190615624</v>
      </c>
      <c r="S603" s="230"/>
      <c r="AI603" s="107"/>
    </row>
    <row r="604" spans="3:35" outlineLevel="1">
      <c r="D604" s="95"/>
      <c r="E604" s="62" t="s">
        <v>283</v>
      </c>
      <c r="F604" s="62"/>
      <c r="G604" s="62" t="s">
        <v>171</v>
      </c>
      <c r="H604" s="95"/>
      <c r="I604" s="206"/>
      <c r="J604" s="62"/>
      <c r="K604" s="62"/>
      <c r="L604" s="382">
        <f>'Central Inputs'!$C$44</f>
        <v>30.771922839506175</v>
      </c>
      <c r="M604" s="382">
        <f>'Central Inputs'!$C$44</f>
        <v>30.771922839506175</v>
      </c>
      <c r="N604" s="382">
        <f>'Central Inputs'!$C$44</f>
        <v>30.771922839506175</v>
      </c>
      <c r="O604" s="382">
        <f>'Central Inputs'!$C$44</f>
        <v>30.771922839506175</v>
      </c>
      <c r="P604" s="382">
        <f>'Central Inputs'!$C$44</f>
        <v>30.771922839506175</v>
      </c>
      <c r="Q604" s="382">
        <f>'Central Inputs'!$C$44</f>
        <v>30.771922839506175</v>
      </c>
      <c r="AI604" s="107"/>
    </row>
    <row r="605" spans="3:35" outlineLevel="1">
      <c r="D605" s="786"/>
      <c r="E605" s="787" t="s">
        <v>284</v>
      </c>
      <c r="F605" s="787"/>
      <c r="G605" s="787"/>
      <c r="H605" s="786"/>
      <c r="I605" s="812"/>
      <c r="J605" s="787"/>
      <c r="K605" s="787"/>
      <c r="L605" s="793">
        <f t="shared" ref="L605:Q605" si="281">L256</f>
        <v>164.28244164747366</v>
      </c>
      <c r="M605" s="793">
        <f t="shared" si="281"/>
        <v>185.51755186532318</v>
      </c>
      <c r="N605" s="793">
        <f t="shared" si="281"/>
        <v>159.50626406061519</v>
      </c>
      <c r="O605" s="793">
        <f t="shared" si="281"/>
        <v>150.32954905687984</v>
      </c>
      <c r="P605" s="793">
        <f t="shared" si="281"/>
        <v>150.32954905687984</v>
      </c>
      <c r="Q605" s="793">
        <f t="shared" si="281"/>
        <v>150.32954905687984</v>
      </c>
      <c r="S605" s="230"/>
      <c r="AI605" s="107"/>
    </row>
    <row r="606" spans="3:35" outlineLevel="1">
      <c r="E606" s="10" t="s">
        <v>285</v>
      </c>
      <c r="H606" s="27"/>
      <c r="I606" s="203"/>
      <c r="L606" s="410">
        <f>L588-L593</f>
        <v>156.86593405084432</v>
      </c>
      <c r="M606" s="410">
        <f t="shared" ref="M606:Q606" si="282">M588-M593</f>
        <v>175.87294483230562</v>
      </c>
      <c r="N606" s="410">
        <f t="shared" si="282"/>
        <v>152.46043857434779</v>
      </c>
      <c r="O606" s="410">
        <f t="shared" si="282"/>
        <v>145.28900273477075</v>
      </c>
      <c r="P606" s="410">
        <f t="shared" si="282"/>
        <v>147.06854948722184</v>
      </c>
      <c r="Q606" s="410">
        <f t="shared" si="282"/>
        <v>148.88096190615624</v>
      </c>
      <c r="S606" s="230"/>
      <c r="AI606" s="107"/>
    </row>
    <row r="607" spans="3:35" outlineLevel="1">
      <c r="D607" s="95"/>
      <c r="E607" s="62" t="s">
        <v>172</v>
      </c>
      <c r="F607" s="62"/>
      <c r="G607" s="62"/>
      <c r="H607" s="95"/>
      <c r="I607" s="206"/>
      <c r="J607" s="62"/>
      <c r="K607" s="62"/>
      <c r="L607" s="363">
        <f>L$64+L$66*(L606-L605)</f>
        <v>0.18538451101341227</v>
      </c>
      <c r="M607" s="363">
        <f>M$64+M$66*(M606-M605)</f>
        <v>0.1847160811824958</v>
      </c>
      <c r="N607" s="363">
        <f t="shared" ref="N607" si="283">N$64+N$66*(N606-N605)</f>
        <v>0.18549571564652087</v>
      </c>
      <c r="O607" s="363">
        <f t="shared" ref="O607" si="284">O$64+O$66*(O606-O605)</f>
        <v>0.18609729939576836</v>
      </c>
      <c r="P607" s="363">
        <f t="shared" ref="P607" si="285">P$64+P$66*(P606-P605)</f>
        <v>0.18663116342150368</v>
      </c>
      <c r="Q607" s="363">
        <f>Q$64+Q$66*(Q606-Q605)</f>
        <v>0.187174887147184</v>
      </c>
      <c r="S607" s="230"/>
      <c r="AI607" s="107"/>
    </row>
    <row r="608" spans="3:35" outlineLevel="1">
      <c r="L608" s="410"/>
      <c r="M608" s="410"/>
      <c r="N608" s="410"/>
      <c r="O608" s="410"/>
      <c r="P608" s="410"/>
      <c r="Q608" s="410"/>
      <c r="AI608" s="107"/>
    </row>
    <row r="609" spans="4:35" outlineLevel="1">
      <c r="D609" s="27" t="s">
        <v>286</v>
      </c>
      <c r="L609" s="410"/>
      <c r="M609" s="410"/>
      <c r="N609" s="410"/>
      <c r="O609" s="410"/>
      <c r="P609" s="410"/>
      <c r="Q609" s="410"/>
      <c r="AI609" s="107"/>
    </row>
    <row r="610" spans="4:35" outlineLevel="1">
      <c r="D610" s="786"/>
      <c r="E610" s="787" t="s">
        <v>287</v>
      </c>
      <c r="F610" s="787"/>
      <c r="G610" s="787" t="s">
        <v>210</v>
      </c>
      <c r="H610" s="788"/>
      <c r="I610" s="813"/>
      <c r="J610" s="787"/>
      <c r="K610" s="787"/>
      <c r="L610" s="802">
        <v>0</v>
      </c>
      <c r="M610" s="802">
        <v>0</v>
      </c>
      <c r="N610" s="802">
        <v>0</v>
      </c>
      <c r="O610" s="802">
        <v>0</v>
      </c>
      <c r="P610" s="802">
        <v>0</v>
      </c>
      <c r="Q610" s="802">
        <v>0</v>
      </c>
      <c r="R610" s="51"/>
      <c r="S610" s="127"/>
      <c r="AI610" s="107"/>
    </row>
    <row r="611" spans="4:35" outlineLevel="1">
      <c r="E611" s="10" t="s">
        <v>288</v>
      </c>
      <c r="G611" s="10" t="s">
        <v>210</v>
      </c>
      <c r="L611" s="418">
        <v>0</v>
      </c>
      <c r="M611" s="418">
        <v>0</v>
      </c>
      <c r="N611" s="418">
        <v>0</v>
      </c>
      <c r="O611" s="418">
        <v>0</v>
      </c>
      <c r="P611" s="418">
        <v>0</v>
      </c>
      <c r="Q611" s="418">
        <v>0</v>
      </c>
      <c r="R611" s="51"/>
      <c r="S611" s="127"/>
      <c r="AI611" s="107"/>
    </row>
    <row r="612" spans="4:35" outlineLevel="1">
      <c r="E612" s="10" t="s">
        <v>289</v>
      </c>
      <c r="G612" s="10" t="s">
        <v>210</v>
      </c>
      <c r="L612" s="446">
        <f t="shared" ref="L612:Q612" si="286">L$603*L359*L30</f>
        <v>23.529599318167662</v>
      </c>
      <c r="M612" s="433">
        <f t="shared" si="286"/>
        <v>17.753424179805254</v>
      </c>
      <c r="N612" s="433">
        <f t="shared" si="286"/>
        <v>15.115653232017319</v>
      </c>
      <c r="O612" s="433">
        <f t="shared" si="286"/>
        <v>14.24329975430491</v>
      </c>
      <c r="P612" s="433">
        <f t="shared" si="286"/>
        <v>14.41775630190908</v>
      </c>
      <c r="Q612" s="447">
        <f t="shared" si="286"/>
        <v>14.595434810780349</v>
      </c>
      <c r="R612" s="51"/>
      <c r="S612" s="230"/>
      <c r="AI612" s="107"/>
    </row>
    <row r="613" spans="4:35" outlineLevel="1">
      <c r="D613" s="95" t="s">
        <v>107</v>
      </c>
      <c r="E613" s="62"/>
      <c r="F613" s="62"/>
      <c r="G613" s="95" t="s">
        <v>210</v>
      </c>
      <c r="H613" s="95"/>
      <c r="I613" s="213"/>
      <c r="J613" s="95"/>
      <c r="K613" s="95"/>
      <c r="L613" s="422">
        <f>SUM(L610:L612)</f>
        <v>23.529599318167662</v>
      </c>
      <c r="M613" s="422">
        <f>SUM(M610:M612)</f>
        <v>17.753424179805254</v>
      </c>
      <c r="N613" s="422">
        <f t="shared" ref="N613" si="287">SUM(N610:N612)</f>
        <v>15.115653232017319</v>
      </c>
      <c r="O613" s="422">
        <f t="shared" ref="O613" si="288">SUM(O610:O612)</f>
        <v>14.24329975430491</v>
      </c>
      <c r="P613" s="422">
        <f t="shared" ref="P613" si="289">SUM(P610:P612)</f>
        <v>14.41775630190908</v>
      </c>
      <c r="Q613" s="422">
        <f t="shared" ref="Q613" si="290">SUM(Q610:Q612)</f>
        <v>14.595434810780349</v>
      </c>
      <c r="R613" s="51"/>
      <c r="S613" s="230"/>
      <c r="AI613" s="107"/>
    </row>
    <row r="614" spans="4:35" outlineLevel="1">
      <c r="L614" s="418"/>
      <c r="M614" s="418"/>
      <c r="N614" s="418"/>
      <c r="O614" s="418"/>
      <c r="P614" s="418"/>
      <c r="Q614" s="418"/>
      <c r="R614" s="51"/>
      <c r="S614" s="230"/>
      <c r="AI614" s="107"/>
    </row>
    <row r="615" spans="4:35" outlineLevel="1">
      <c r="D615" s="27" t="s">
        <v>290</v>
      </c>
      <c r="L615" s="418"/>
      <c r="M615" s="418"/>
      <c r="N615" s="418"/>
      <c r="O615" s="418"/>
      <c r="P615" s="418"/>
      <c r="Q615" s="418"/>
      <c r="R615" s="51"/>
      <c r="S615" s="230"/>
      <c r="AI615" s="107"/>
    </row>
    <row r="616" spans="4:35" outlineLevel="1">
      <c r="D616" s="786"/>
      <c r="E616" s="787" t="s">
        <v>291</v>
      </c>
      <c r="F616" s="787"/>
      <c r="G616" s="787" t="s">
        <v>210</v>
      </c>
      <c r="H616" s="787"/>
      <c r="I616" s="788"/>
      <c r="J616" s="787"/>
      <c r="K616" s="787"/>
      <c r="L616" s="802">
        <v>0</v>
      </c>
      <c r="M616" s="802">
        <v>0</v>
      </c>
      <c r="N616" s="802">
        <v>0</v>
      </c>
      <c r="O616" s="802">
        <v>0</v>
      </c>
      <c r="P616" s="802">
        <v>0</v>
      </c>
      <c r="Q616" s="802">
        <v>0</v>
      </c>
      <c r="R616" s="51"/>
      <c r="S616" s="127"/>
      <c r="AI616" s="107"/>
    </row>
    <row r="617" spans="4:35" outlineLevel="1">
      <c r="E617" s="10" t="s">
        <v>292</v>
      </c>
      <c r="G617" s="10" t="s">
        <v>210</v>
      </c>
      <c r="L617" s="418">
        <v>0</v>
      </c>
      <c r="M617" s="418">
        <v>0</v>
      </c>
      <c r="N617" s="418">
        <v>0</v>
      </c>
      <c r="O617" s="418">
        <v>0</v>
      </c>
      <c r="P617" s="418">
        <v>0</v>
      </c>
      <c r="Q617" s="418">
        <v>0</v>
      </c>
      <c r="R617" s="51"/>
      <c r="S617" s="127"/>
      <c r="AI617" s="107"/>
    </row>
    <row r="618" spans="4:35" outlineLevel="1">
      <c r="E618" s="10" t="s">
        <v>355</v>
      </c>
      <c r="G618" s="10" t="s">
        <v>210</v>
      </c>
      <c r="L618" s="418">
        <f t="shared" ref="L618:Q618" si="291">L$604*SUMPRODUCT($L$19:$L$22,L$351:L$354)*L30</f>
        <v>4.6157313826242774</v>
      </c>
      <c r="M618" s="418">
        <f t="shared" si="291"/>
        <v>3.1062594620161321</v>
      </c>
      <c r="N618" s="418">
        <f t="shared" si="291"/>
        <v>3.0508748320144914</v>
      </c>
      <c r="O618" s="418">
        <f t="shared" si="291"/>
        <v>3.0167026600048028</v>
      </c>
      <c r="P618" s="418">
        <f t="shared" si="291"/>
        <v>3.0167026600048028</v>
      </c>
      <c r="Q618" s="418">
        <f t="shared" si="291"/>
        <v>3.0167026600048028</v>
      </c>
      <c r="R618" s="51"/>
      <c r="S618" s="230"/>
      <c r="AI618" s="107"/>
    </row>
    <row r="619" spans="4:35" outlineLevel="1">
      <c r="D619" s="95" t="s">
        <v>107</v>
      </c>
      <c r="E619" s="95"/>
      <c r="F619" s="95"/>
      <c r="G619" s="95" t="s">
        <v>210</v>
      </c>
      <c r="H619" s="95"/>
      <c r="I619" s="213"/>
      <c r="J619" s="95"/>
      <c r="K619" s="95"/>
      <c r="L619" s="422">
        <f>SUM(L616:L618)</f>
        <v>4.6157313826242774</v>
      </c>
      <c r="M619" s="422">
        <f t="shared" ref="M619" si="292">SUM(M616:M618)</f>
        <v>3.1062594620161321</v>
      </c>
      <c r="N619" s="422">
        <f t="shared" ref="N619" si="293">SUM(N616:N618)</f>
        <v>3.0508748320144914</v>
      </c>
      <c r="O619" s="422">
        <f t="shared" ref="O619" si="294">SUM(O616:O618)</f>
        <v>3.0167026600048028</v>
      </c>
      <c r="P619" s="422">
        <f t="shared" ref="P619" si="295">SUM(P616:P618)</f>
        <v>3.0167026600048028</v>
      </c>
      <c r="Q619" s="422">
        <f t="shared" ref="Q619" si="296">SUM(Q616:Q618)</f>
        <v>3.0167026600048028</v>
      </c>
      <c r="R619" s="51"/>
      <c r="AI619" s="107"/>
    </row>
    <row r="620" spans="4:35" outlineLevel="1">
      <c r="L620" s="418"/>
      <c r="M620" s="418"/>
      <c r="N620" s="418"/>
      <c r="O620" s="418"/>
      <c r="P620" s="418"/>
      <c r="Q620" s="418"/>
      <c r="R620" s="51"/>
      <c r="AI620" s="107"/>
    </row>
    <row r="621" spans="4:35" outlineLevel="1">
      <c r="D621" s="27" t="s">
        <v>294</v>
      </c>
      <c r="L621" s="418"/>
      <c r="M621" s="418"/>
      <c r="N621" s="418"/>
      <c r="O621" s="418"/>
      <c r="P621" s="418"/>
      <c r="Q621" s="418"/>
      <c r="R621" s="51"/>
      <c r="AI621" s="107"/>
    </row>
    <row r="622" spans="4:35" outlineLevel="1">
      <c r="D622" s="317"/>
      <c r="E622" s="318" t="s">
        <v>295</v>
      </c>
      <c r="F622" s="318"/>
      <c r="G622" s="318" t="s">
        <v>210</v>
      </c>
      <c r="H622" s="318"/>
      <c r="I622" s="319"/>
      <c r="J622" s="318"/>
      <c r="K622" s="318"/>
      <c r="L622" s="433">
        <f t="shared" ref="L622:Q622" si="297">(L603*L607*L34)+(L544*L66)</f>
        <v>67.993254712051396</v>
      </c>
      <c r="M622" s="433">
        <f t="shared" si="297"/>
        <v>75.957266464743043</v>
      </c>
      <c r="N622" s="433">
        <f t="shared" si="297"/>
        <v>66.123631038269949</v>
      </c>
      <c r="O622" s="433">
        <f t="shared" si="297"/>
        <v>63.217638850825004</v>
      </c>
      <c r="P622" s="433">
        <f t="shared" si="297"/>
        <v>64.175477400126113</v>
      </c>
      <c r="Q622" s="433">
        <f t="shared" si="297"/>
        <v>65.155581675264074</v>
      </c>
      <c r="R622" s="51"/>
      <c r="S622" s="230"/>
      <c r="AI622" s="107"/>
    </row>
    <row r="623" spans="4:35" outlineLevel="1">
      <c r="L623" s="418"/>
      <c r="M623" s="418"/>
      <c r="N623" s="418"/>
      <c r="O623" s="418"/>
      <c r="P623" s="418"/>
      <c r="Q623" s="418"/>
      <c r="R623" s="51"/>
      <c r="AI623" s="107"/>
    </row>
    <row r="624" spans="4:35" outlineLevel="1">
      <c r="D624" s="317" t="s">
        <v>114</v>
      </c>
      <c r="E624" s="318"/>
      <c r="F624" s="318"/>
      <c r="G624" s="317" t="s">
        <v>210</v>
      </c>
      <c r="H624" s="317"/>
      <c r="I624" s="325"/>
      <c r="J624" s="317"/>
      <c r="K624" s="317"/>
      <c r="L624" s="434">
        <f>SUM(L613,L619,L622)</f>
        <v>96.138585412843327</v>
      </c>
      <c r="M624" s="434">
        <f t="shared" ref="M624:Q624" si="298">SUM(M613,M619,M622)</f>
        <v>96.816950106564434</v>
      </c>
      <c r="N624" s="434">
        <f>SUM(N613,N619,N622)</f>
        <v>84.290159102301757</v>
      </c>
      <c r="O624" s="434">
        <f t="shared" si="298"/>
        <v>80.477641265134721</v>
      </c>
      <c r="P624" s="434">
        <f t="shared" si="298"/>
        <v>81.609936362040003</v>
      </c>
      <c r="Q624" s="434">
        <f t="shared" si="298"/>
        <v>82.767719146049217</v>
      </c>
      <c r="R624" s="51"/>
      <c r="AI624" s="107"/>
    </row>
    <row r="625" spans="3:35" outlineLevel="1">
      <c r="L625" s="418"/>
      <c r="M625" s="418"/>
      <c r="N625" s="418"/>
      <c r="O625" s="418"/>
      <c r="P625" s="418"/>
      <c r="Q625" s="418"/>
      <c r="AI625" s="107"/>
    </row>
    <row r="626" spans="3:35" outlineLevel="1">
      <c r="D626" s="786" t="s">
        <v>212</v>
      </c>
      <c r="E626" s="787"/>
      <c r="F626" s="787"/>
      <c r="G626" s="787" t="s">
        <v>210</v>
      </c>
      <c r="H626" s="787"/>
      <c r="I626" s="788"/>
      <c r="J626" s="787"/>
      <c r="K626" s="787"/>
      <c r="L626" s="802">
        <f t="shared" ref="L626:Q626" si="299">L613+L622+L619*L34/L38</f>
        <v>91.892112540829004</v>
      </c>
      <c r="M626" s="802">
        <f t="shared" si="299"/>
        <v>93.959191401509585</v>
      </c>
      <c r="N626" s="802">
        <f t="shared" si="299"/>
        <v>81.483354256848429</v>
      </c>
      <c r="O626" s="802">
        <f t="shared" si="299"/>
        <v>77.702274817930302</v>
      </c>
      <c r="P626" s="802">
        <f t="shared" si="299"/>
        <v>78.834569914835583</v>
      </c>
      <c r="Q626" s="802">
        <f t="shared" si="299"/>
        <v>79.992352698844812</v>
      </c>
      <c r="AI626" s="107"/>
    </row>
    <row r="627" spans="3:35" outlineLevel="1">
      <c r="D627" s="27" t="s">
        <v>213</v>
      </c>
      <c r="G627" s="10" t="s">
        <v>210</v>
      </c>
      <c r="L627" s="418">
        <f t="shared" ref="L627:Q627" si="300">L$619*L37/L$38</f>
        <v>1.7521316328441758</v>
      </c>
      <c r="M627" s="418">
        <f t="shared" si="300"/>
        <v>1.1791360917813238</v>
      </c>
      <c r="N627" s="418">
        <f t="shared" si="300"/>
        <v>1.1581120862327008</v>
      </c>
      <c r="O627" s="418">
        <f t="shared" si="300"/>
        <v>1.1451403297378231</v>
      </c>
      <c r="P627" s="418">
        <f t="shared" si="300"/>
        <v>1.1451403297378231</v>
      </c>
      <c r="Q627" s="418">
        <f t="shared" si="300"/>
        <v>1.1451403297378231</v>
      </c>
      <c r="AI627" s="107"/>
    </row>
    <row r="628" spans="3:35" outlineLevel="1">
      <c r="D628" s="95" t="s">
        <v>214</v>
      </c>
      <c r="E628" s="62"/>
      <c r="F628" s="62"/>
      <c r="G628" s="62" t="s">
        <v>210</v>
      </c>
      <c r="H628" s="62"/>
      <c r="I628" s="212"/>
      <c r="J628" s="62"/>
      <c r="K628" s="62"/>
      <c r="L628" s="423">
        <f t="shared" ref="L628:Q628" si="301">L$619*L35/L$38</f>
        <v>2.4943412391701592</v>
      </c>
      <c r="M628" s="423">
        <f t="shared" si="301"/>
        <v>1.6786226132735178</v>
      </c>
      <c r="N628" s="423">
        <f t="shared" si="301"/>
        <v>1.6486927592206311</v>
      </c>
      <c r="O628" s="423">
        <f t="shared" si="301"/>
        <v>1.6302261174665955</v>
      </c>
      <c r="P628" s="423">
        <f t="shared" si="301"/>
        <v>1.6302261174665955</v>
      </c>
      <c r="Q628" s="423">
        <f t="shared" si="301"/>
        <v>1.6302261174665955</v>
      </c>
      <c r="AI628" s="107"/>
    </row>
    <row r="629" spans="3:35" outlineLevel="1">
      <c r="L629" s="22"/>
      <c r="M629" s="22"/>
      <c r="N629" s="22"/>
      <c r="O629" s="22"/>
      <c r="P629" s="22"/>
      <c r="Q629" s="22"/>
      <c r="AI629" s="107"/>
    </row>
    <row r="630" spans="3:35" outlineLevel="1">
      <c r="L630" s="22"/>
      <c r="M630" s="22"/>
      <c r="N630" s="22"/>
      <c r="O630" s="22"/>
      <c r="P630" s="22"/>
      <c r="Q630" s="22"/>
      <c r="AI630" s="107"/>
    </row>
    <row r="631" spans="3:35" outlineLevel="1">
      <c r="C631" s="184" t="s">
        <v>296</v>
      </c>
      <c r="D631" s="321"/>
      <c r="E631" s="322"/>
      <c r="F631" s="322"/>
      <c r="G631" s="322"/>
      <c r="H631" s="322"/>
      <c r="I631" s="323"/>
      <c r="J631" s="322"/>
      <c r="K631" s="322"/>
      <c r="L631" s="411"/>
      <c r="M631" s="411"/>
      <c r="N631" s="411"/>
      <c r="O631" s="411"/>
      <c r="P631" s="411"/>
      <c r="Q631" s="411"/>
      <c r="R631" s="322"/>
      <c r="S631" s="322"/>
      <c r="T631" s="322"/>
      <c r="U631" s="322"/>
      <c r="V631" s="322"/>
      <c r="W631" s="322"/>
      <c r="X631" s="322"/>
      <c r="Y631" s="322"/>
      <c r="Z631" s="322"/>
      <c r="AA631" s="322"/>
      <c r="AB631" s="322"/>
      <c r="AC631" s="322"/>
      <c r="AD631" s="322"/>
      <c r="AE631" s="322"/>
      <c r="AF631" s="322"/>
      <c r="AG631" s="322"/>
      <c r="AH631" s="322"/>
      <c r="AI631" s="107"/>
    </row>
    <row r="632" spans="3:35" outlineLevel="1">
      <c r="L632" s="22"/>
      <c r="M632" s="22"/>
      <c r="N632" s="22"/>
      <c r="O632" s="22"/>
      <c r="P632" s="22"/>
      <c r="Q632" s="22"/>
      <c r="AI632" s="107"/>
    </row>
    <row r="633" spans="3:35" outlineLevel="1">
      <c r="D633" s="27" t="s">
        <v>249</v>
      </c>
      <c r="L633" s="22"/>
      <c r="M633" s="22"/>
      <c r="N633" s="22"/>
      <c r="O633" s="22"/>
      <c r="P633" s="22"/>
      <c r="Q633" s="22"/>
      <c r="AI633" s="107"/>
    </row>
    <row r="634" spans="3:35" outlineLevel="1">
      <c r="D634" s="317"/>
      <c r="E634" s="318" t="s">
        <v>297</v>
      </c>
      <c r="F634" s="318"/>
      <c r="G634" s="318" t="s">
        <v>171</v>
      </c>
      <c r="H634" s="317"/>
      <c r="I634" s="327"/>
      <c r="J634" s="318"/>
      <c r="K634" s="318"/>
      <c r="L634" s="448">
        <f>'Administration Cost'!$H$11</f>
        <v>16.465247848886801</v>
      </c>
      <c r="M634" s="448">
        <f>'Administration Cost'!$H$11</f>
        <v>16.465247848886801</v>
      </c>
      <c r="N634" s="448">
        <f>'Administration Cost'!$H$11</f>
        <v>16.465247848886801</v>
      </c>
      <c r="O634" s="448">
        <f>'Administration Cost'!$H$11</f>
        <v>16.465247848886801</v>
      </c>
      <c r="P634" s="448">
        <f>'Administration Cost'!$H$11</f>
        <v>16.465247848886801</v>
      </c>
      <c r="Q634" s="448">
        <f>'Administration Cost'!$H$11</f>
        <v>16.465247848886801</v>
      </c>
      <c r="R634" s="51"/>
      <c r="AI634" s="107"/>
    </row>
    <row r="635" spans="3:35" outlineLevel="1">
      <c r="L635" s="22"/>
      <c r="M635" s="22"/>
      <c r="N635" s="22"/>
      <c r="O635" s="22"/>
      <c r="P635" s="22"/>
      <c r="Q635" s="22"/>
      <c r="AI635" s="107"/>
    </row>
    <row r="636" spans="3:35" outlineLevel="1">
      <c r="D636" s="27" t="s">
        <v>123</v>
      </c>
      <c r="L636" s="22"/>
      <c r="M636" s="22"/>
      <c r="N636" s="22"/>
      <c r="O636" s="22"/>
      <c r="P636" s="22"/>
      <c r="Q636" s="22"/>
      <c r="AI636" s="107"/>
    </row>
    <row r="637" spans="3:35" outlineLevel="1">
      <c r="D637" s="786"/>
      <c r="E637" s="787" t="s">
        <v>298</v>
      </c>
      <c r="F637" s="787"/>
      <c r="G637" s="787" t="s">
        <v>210</v>
      </c>
      <c r="H637" s="787"/>
      <c r="I637" s="788"/>
      <c r="J637" s="787"/>
      <c r="K637" s="787"/>
      <c r="L637" s="803">
        <f t="shared" ref="L637:Q637" si="302">$L$634*L357*L28</f>
        <v>0.16894520473517355</v>
      </c>
      <c r="M637" s="803">
        <f t="shared" si="302"/>
        <v>0.16894520473517355</v>
      </c>
      <c r="N637" s="803">
        <f t="shared" si="302"/>
        <v>0.16894520473517355</v>
      </c>
      <c r="O637" s="803">
        <f t="shared" si="302"/>
        <v>0.16894520473517355</v>
      </c>
      <c r="P637" s="803">
        <f t="shared" si="302"/>
        <v>0.16894520473517355</v>
      </c>
      <c r="Q637" s="803">
        <f t="shared" si="302"/>
        <v>0.16894520473517355</v>
      </c>
      <c r="AI637" s="107"/>
    </row>
    <row r="638" spans="3:35" outlineLevel="1">
      <c r="E638" s="10" t="s">
        <v>299</v>
      </c>
      <c r="G638" s="10" t="s">
        <v>210</v>
      </c>
      <c r="L638" s="22">
        <f t="shared" ref="L638:Q639" si="303">$L$634*SUMPRODUCT($L$19:$L$22,L$351:L$354)*L29</f>
        <v>5.4118776962093174</v>
      </c>
      <c r="M638" s="22">
        <f t="shared" si="303"/>
        <v>3.642043894583511</v>
      </c>
      <c r="N638" s="22">
        <f t="shared" si="303"/>
        <v>3.577106224045095</v>
      </c>
      <c r="O638" s="22">
        <f t="shared" si="303"/>
        <v>3.5370398509830827</v>
      </c>
      <c r="P638" s="22">
        <f t="shared" si="303"/>
        <v>3.5370398509830827</v>
      </c>
      <c r="Q638" s="22">
        <f t="shared" si="303"/>
        <v>3.5370398509830827</v>
      </c>
      <c r="AI638" s="107"/>
    </row>
    <row r="639" spans="3:35" outlineLevel="1">
      <c r="E639" s="10" t="s">
        <v>300</v>
      </c>
      <c r="G639" s="10" t="s">
        <v>210</v>
      </c>
      <c r="L639" s="22">
        <f t="shared" si="303"/>
        <v>2.4697566549602499</v>
      </c>
      <c r="M639" s="22">
        <f t="shared" si="303"/>
        <v>1.6620778685751496</v>
      </c>
      <c r="N639" s="22">
        <f t="shared" si="303"/>
        <v>1.6324430074469676</v>
      </c>
      <c r="O639" s="22">
        <f t="shared" si="303"/>
        <v>1.6141583755567575</v>
      </c>
      <c r="P639" s="22">
        <f t="shared" si="303"/>
        <v>1.6141583755567575</v>
      </c>
      <c r="Q639" s="22">
        <f t="shared" si="303"/>
        <v>1.6141583755567575</v>
      </c>
      <c r="AI639" s="107"/>
    </row>
    <row r="640" spans="3:35" outlineLevel="1">
      <c r="D640" s="95" t="s">
        <v>115</v>
      </c>
      <c r="E640" s="62"/>
      <c r="F640" s="62"/>
      <c r="G640" s="62" t="s">
        <v>210</v>
      </c>
      <c r="H640" s="62"/>
      <c r="I640" s="212"/>
      <c r="J640" s="62"/>
      <c r="K640" s="62"/>
      <c r="L640" s="428">
        <f>SUM(L637:L639)</f>
        <v>8.0505795559047399</v>
      </c>
      <c r="M640" s="428">
        <f t="shared" ref="M640" si="304">SUM(M637:M639)</f>
        <v>5.4730669678938337</v>
      </c>
      <c r="N640" s="428">
        <f t="shared" ref="N640" si="305">SUM(N637:N639)</f>
        <v>5.3784944362272364</v>
      </c>
      <c r="O640" s="428">
        <f t="shared" ref="O640" si="306">SUM(O637:O639)</f>
        <v>5.3201434312750138</v>
      </c>
      <c r="P640" s="428">
        <f t="shared" ref="P640" si="307">SUM(P637:P639)</f>
        <v>5.3201434312750138</v>
      </c>
      <c r="Q640" s="428">
        <f t="shared" ref="Q640" si="308">SUM(Q637:Q639)</f>
        <v>5.3201434312750138</v>
      </c>
      <c r="AI640" s="107"/>
    </row>
    <row r="641" spans="1:35" outlineLevel="1">
      <c r="L641" s="22"/>
      <c r="M641" s="22"/>
      <c r="N641" s="22"/>
      <c r="O641" s="22"/>
      <c r="P641" s="22"/>
      <c r="Q641" s="22"/>
      <c r="AI641" s="107"/>
    </row>
    <row r="642" spans="1:35" outlineLevel="1">
      <c r="D642" s="786" t="s">
        <v>212</v>
      </c>
      <c r="E642" s="787"/>
      <c r="F642" s="787"/>
      <c r="G642" s="787" t="s">
        <v>210</v>
      </c>
      <c r="H642" s="787"/>
      <c r="I642" s="788"/>
      <c r="J642" s="787"/>
      <c r="K642" s="787"/>
      <c r="L642" s="803">
        <f t="shared" ref="L642:Q642" si="309">L$640*L34/L$38</f>
        <v>0.64404636447237917</v>
      </c>
      <c r="M642" s="803">
        <f t="shared" si="309"/>
        <v>0.43784535743150665</v>
      </c>
      <c r="N642" s="803">
        <f t="shared" si="309"/>
        <v>0.43027955489817893</v>
      </c>
      <c r="O642" s="803">
        <f t="shared" si="309"/>
        <v>0.4256114745020011</v>
      </c>
      <c r="P642" s="803">
        <f t="shared" si="309"/>
        <v>0.4256114745020011</v>
      </c>
      <c r="Q642" s="803">
        <f t="shared" si="309"/>
        <v>0.4256114745020011</v>
      </c>
      <c r="AI642" s="107"/>
    </row>
    <row r="643" spans="1:35" outlineLevel="1">
      <c r="D643" s="27" t="s">
        <v>213</v>
      </c>
      <c r="G643" s="10" t="s">
        <v>210</v>
      </c>
      <c r="L643" s="22">
        <f t="shared" ref="L643:Q643" si="310">L$640*L37/L$38</f>
        <v>3.0559999994214393</v>
      </c>
      <c r="M643" s="22">
        <f t="shared" si="310"/>
        <v>2.0775762210124991</v>
      </c>
      <c r="N643" s="22">
        <f t="shared" si="310"/>
        <v>2.0416764879918587</v>
      </c>
      <c r="O643" s="22">
        <f t="shared" si="310"/>
        <v>2.0195264465119953</v>
      </c>
      <c r="P643" s="22">
        <f t="shared" si="310"/>
        <v>2.0195264465119953</v>
      </c>
      <c r="Q643" s="22">
        <f t="shared" si="310"/>
        <v>2.0195264465119953</v>
      </c>
      <c r="AI643" s="107"/>
    </row>
    <row r="644" spans="1:35" outlineLevel="1">
      <c r="D644" s="95" t="s">
        <v>214</v>
      </c>
      <c r="E644" s="62"/>
      <c r="F644" s="62"/>
      <c r="G644" s="62" t="s">
        <v>210</v>
      </c>
      <c r="H644" s="62"/>
      <c r="I644" s="212"/>
      <c r="J644" s="62"/>
      <c r="K644" s="62"/>
      <c r="L644" s="428">
        <f t="shared" ref="L644:Q644" si="311">L$640*L35/L$38</f>
        <v>4.3505331920109214</v>
      </c>
      <c r="M644" s="428">
        <f t="shared" si="311"/>
        <v>2.9576453894498278</v>
      </c>
      <c r="N644" s="428">
        <f t="shared" si="311"/>
        <v>2.9065383933371987</v>
      </c>
      <c r="O644" s="428">
        <f t="shared" si="311"/>
        <v>2.8750055102610172</v>
      </c>
      <c r="P644" s="428">
        <f t="shared" si="311"/>
        <v>2.8750055102610172</v>
      </c>
      <c r="Q644" s="428">
        <f t="shared" si="311"/>
        <v>2.8750055102610172</v>
      </c>
      <c r="AI644" s="107"/>
    </row>
    <row r="645" spans="1:35" outlineLevel="1">
      <c r="L645" s="21"/>
      <c r="M645" s="21"/>
      <c r="N645" s="21"/>
      <c r="O645" s="21"/>
      <c r="P645" s="21"/>
      <c r="Q645" s="21"/>
      <c r="AI645" s="107"/>
    </row>
    <row r="646" spans="1:35" outlineLevel="1">
      <c r="L646" s="21"/>
      <c r="M646" s="21"/>
      <c r="N646" s="21"/>
      <c r="O646" s="21"/>
      <c r="P646" s="21"/>
      <c r="Q646" s="21"/>
      <c r="AI646" s="107"/>
    </row>
    <row r="647" spans="1:35" outlineLevel="1">
      <c r="A647" s="204"/>
      <c r="B647" s="93" t="s">
        <v>356</v>
      </c>
      <c r="C647" s="93"/>
      <c r="D647" s="93"/>
      <c r="E647" s="205"/>
      <c r="F647" s="205"/>
      <c r="G647" s="205"/>
      <c r="H647" s="205"/>
      <c r="I647" s="216"/>
      <c r="J647" s="205"/>
      <c r="K647" s="205"/>
      <c r="L647" s="437"/>
      <c r="M647" s="437"/>
      <c r="N647" s="437"/>
      <c r="O647" s="437"/>
      <c r="P647" s="437"/>
      <c r="Q647" s="437"/>
      <c r="R647" s="205"/>
      <c r="S647" s="205"/>
      <c r="T647" s="205"/>
      <c r="U647" s="205"/>
      <c r="V647" s="205"/>
      <c r="W647" s="205"/>
      <c r="X647" s="205"/>
      <c r="Y647" s="205"/>
      <c r="Z647" s="205"/>
      <c r="AA647" s="205"/>
      <c r="AB647" s="205"/>
      <c r="AC647" s="205"/>
      <c r="AD647" s="205"/>
      <c r="AE647" s="205"/>
      <c r="AF647" s="205"/>
      <c r="AG647" s="205"/>
      <c r="AH647" s="205"/>
      <c r="AI647" s="107"/>
    </row>
    <row r="648" spans="1:35" outlineLevel="1">
      <c r="L648" s="21"/>
      <c r="M648" s="21"/>
      <c r="N648" s="21"/>
      <c r="O648" s="21"/>
      <c r="P648" s="21"/>
      <c r="Q648" s="21"/>
      <c r="AI648" s="107"/>
    </row>
    <row r="649" spans="1:35" outlineLevel="1">
      <c r="D649" s="27" t="s">
        <v>104</v>
      </c>
      <c r="L649" s="21"/>
      <c r="M649" s="21"/>
      <c r="N649" s="21"/>
      <c r="O649" s="21"/>
      <c r="P649" s="21"/>
      <c r="Q649" s="21"/>
      <c r="AI649" s="107"/>
    </row>
    <row r="650" spans="1:35" outlineLevel="1">
      <c r="D650" s="786"/>
      <c r="E650" s="787" t="s">
        <v>108</v>
      </c>
      <c r="F650" s="787"/>
      <c r="G650" s="787" t="s">
        <v>210</v>
      </c>
      <c r="H650" s="787"/>
      <c r="I650" s="788"/>
      <c r="J650" s="787"/>
      <c r="K650" s="787"/>
      <c r="L650" s="803">
        <f t="shared" ref="L650:Q650" si="312">L406</f>
        <v>5.3998602801790927</v>
      </c>
      <c r="M650" s="803">
        <f t="shared" si="312"/>
        <v>6.1403554369608493</v>
      </c>
      <c r="N650" s="803">
        <f t="shared" si="312"/>
        <v>5.1341744275528258</v>
      </c>
      <c r="O650" s="803">
        <f t="shared" si="312"/>
        <v>4.7958714867882071</v>
      </c>
      <c r="P650" s="803">
        <f t="shared" si="312"/>
        <v>4.8265599438592668</v>
      </c>
      <c r="Q650" s="803">
        <f t="shared" si="312"/>
        <v>4.8492663291553058</v>
      </c>
      <c r="AI650" s="107"/>
    </row>
    <row r="651" spans="1:35" outlineLevel="1">
      <c r="E651" s="10" t="s">
        <v>109</v>
      </c>
      <c r="G651" s="10" t="s">
        <v>210</v>
      </c>
      <c r="L651" s="22">
        <f t="shared" ref="L651:Q651" si="313">L442</f>
        <v>16.423400819268437</v>
      </c>
      <c r="M651" s="22">
        <f t="shared" si="313"/>
        <v>0</v>
      </c>
      <c r="N651" s="22">
        <f t="shared" si="313"/>
        <v>0</v>
      </c>
      <c r="O651" s="22">
        <f t="shared" si="313"/>
        <v>0</v>
      </c>
      <c r="P651" s="22">
        <f t="shared" si="313"/>
        <v>0</v>
      </c>
      <c r="Q651" s="22">
        <f t="shared" si="313"/>
        <v>0</v>
      </c>
      <c r="AI651" s="107"/>
    </row>
    <row r="652" spans="1:35" outlineLevel="1">
      <c r="E652" s="10" t="s">
        <v>113</v>
      </c>
      <c r="G652" s="10" t="s">
        <v>210</v>
      </c>
      <c r="L652" s="22">
        <f>L502</f>
        <v>52.324849320370035</v>
      </c>
      <c r="M652" s="22">
        <f t="shared" ref="M652:Q652" si="314">M502</f>
        <v>60.202660986340994</v>
      </c>
      <c r="N652" s="22">
        <f t="shared" si="314"/>
        <v>50.394125980912584</v>
      </c>
      <c r="O652" s="22">
        <f t="shared" si="314"/>
        <v>47.114391506750835</v>
      </c>
      <c r="P652" s="22">
        <f t="shared" si="314"/>
        <v>47.440140075025653</v>
      </c>
      <c r="Q652" s="22">
        <f t="shared" si="314"/>
        <v>47.681161397269207</v>
      </c>
      <c r="AI652" s="107"/>
    </row>
    <row r="653" spans="1:35" outlineLevel="1">
      <c r="E653" s="10" t="s">
        <v>110</v>
      </c>
      <c r="G653" s="10" t="s">
        <v>210</v>
      </c>
      <c r="L653" s="22">
        <f t="shared" ref="L653:Q653" si="315">L390</f>
        <v>22.762814908828194</v>
      </c>
      <c r="M653" s="22">
        <f t="shared" si="315"/>
        <v>24.400450949332537</v>
      </c>
      <c r="N653" s="22">
        <f t="shared" si="315"/>
        <v>18.900178043595858</v>
      </c>
      <c r="O653" s="22">
        <f t="shared" si="315"/>
        <v>16.272923587505176</v>
      </c>
      <c r="P653" s="22">
        <f t="shared" si="315"/>
        <v>15.003867307049315</v>
      </c>
      <c r="Q653" s="22">
        <f t="shared" si="315"/>
        <v>13.711373384168558</v>
      </c>
      <c r="AI653" s="107"/>
    </row>
    <row r="654" spans="1:35" outlineLevel="1">
      <c r="E654" s="10" t="s">
        <v>111</v>
      </c>
      <c r="G654" s="10" t="s">
        <v>210</v>
      </c>
      <c r="L654" s="22">
        <f t="shared" ref="L654:Q654" si="316">L426</f>
        <v>18.091319241743435</v>
      </c>
      <c r="M654" s="22">
        <f t="shared" si="316"/>
        <v>41.746475638934704</v>
      </c>
      <c r="N654" s="22">
        <f t="shared" si="316"/>
        <v>38.967620646282754</v>
      </c>
      <c r="O654" s="22">
        <f t="shared" si="316"/>
        <v>36.167649984357503</v>
      </c>
      <c r="P654" s="22">
        <f t="shared" si="316"/>
        <v>33.347088386119516</v>
      </c>
      <c r="Q654" s="22">
        <f t="shared" si="316"/>
        <v>30.474435075957498</v>
      </c>
      <c r="AI654" s="107"/>
    </row>
    <row r="655" spans="1:35" outlineLevel="1">
      <c r="E655" s="10" t="s">
        <v>112</v>
      </c>
      <c r="G655" s="10" t="s">
        <v>210</v>
      </c>
      <c r="L655" s="22">
        <f>L484</f>
        <v>14.928613531046635</v>
      </c>
      <c r="M655" s="22">
        <f t="shared" ref="M655:Q655" si="317">M484</f>
        <v>17.072002422383672</v>
      </c>
      <c r="N655" s="22">
        <f t="shared" si="317"/>
        <v>14.282258729300663</v>
      </c>
      <c r="O655" s="22">
        <f t="shared" si="317"/>
        <v>13.346761904929421</v>
      </c>
      <c r="P655" s="22">
        <f t="shared" si="317"/>
        <v>13.435490345521831</v>
      </c>
      <c r="Q655" s="22">
        <f t="shared" si="317"/>
        <v>13.501140506888467</v>
      </c>
      <c r="AI655" s="107"/>
    </row>
    <row r="656" spans="1:35" outlineLevel="1">
      <c r="E656" s="10" t="s">
        <v>114</v>
      </c>
      <c r="G656" s="10" t="s">
        <v>210</v>
      </c>
      <c r="L656" s="22">
        <f>L626</f>
        <v>91.892112540829004</v>
      </c>
      <c r="M656" s="22">
        <f>M626</f>
        <v>93.959191401509585</v>
      </c>
      <c r="N656" s="22">
        <f t="shared" ref="N656:Q656" si="318">N626</f>
        <v>81.483354256848429</v>
      </c>
      <c r="O656" s="22">
        <f t="shared" si="318"/>
        <v>77.702274817930302</v>
      </c>
      <c r="P656" s="22">
        <f t="shared" si="318"/>
        <v>78.834569914835583</v>
      </c>
      <c r="Q656" s="22">
        <f t="shared" si="318"/>
        <v>79.992352698844812</v>
      </c>
      <c r="AI656" s="107"/>
    </row>
    <row r="657" spans="4:35" outlineLevel="1">
      <c r="E657" s="10" t="s">
        <v>115</v>
      </c>
      <c r="G657" s="10" t="s">
        <v>210</v>
      </c>
      <c r="L657" s="22">
        <f t="shared" ref="L657" si="319">L642</f>
        <v>0.64404636447237917</v>
      </c>
      <c r="M657" s="22">
        <f t="shared" ref="M657:Q657" si="320">M642</f>
        <v>0.43784535743150665</v>
      </c>
      <c r="N657" s="22">
        <f t="shared" si="320"/>
        <v>0.43027955489817893</v>
      </c>
      <c r="O657" s="22">
        <f t="shared" si="320"/>
        <v>0.4256114745020011</v>
      </c>
      <c r="P657" s="22">
        <f t="shared" si="320"/>
        <v>0.4256114745020011</v>
      </c>
      <c r="Q657" s="22">
        <f t="shared" si="320"/>
        <v>0.4256114745020011</v>
      </c>
      <c r="AI657" s="107"/>
    </row>
    <row r="658" spans="4:35" outlineLevel="1">
      <c r="E658" s="10" t="s">
        <v>116</v>
      </c>
      <c r="G658" s="10" t="s">
        <v>210</v>
      </c>
      <c r="L658" s="22">
        <f t="shared" ref="L658:Q658" si="321">L583</f>
        <v>0</v>
      </c>
      <c r="M658" s="22">
        <f t="shared" si="321"/>
        <v>0</v>
      </c>
      <c r="N658" s="22">
        <f t="shared" si="321"/>
        <v>0</v>
      </c>
      <c r="O658" s="22">
        <f t="shared" si="321"/>
        <v>0</v>
      </c>
      <c r="P658" s="22">
        <f t="shared" si="321"/>
        <v>0</v>
      </c>
      <c r="Q658" s="22">
        <f t="shared" si="321"/>
        <v>0</v>
      </c>
      <c r="AI658" s="107"/>
    </row>
    <row r="659" spans="4:35" outlineLevel="1">
      <c r="D659" s="95" t="s">
        <v>107</v>
      </c>
      <c r="E659" s="62"/>
      <c r="F659" s="62"/>
      <c r="G659" s="95" t="s">
        <v>210</v>
      </c>
      <c r="H659" s="62"/>
      <c r="I659" s="212"/>
      <c r="J659" s="62"/>
      <c r="K659" s="62"/>
      <c r="L659" s="436">
        <f>SUM(L650:L658)</f>
        <v>222.46701700673719</v>
      </c>
      <c r="M659" s="436">
        <f t="shared" ref="M659:Q659" si="322">SUM(M650:M658)</f>
        <v>243.95898219289387</v>
      </c>
      <c r="N659" s="436">
        <f t="shared" si="322"/>
        <v>209.5919916393913</v>
      </c>
      <c r="O659" s="436">
        <f t="shared" si="322"/>
        <v>195.82548476276347</v>
      </c>
      <c r="P659" s="436">
        <f t="shared" si="322"/>
        <v>193.31332744691318</v>
      </c>
      <c r="Q659" s="436">
        <f t="shared" si="322"/>
        <v>190.63534086678587</v>
      </c>
      <c r="AI659" s="107"/>
    </row>
    <row r="660" spans="4:35" outlineLevel="1">
      <c r="L660" s="22"/>
      <c r="M660" s="21"/>
      <c r="N660" s="21"/>
      <c r="O660" s="21"/>
      <c r="P660" s="21"/>
      <c r="Q660" s="21"/>
      <c r="AI660" s="107"/>
    </row>
    <row r="661" spans="4:35" outlineLevel="1">
      <c r="D661" s="27" t="s">
        <v>155</v>
      </c>
      <c r="L661" s="22"/>
      <c r="M661" s="21"/>
      <c r="N661" s="21"/>
      <c r="O661" s="21"/>
      <c r="P661" s="21"/>
      <c r="Q661" s="21"/>
      <c r="AI661" s="107"/>
    </row>
    <row r="662" spans="4:35" outlineLevel="1">
      <c r="D662" s="786"/>
      <c r="E662" s="787" t="s">
        <v>108</v>
      </c>
      <c r="F662" s="787"/>
      <c r="G662" s="787" t="s">
        <v>210</v>
      </c>
      <c r="H662" s="787"/>
      <c r="I662" s="788"/>
      <c r="J662" s="787"/>
      <c r="K662" s="787"/>
      <c r="L662" s="803">
        <f t="shared" ref="L662:Q662" si="323">L407</f>
        <v>25.622337029449795</v>
      </c>
      <c r="M662" s="803">
        <f t="shared" si="323"/>
        <v>29.135986548379229</v>
      </c>
      <c r="N662" s="803">
        <f t="shared" si="323"/>
        <v>24.361657658738164</v>
      </c>
      <c r="O662" s="803">
        <f t="shared" si="323"/>
        <v>22.756410204810045</v>
      </c>
      <c r="P662" s="803">
        <f t="shared" si="323"/>
        <v>22.90202693361222</v>
      </c>
      <c r="Q662" s="803">
        <f t="shared" si="323"/>
        <v>23.009768731841927</v>
      </c>
      <c r="AI662" s="107"/>
    </row>
    <row r="663" spans="4:35" outlineLevel="1">
      <c r="E663" s="10" t="s">
        <v>109</v>
      </c>
      <c r="G663" s="10" t="s">
        <v>210</v>
      </c>
      <c r="L663" s="22">
        <f t="shared" ref="L663:Q663" si="324">L443</f>
        <v>77.929036887428737</v>
      </c>
      <c r="M663" s="22">
        <f t="shared" si="324"/>
        <v>0</v>
      </c>
      <c r="N663" s="22">
        <f t="shared" si="324"/>
        <v>0</v>
      </c>
      <c r="O663" s="22">
        <f t="shared" si="324"/>
        <v>0</v>
      </c>
      <c r="P663" s="22">
        <f t="shared" si="324"/>
        <v>0</v>
      </c>
      <c r="Q663" s="22">
        <f t="shared" si="324"/>
        <v>0</v>
      </c>
      <c r="AI663" s="107"/>
    </row>
    <row r="664" spans="4:35" outlineLevel="1">
      <c r="E664" s="10" t="s">
        <v>113</v>
      </c>
      <c r="G664" s="10" t="s">
        <v>210</v>
      </c>
      <c r="L664" s="22">
        <f t="shared" ref="L664:Q664" si="325">L503</f>
        <v>248.28141002515585</v>
      </c>
      <c r="M664" s="22">
        <f t="shared" si="325"/>
        <v>285.66162638018801</v>
      </c>
      <c r="N664" s="22">
        <f t="shared" si="325"/>
        <v>239.12012777943022</v>
      </c>
      <c r="O664" s="22">
        <f t="shared" si="325"/>
        <v>223.55778769953272</v>
      </c>
      <c r="P664" s="22">
        <f t="shared" si="325"/>
        <v>225.10346465599673</v>
      </c>
      <c r="Q664" s="22">
        <f t="shared" si="325"/>
        <v>226.24711083004243</v>
      </c>
      <c r="AI664" s="107"/>
    </row>
    <row r="665" spans="4:35" outlineLevel="1">
      <c r="E665" s="10" t="s">
        <v>110</v>
      </c>
      <c r="G665" s="10" t="s">
        <v>210</v>
      </c>
      <c r="L665" s="22">
        <f t="shared" ref="L665:Q665" si="326">L391</f>
        <v>100.4350951161572</v>
      </c>
      <c r="M665" s="22">
        <f t="shared" si="326"/>
        <v>108.17026638692084</v>
      </c>
      <c r="N665" s="22">
        <f t="shared" si="326"/>
        <v>84.172289623706249</v>
      </c>
      <c r="O665" s="22">
        <f t="shared" si="326"/>
        <v>72.851813718941855</v>
      </c>
      <c r="P665" s="22">
        <f t="shared" si="326"/>
        <v>67.576106046256768</v>
      </c>
      <c r="Q665" s="22">
        <f t="shared" si="326"/>
        <v>62.192850526246922</v>
      </c>
      <c r="AI665" s="107"/>
    </row>
    <row r="666" spans="4:35" outlineLevel="1">
      <c r="E666" s="10" t="s">
        <v>111</v>
      </c>
      <c r="G666" s="10" t="s">
        <v>210</v>
      </c>
      <c r="L666" s="22">
        <f t="shared" ref="L666:Q666" si="327">L427</f>
        <v>81.412857288769004</v>
      </c>
      <c r="M666" s="22">
        <f t="shared" si="327"/>
        <v>189.07354224300124</v>
      </c>
      <c r="N666" s="22">
        <f t="shared" si="327"/>
        <v>177.59083754057747</v>
      </c>
      <c r="O666" s="22">
        <f t="shared" si="327"/>
        <v>166.00269185415482</v>
      </c>
      <c r="P666" s="22">
        <f t="shared" si="327"/>
        <v>154.30838931474327</v>
      </c>
      <c r="Q666" s="22">
        <f t="shared" si="327"/>
        <v>142.3669116022522</v>
      </c>
      <c r="AI666" s="107"/>
    </row>
    <row r="667" spans="4:35" outlineLevel="1">
      <c r="E667" s="10" t="s">
        <v>112</v>
      </c>
      <c r="G667" s="10" t="s">
        <v>210</v>
      </c>
      <c r="L667" s="22">
        <f>L485</f>
        <v>100.96260278571518</v>
      </c>
      <c r="M667" s="22">
        <f t="shared" ref="M667:Q667" si="328">M485</f>
        <v>116.50551345855148</v>
      </c>
      <c r="N667" s="22">
        <f t="shared" si="328"/>
        <v>97.551038569694612</v>
      </c>
      <c r="O667" s="22">
        <f t="shared" si="328"/>
        <v>91.221914180855478</v>
      </c>
      <c r="P667" s="22">
        <f t="shared" si="328"/>
        <v>91.864290235379499</v>
      </c>
      <c r="Q667" s="22">
        <f t="shared" si="328"/>
        <v>92.339584192491742</v>
      </c>
      <c r="AI667" s="107"/>
    </row>
    <row r="668" spans="4:35" outlineLevel="1">
      <c r="E668" s="10" t="s">
        <v>114</v>
      </c>
      <c r="G668" s="10" t="s">
        <v>210</v>
      </c>
      <c r="L668" s="22">
        <f>L627</f>
        <v>1.7521316328441758</v>
      </c>
      <c r="M668" s="22">
        <f t="shared" ref="M668:Q668" si="329">M627</f>
        <v>1.1791360917813238</v>
      </c>
      <c r="N668" s="22">
        <f t="shared" si="329"/>
        <v>1.1581120862327008</v>
      </c>
      <c r="O668" s="22">
        <f t="shared" si="329"/>
        <v>1.1451403297378231</v>
      </c>
      <c r="P668" s="22">
        <f t="shared" si="329"/>
        <v>1.1451403297378231</v>
      </c>
      <c r="Q668" s="22">
        <f t="shared" si="329"/>
        <v>1.1451403297378231</v>
      </c>
      <c r="AI668" s="107"/>
    </row>
    <row r="669" spans="4:35" outlineLevel="1">
      <c r="E669" s="10" t="s">
        <v>115</v>
      </c>
      <c r="G669" s="10" t="s">
        <v>210</v>
      </c>
      <c r="L669" s="22">
        <f t="shared" ref="L669" si="330">L643</f>
        <v>3.0559999994214393</v>
      </c>
      <c r="M669" s="22">
        <f t="shared" ref="M669:Q669" si="331">M643</f>
        <v>2.0775762210124991</v>
      </c>
      <c r="N669" s="22">
        <f t="shared" si="331"/>
        <v>2.0416764879918587</v>
      </c>
      <c r="O669" s="22">
        <f t="shared" si="331"/>
        <v>2.0195264465119953</v>
      </c>
      <c r="P669" s="22">
        <f t="shared" si="331"/>
        <v>2.0195264465119953</v>
      </c>
      <c r="Q669" s="22">
        <f t="shared" si="331"/>
        <v>2.0195264465119953</v>
      </c>
      <c r="AI669" s="107"/>
    </row>
    <row r="670" spans="4:35" outlineLevel="1">
      <c r="E670" s="10" t="s">
        <v>116</v>
      </c>
      <c r="G670" s="10" t="s">
        <v>210</v>
      </c>
      <c r="L670" s="22">
        <f t="shared" ref="L670:Q670" si="332">L584</f>
        <v>0</v>
      </c>
      <c r="M670" s="22">
        <f>M584</f>
        <v>0</v>
      </c>
      <c r="N670" s="22">
        <f t="shared" si="332"/>
        <v>0</v>
      </c>
      <c r="O670" s="22">
        <f t="shared" si="332"/>
        <v>0</v>
      </c>
      <c r="P670" s="22">
        <f t="shared" si="332"/>
        <v>0</v>
      </c>
      <c r="Q670" s="22">
        <f t="shared" si="332"/>
        <v>0</v>
      </c>
      <c r="AI670" s="107"/>
    </row>
    <row r="671" spans="4:35" outlineLevel="1">
      <c r="D671" s="95" t="s">
        <v>107</v>
      </c>
      <c r="E671" s="62"/>
      <c r="F671" s="62"/>
      <c r="G671" s="95" t="s">
        <v>210</v>
      </c>
      <c r="H671" s="62"/>
      <c r="I671" s="212"/>
      <c r="J671" s="62"/>
      <c r="K671" s="62"/>
      <c r="L671" s="436">
        <f>SUM(L662:L670)</f>
        <v>639.4514707649414</v>
      </c>
      <c r="M671" s="436">
        <f t="shared" ref="M671:Q671" si="333">SUM(M662:M670)</f>
        <v>731.80364732983458</v>
      </c>
      <c r="N671" s="436">
        <f t="shared" si="333"/>
        <v>625.99573974637121</v>
      </c>
      <c r="O671" s="436">
        <f t="shared" si="333"/>
        <v>579.55528443454477</v>
      </c>
      <c r="P671" s="436">
        <f t="shared" si="333"/>
        <v>564.91894396223836</v>
      </c>
      <c r="Q671" s="436">
        <f t="shared" si="333"/>
        <v>549.32089265912509</v>
      </c>
      <c r="AI671" s="107"/>
    </row>
    <row r="672" spans="4:35" outlineLevel="1">
      <c r="L672" s="22"/>
      <c r="M672" s="23"/>
      <c r="N672" s="23"/>
      <c r="O672" s="23"/>
      <c r="P672" s="23"/>
      <c r="Q672" s="23"/>
      <c r="AI672" s="107"/>
    </row>
    <row r="673" spans="1:35" outlineLevel="1">
      <c r="D673" s="27" t="s">
        <v>106</v>
      </c>
      <c r="L673" s="22"/>
      <c r="M673" s="21"/>
      <c r="N673" s="21"/>
      <c r="O673" s="21"/>
      <c r="P673" s="21"/>
      <c r="Q673" s="21"/>
      <c r="AI673" s="107"/>
    </row>
    <row r="674" spans="1:35" outlineLevel="1">
      <c r="D674" s="786"/>
      <c r="E674" s="787" t="s">
        <v>108</v>
      </c>
      <c r="F674" s="787"/>
      <c r="G674" s="787" t="s">
        <v>210</v>
      </c>
      <c r="H674" s="787"/>
      <c r="I674" s="788"/>
      <c r="J674" s="787"/>
      <c r="K674" s="787"/>
      <c r="L674" s="803">
        <f t="shared" ref="L674:Q674" si="334">L408</f>
        <v>36.476056192609775</v>
      </c>
      <c r="M674" s="803">
        <f t="shared" si="334"/>
        <v>41.478100976670532</v>
      </c>
      <c r="N674" s="803">
        <f t="shared" si="334"/>
        <v>34.681348258119343</v>
      </c>
      <c r="O674" s="803">
        <f t="shared" si="334"/>
        <v>32.396111893254343</v>
      </c>
      <c r="P674" s="803">
        <f t="shared" si="334"/>
        <v>32.603412420769352</v>
      </c>
      <c r="Q674" s="803">
        <f t="shared" si="334"/>
        <v>32.756794053444089</v>
      </c>
      <c r="AI674" s="107"/>
    </row>
    <row r="675" spans="1:35" outlineLevel="1">
      <c r="E675" s="10" t="s">
        <v>109</v>
      </c>
      <c r="G675" s="10" t="s">
        <v>210</v>
      </c>
      <c r="L675" s="22">
        <f t="shared" ref="L675:Q675" si="335">L444</f>
        <v>110.9400725341583</v>
      </c>
      <c r="M675" s="22">
        <f t="shared" si="335"/>
        <v>0</v>
      </c>
      <c r="N675" s="22">
        <f t="shared" si="335"/>
        <v>0</v>
      </c>
      <c r="O675" s="22">
        <f t="shared" si="335"/>
        <v>0</v>
      </c>
      <c r="P675" s="22">
        <f t="shared" si="335"/>
        <v>0</v>
      </c>
      <c r="Q675" s="22">
        <f t="shared" si="335"/>
        <v>0</v>
      </c>
      <c r="AI675" s="107"/>
    </row>
    <row r="676" spans="1:35" outlineLevel="1">
      <c r="E676" s="10" t="s">
        <v>113</v>
      </c>
      <c r="G676" s="10" t="s">
        <v>210</v>
      </c>
      <c r="L676" s="22">
        <f>L504</f>
        <v>353.45435715909963</v>
      </c>
      <c r="M676" s="22">
        <f t="shared" ref="M676:Q676" si="336">M504</f>
        <v>406.66897496273344</v>
      </c>
      <c r="N676" s="22">
        <f t="shared" si="336"/>
        <v>340.41232100106453</v>
      </c>
      <c r="O676" s="22">
        <f t="shared" si="336"/>
        <v>318.25771462810189</v>
      </c>
      <c r="P676" s="22">
        <f t="shared" si="336"/>
        <v>320.45814620679829</v>
      </c>
      <c r="Q676" s="22">
        <f t="shared" si="336"/>
        <v>322.08624523855354</v>
      </c>
      <c r="AI676" s="107"/>
    </row>
    <row r="677" spans="1:35" outlineLevel="1">
      <c r="E677" s="10" t="s">
        <v>110</v>
      </c>
      <c r="G677" s="10" t="s">
        <v>210</v>
      </c>
      <c r="L677" s="22">
        <f t="shared" ref="L677:Q677" si="337">L392</f>
        <v>62.265706350741787</v>
      </c>
      <c r="M677" s="22">
        <f t="shared" si="337"/>
        <v>72.900175132542472</v>
      </c>
      <c r="N677" s="22">
        <f t="shared" si="337"/>
        <v>61.123052853529863</v>
      </c>
      <c r="O677" s="22">
        <f t="shared" si="337"/>
        <v>57.217413330389221</v>
      </c>
      <c r="P677" s="22">
        <f t="shared" si="337"/>
        <v>57.655952654434842</v>
      </c>
      <c r="Q677" s="22">
        <f t="shared" si="337"/>
        <v>57.980427841837972</v>
      </c>
      <c r="AI677" s="107"/>
    </row>
    <row r="678" spans="1:35" outlineLevel="1">
      <c r="E678" s="10" t="s">
        <v>111</v>
      </c>
      <c r="G678" s="10" t="s">
        <v>210</v>
      </c>
      <c r="L678" s="22">
        <f t="shared" ref="L678:Q678" si="338">L428</f>
        <v>68.688391956324836</v>
      </c>
      <c r="M678" s="22">
        <f t="shared" si="338"/>
        <v>173.11738998660152</v>
      </c>
      <c r="N678" s="22">
        <f t="shared" si="338"/>
        <v>174.91747143053593</v>
      </c>
      <c r="O678" s="22">
        <f t="shared" si="338"/>
        <v>176.51153281262378</v>
      </c>
      <c r="P678" s="22">
        <f t="shared" si="338"/>
        <v>177.86439453391367</v>
      </c>
      <c r="Q678" s="22">
        <f t="shared" si="338"/>
        <v>178.86537674115669</v>
      </c>
      <c r="AI678" s="107"/>
    </row>
    <row r="679" spans="1:35" outlineLevel="1">
      <c r="E679" s="10" t="s">
        <v>112</v>
      </c>
      <c r="G679" s="10" t="s">
        <v>210</v>
      </c>
      <c r="L679" s="22">
        <f t="shared" ref="L679:Q679" si="339">L486</f>
        <v>464.75937162894803</v>
      </c>
      <c r="M679" s="22">
        <f t="shared" si="339"/>
        <v>544.13643676326933</v>
      </c>
      <c r="N679" s="22">
        <f t="shared" si="339"/>
        <v>456.23045655710445</v>
      </c>
      <c r="O679" s="22">
        <f t="shared" si="339"/>
        <v>427.0782526078047</v>
      </c>
      <c r="P679" s="22">
        <f t="shared" si="339"/>
        <v>430.35156744872114</v>
      </c>
      <c r="Q679" s="22">
        <f t="shared" si="339"/>
        <v>432.77349266317543</v>
      </c>
      <c r="AI679" s="107"/>
    </row>
    <row r="680" spans="1:35" outlineLevel="1">
      <c r="E680" s="10" t="s">
        <v>114</v>
      </c>
      <c r="G680" s="10" t="s">
        <v>210</v>
      </c>
      <c r="L680" s="22">
        <f>L628</f>
        <v>2.4943412391701592</v>
      </c>
      <c r="M680" s="22">
        <f t="shared" ref="M680:Q680" si="340">M628</f>
        <v>1.6786226132735178</v>
      </c>
      <c r="N680" s="22">
        <f t="shared" si="340"/>
        <v>1.6486927592206311</v>
      </c>
      <c r="O680" s="22">
        <f t="shared" si="340"/>
        <v>1.6302261174665955</v>
      </c>
      <c r="P680" s="22">
        <f t="shared" si="340"/>
        <v>1.6302261174665955</v>
      </c>
      <c r="Q680" s="22">
        <f t="shared" si="340"/>
        <v>1.6302261174665955</v>
      </c>
      <c r="AI680" s="107"/>
    </row>
    <row r="681" spans="1:35" outlineLevel="1">
      <c r="E681" s="10" t="s">
        <v>115</v>
      </c>
      <c r="G681" s="10" t="s">
        <v>210</v>
      </c>
      <c r="L681" s="22">
        <f t="shared" ref="L681" si="341">L644</f>
        <v>4.3505331920109214</v>
      </c>
      <c r="M681" s="22">
        <f t="shared" ref="M681:Q681" si="342">M644</f>
        <v>2.9576453894498278</v>
      </c>
      <c r="N681" s="22">
        <f t="shared" si="342"/>
        <v>2.9065383933371987</v>
      </c>
      <c r="O681" s="22">
        <f t="shared" si="342"/>
        <v>2.8750055102610172</v>
      </c>
      <c r="P681" s="22">
        <f t="shared" si="342"/>
        <v>2.8750055102610172</v>
      </c>
      <c r="Q681" s="22">
        <f t="shared" si="342"/>
        <v>2.8750055102610172</v>
      </c>
      <c r="AI681" s="107"/>
    </row>
    <row r="682" spans="1:35" outlineLevel="1">
      <c r="E682" s="10" t="s">
        <v>116</v>
      </c>
      <c r="G682" s="10" t="s">
        <v>210</v>
      </c>
      <c r="L682" s="22">
        <f t="shared" ref="L682:P682" si="343">L585</f>
        <v>29.745041608358846</v>
      </c>
      <c r="M682" s="22">
        <f t="shared" si="343"/>
        <v>45.836814055965391</v>
      </c>
      <c r="N682" s="22">
        <f t="shared" si="343"/>
        <v>39.259269756499727</v>
      </c>
      <c r="O682" s="22">
        <f t="shared" si="343"/>
        <v>34.579415655977613</v>
      </c>
      <c r="P682" s="22">
        <f t="shared" si="343"/>
        <v>31.584677479459348</v>
      </c>
      <c r="Q682" s="22">
        <f>Q585</f>
        <v>29.112827349380513</v>
      </c>
      <c r="AI682" s="107"/>
    </row>
    <row r="683" spans="1:35" outlineLevel="1">
      <c r="D683" s="95" t="s">
        <v>107</v>
      </c>
      <c r="E683" s="62"/>
      <c r="F683" s="62"/>
      <c r="G683" s="95" t="s">
        <v>210</v>
      </c>
      <c r="H683" s="62"/>
      <c r="I683" s="212"/>
      <c r="J683" s="62"/>
      <c r="K683" s="62"/>
      <c r="L683" s="436">
        <f>SUM(L674:L682)</f>
        <v>1133.1738718614224</v>
      </c>
      <c r="M683" s="436">
        <f t="shared" ref="M683:Q683" si="344">SUM(M674:M682)</f>
        <v>1288.774159880506</v>
      </c>
      <c r="N683" s="436">
        <f t="shared" si="344"/>
        <v>1111.1791510094115</v>
      </c>
      <c r="O683" s="436">
        <f t="shared" si="344"/>
        <v>1050.545672555879</v>
      </c>
      <c r="P683" s="436">
        <f t="shared" si="344"/>
        <v>1055.0233823718243</v>
      </c>
      <c r="Q683" s="436">
        <f t="shared" si="344"/>
        <v>1058.0803955152758</v>
      </c>
      <c r="AI683" s="107"/>
    </row>
    <row r="684" spans="1:35" outlineLevel="1">
      <c r="D684" s="27" t="s">
        <v>357</v>
      </c>
      <c r="G684" s="10" t="s">
        <v>171</v>
      </c>
      <c r="L684" s="22">
        <f t="shared" ref="L684:Q684" si="345">L409+L445+L454</f>
        <v>106.02346846264842</v>
      </c>
      <c r="M684" s="22">
        <f t="shared" si="345"/>
        <v>192.31254412514173</v>
      </c>
      <c r="N684" s="22">
        <f t="shared" si="345"/>
        <v>181.57233816720245</v>
      </c>
      <c r="O684" s="22">
        <f t="shared" si="345"/>
        <v>177.78322130772932</v>
      </c>
      <c r="P684" s="22">
        <f t="shared" si="345"/>
        <v>177.78322130772932</v>
      </c>
      <c r="Q684" s="22">
        <f t="shared" si="345"/>
        <v>177.78322130772932</v>
      </c>
      <c r="AI684" s="107"/>
    </row>
    <row r="685" spans="1:35" outlineLevel="1">
      <c r="L685" s="21"/>
      <c r="M685" s="22"/>
      <c r="N685" s="22"/>
      <c r="O685" s="22"/>
      <c r="P685" s="22"/>
      <c r="Q685" s="22"/>
      <c r="AI685" s="107"/>
    </row>
    <row r="686" spans="1:35" outlineLevel="1">
      <c r="M686" s="51"/>
      <c r="N686" s="51"/>
      <c r="O686" s="51"/>
      <c r="P686" s="51"/>
      <c r="Q686" s="51"/>
      <c r="AI686" s="107"/>
    </row>
    <row r="687" spans="1:35">
      <c r="M687" s="51"/>
      <c r="N687" s="51"/>
      <c r="O687" s="51"/>
      <c r="P687" s="51"/>
      <c r="Q687" s="51"/>
      <c r="AI687" s="107"/>
    </row>
    <row r="688" spans="1:35">
      <c r="A688" s="93"/>
      <c r="B688" s="93" t="s">
        <v>358</v>
      </c>
      <c r="C688" s="93"/>
      <c r="D688" s="93"/>
      <c r="E688" s="93"/>
      <c r="F688" s="93"/>
      <c r="G688" s="93"/>
      <c r="H688" s="93"/>
      <c r="I688" s="211"/>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107"/>
    </row>
    <row r="689" spans="4:35">
      <c r="AI689" s="107"/>
    </row>
    <row r="690" spans="4:35">
      <c r="AI690" s="107"/>
    </row>
    <row r="691" spans="4:35">
      <c r="D691" s="27" t="s">
        <v>104</v>
      </c>
      <c r="H691" s="163" t="s">
        <v>359</v>
      </c>
      <c r="I691" s="163" t="s">
        <v>360</v>
      </c>
      <c r="J691" s="27" t="s">
        <v>361</v>
      </c>
      <c r="AI691" s="107"/>
    </row>
    <row r="692" spans="4:35">
      <c r="D692" s="786"/>
      <c r="E692" s="787" t="s">
        <v>108</v>
      </c>
      <c r="F692" s="787"/>
      <c r="G692" s="787" t="s">
        <v>210</v>
      </c>
      <c r="H692" s="802">
        <f t="shared" ref="H692:H702" si="346">AVERAGE(L692:Q692)</f>
        <v>12.510672248384312</v>
      </c>
      <c r="I692" s="820">
        <f>NPV('Central Inputs'!$C$47,L692:Q692)</f>
        <v>66.880666992541521</v>
      </c>
      <c r="J692" s="820">
        <f>NPV('Central Inputs'!$C$47,L692:AE692)</f>
        <v>171.53339101106445</v>
      </c>
      <c r="K692" s="821"/>
      <c r="L692" s="802">
        <f t="shared" ref="L692:Q700" si="347">L301-L650</f>
        <v>12.575056036724396</v>
      </c>
      <c r="M692" s="802">
        <f t="shared" si="347"/>
        <v>14.876988314340672</v>
      </c>
      <c r="N692" s="802">
        <f t="shared" si="347"/>
        <v>12.458566989713834</v>
      </c>
      <c r="O692" s="802">
        <f t="shared" si="347"/>
        <v>11.648971182269772</v>
      </c>
      <c r="P692" s="802">
        <f t="shared" si="347"/>
        <v>11.724342039879446</v>
      </c>
      <c r="Q692" s="802">
        <f t="shared" si="347"/>
        <v>11.78010892737775</v>
      </c>
      <c r="R692" s="802">
        <f>$Q692</f>
        <v>11.78010892737775</v>
      </c>
      <c r="S692" s="802">
        <f t="shared" ref="S692:AH702" si="348">$Q692</f>
        <v>11.78010892737775</v>
      </c>
      <c r="T692" s="802">
        <f t="shared" si="348"/>
        <v>11.78010892737775</v>
      </c>
      <c r="U692" s="802">
        <f t="shared" si="348"/>
        <v>11.78010892737775</v>
      </c>
      <c r="V692" s="802">
        <f t="shared" si="348"/>
        <v>11.78010892737775</v>
      </c>
      <c r="W692" s="802">
        <f t="shared" si="348"/>
        <v>11.78010892737775</v>
      </c>
      <c r="X692" s="802">
        <f t="shared" si="348"/>
        <v>11.78010892737775</v>
      </c>
      <c r="Y692" s="802">
        <f t="shared" si="348"/>
        <v>11.78010892737775</v>
      </c>
      <c r="Z692" s="802">
        <f t="shared" si="348"/>
        <v>11.78010892737775</v>
      </c>
      <c r="AA692" s="802">
        <f t="shared" si="348"/>
        <v>11.78010892737775</v>
      </c>
      <c r="AB692" s="802">
        <f t="shared" si="348"/>
        <v>11.78010892737775</v>
      </c>
      <c r="AC692" s="802">
        <f t="shared" si="348"/>
        <v>11.78010892737775</v>
      </c>
      <c r="AD692" s="802">
        <f t="shared" si="348"/>
        <v>11.78010892737775</v>
      </c>
      <c r="AE692" s="802">
        <f t="shared" si="348"/>
        <v>11.78010892737775</v>
      </c>
      <c r="AF692" s="802">
        <f t="shared" si="348"/>
        <v>11.78010892737775</v>
      </c>
      <c r="AG692" s="802">
        <f t="shared" si="348"/>
        <v>11.78010892737775</v>
      </c>
      <c r="AH692" s="802">
        <f t="shared" si="348"/>
        <v>11.78010892737775</v>
      </c>
      <c r="AI692" s="146"/>
    </row>
    <row r="693" spans="4:35">
      <c r="E693" s="10" t="s">
        <v>109</v>
      </c>
      <c r="G693" s="10" t="s">
        <v>210</v>
      </c>
      <c r="H693" s="418">
        <f t="shared" si="346"/>
        <v>26.053760015952729</v>
      </c>
      <c r="I693" s="449">
        <f>NPV('Central Inputs'!$C$47,L693:Q693)</f>
        <v>137.42961553103802</v>
      </c>
      <c r="J693" s="449">
        <f>NPV('Central Inputs'!$C$47,L693:AE693)</f>
        <v>397.63109805615909</v>
      </c>
      <c r="K693" s="418"/>
      <c r="L693" s="418">
        <f t="shared" si="347"/>
        <v>11.808222667776992</v>
      </c>
      <c r="M693" s="418">
        <f t="shared" si="347"/>
        <v>28.438345929057196</v>
      </c>
      <c r="N693" s="418">
        <f t="shared" si="347"/>
        <v>28.704827267907586</v>
      </c>
      <c r="O693" s="418">
        <f t="shared" si="347"/>
        <v>28.940809707890981</v>
      </c>
      <c r="P693" s="418">
        <f t="shared" si="347"/>
        <v>29.141085314299549</v>
      </c>
      <c r="Q693" s="418">
        <f t="shared" si="347"/>
        <v>29.289269208784091</v>
      </c>
      <c r="R693" s="418">
        <f t="shared" ref="R693:AG741" si="349">$Q693</f>
        <v>29.289269208784091</v>
      </c>
      <c r="S693" s="418">
        <f t="shared" si="349"/>
        <v>29.289269208784091</v>
      </c>
      <c r="T693" s="418">
        <f t="shared" si="349"/>
        <v>29.289269208784091</v>
      </c>
      <c r="U693" s="418">
        <f t="shared" si="349"/>
        <v>29.289269208784091</v>
      </c>
      <c r="V693" s="418">
        <f t="shared" si="349"/>
        <v>29.289269208784091</v>
      </c>
      <c r="W693" s="418">
        <f t="shared" si="349"/>
        <v>29.289269208784091</v>
      </c>
      <c r="X693" s="418">
        <f t="shared" si="349"/>
        <v>29.289269208784091</v>
      </c>
      <c r="Y693" s="418">
        <f t="shared" si="349"/>
        <v>29.289269208784091</v>
      </c>
      <c r="Z693" s="418">
        <f t="shared" si="349"/>
        <v>29.289269208784091</v>
      </c>
      <c r="AA693" s="418">
        <f t="shared" si="349"/>
        <v>29.289269208784091</v>
      </c>
      <c r="AB693" s="418">
        <f t="shared" si="349"/>
        <v>29.289269208784091</v>
      </c>
      <c r="AC693" s="418">
        <f t="shared" si="349"/>
        <v>29.289269208784091</v>
      </c>
      <c r="AD693" s="418">
        <f t="shared" si="349"/>
        <v>29.289269208784091</v>
      </c>
      <c r="AE693" s="418">
        <f t="shared" si="349"/>
        <v>29.289269208784091</v>
      </c>
      <c r="AF693" s="418">
        <f t="shared" si="349"/>
        <v>29.289269208784091</v>
      </c>
      <c r="AG693" s="418">
        <f t="shared" si="349"/>
        <v>29.289269208784091</v>
      </c>
      <c r="AH693" s="418">
        <f t="shared" si="348"/>
        <v>29.289269208784091</v>
      </c>
      <c r="AI693" s="146"/>
    </row>
    <row r="694" spans="4:35">
      <c r="E694" s="10" t="s">
        <v>113</v>
      </c>
      <c r="G694" s="10" t="s">
        <v>210</v>
      </c>
      <c r="H694" s="418">
        <f t="shared" si="346"/>
        <v>3.307817061507297</v>
      </c>
      <c r="I694" s="449">
        <f>NPV('Central Inputs'!$C$47,L694:Q694)</f>
        <v>17.628333832762156</v>
      </c>
      <c r="J694" s="449">
        <f>NPV('Central Inputs'!$C$47,L694:AE694)</f>
        <v>46.128521976895506</v>
      </c>
      <c r="K694" s="418"/>
      <c r="L694" s="418">
        <f t="shared" si="347"/>
        <v>2.6750257660068399</v>
      </c>
      <c r="M694" s="418">
        <f t="shared" si="347"/>
        <v>4.1081170324457688</v>
      </c>
      <c r="N694" s="418">
        <f t="shared" si="347"/>
        <v>3.4394906200029141</v>
      </c>
      <c r="O694" s="418">
        <f t="shared" si="347"/>
        <v>3.2080896501960865</v>
      </c>
      <c r="P694" s="418">
        <f t="shared" si="347"/>
        <v>3.2080896501960865</v>
      </c>
      <c r="Q694" s="418">
        <f t="shared" si="347"/>
        <v>3.2080896501960865</v>
      </c>
      <c r="R694" s="418">
        <f t="shared" si="349"/>
        <v>3.2080896501960865</v>
      </c>
      <c r="S694" s="418">
        <f t="shared" si="348"/>
        <v>3.2080896501960865</v>
      </c>
      <c r="T694" s="418">
        <f t="shared" si="348"/>
        <v>3.2080896501960865</v>
      </c>
      <c r="U694" s="418">
        <f t="shared" si="348"/>
        <v>3.2080896501960865</v>
      </c>
      <c r="V694" s="418">
        <f t="shared" si="348"/>
        <v>3.2080896501960865</v>
      </c>
      <c r="W694" s="418">
        <f t="shared" si="348"/>
        <v>3.2080896501960865</v>
      </c>
      <c r="X694" s="418">
        <f t="shared" si="348"/>
        <v>3.2080896501960865</v>
      </c>
      <c r="Y694" s="418">
        <f t="shared" si="348"/>
        <v>3.2080896501960865</v>
      </c>
      <c r="Z694" s="418">
        <f t="shared" si="348"/>
        <v>3.2080896501960865</v>
      </c>
      <c r="AA694" s="418">
        <f t="shared" si="348"/>
        <v>3.2080896501960865</v>
      </c>
      <c r="AB694" s="418">
        <f t="shared" si="348"/>
        <v>3.2080896501960865</v>
      </c>
      <c r="AC694" s="418">
        <f t="shared" si="348"/>
        <v>3.2080896501960865</v>
      </c>
      <c r="AD694" s="418">
        <f t="shared" si="348"/>
        <v>3.2080896501960865</v>
      </c>
      <c r="AE694" s="418">
        <f t="shared" si="348"/>
        <v>3.2080896501960865</v>
      </c>
      <c r="AF694" s="418">
        <f t="shared" si="348"/>
        <v>3.2080896501960865</v>
      </c>
      <c r="AG694" s="418">
        <f t="shared" si="348"/>
        <v>3.2080896501960865</v>
      </c>
      <c r="AH694" s="418">
        <f t="shared" si="348"/>
        <v>3.2080896501960865</v>
      </c>
      <c r="AI694" s="146"/>
    </row>
    <row r="695" spans="4:35">
      <c r="E695" s="10" t="s">
        <v>110</v>
      </c>
      <c r="G695" s="10" t="s">
        <v>210</v>
      </c>
      <c r="H695" s="418">
        <f t="shared" si="346"/>
        <v>-18.508601363413273</v>
      </c>
      <c r="I695" s="449">
        <f>NPV('Central Inputs'!$C$47,L695:Q695)</f>
        <v>-99.785995196412301</v>
      </c>
      <c r="J695" s="449">
        <f>NPV('Central Inputs'!$C$47,L695:AE695)</f>
        <v>-221.59578350434845</v>
      </c>
      <c r="K695" s="418"/>
      <c r="L695" s="418">
        <f t="shared" si="347"/>
        <v>-22.762814908828194</v>
      </c>
      <c r="M695" s="418">
        <f t="shared" si="347"/>
        <v>-24.400450949332537</v>
      </c>
      <c r="N695" s="418">
        <f t="shared" si="347"/>
        <v>-18.900178043595858</v>
      </c>
      <c r="O695" s="418">
        <f t="shared" si="347"/>
        <v>-16.272923587505176</v>
      </c>
      <c r="P695" s="418">
        <f t="shared" si="347"/>
        <v>-15.003867307049315</v>
      </c>
      <c r="Q695" s="418">
        <f t="shared" si="347"/>
        <v>-13.711373384168558</v>
      </c>
      <c r="R695" s="418">
        <f t="shared" si="349"/>
        <v>-13.711373384168558</v>
      </c>
      <c r="S695" s="418">
        <f t="shared" si="348"/>
        <v>-13.711373384168558</v>
      </c>
      <c r="T695" s="418">
        <f t="shared" si="348"/>
        <v>-13.711373384168558</v>
      </c>
      <c r="U695" s="418">
        <f t="shared" si="348"/>
        <v>-13.711373384168558</v>
      </c>
      <c r="V695" s="418">
        <f t="shared" si="348"/>
        <v>-13.711373384168558</v>
      </c>
      <c r="W695" s="418">
        <f t="shared" si="348"/>
        <v>-13.711373384168558</v>
      </c>
      <c r="X695" s="418">
        <f t="shared" si="348"/>
        <v>-13.711373384168558</v>
      </c>
      <c r="Y695" s="418">
        <f t="shared" si="348"/>
        <v>-13.711373384168558</v>
      </c>
      <c r="Z695" s="418">
        <f t="shared" si="348"/>
        <v>-13.711373384168558</v>
      </c>
      <c r="AA695" s="418">
        <f t="shared" si="348"/>
        <v>-13.711373384168558</v>
      </c>
      <c r="AB695" s="418">
        <f t="shared" si="348"/>
        <v>-13.711373384168558</v>
      </c>
      <c r="AC695" s="418">
        <f t="shared" si="348"/>
        <v>-13.711373384168558</v>
      </c>
      <c r="AD695" s="418">
        <f t="shared" si="348"/>
        <v>-13.711373384168558</v>
      </c>
      <c r="AE695" s="418">
        <f t="shared" si="348"/>
        <v>-13.711373384168558</v>
      </c>
      <c r="AF695" s="418">
        <f t="shared" si="348"/>
        <v>-13.711373384168558</v>
      </c>
      <c r="AG695" s="418">
        <f t="shared" si="348"/>
        <v>-13.711373384168558</v>
      </c>
      <c r="AH695" s="418">
        <f t="shared" si="348"/>
        <v>-13.711373384168558</v>
      </c>
      <c r="AI695" s="146"/>
    </row>
    <row r="696" spans="4:35">
      <c r="E696" s="10" t="s">
        <v>111</v>
      </c>
      <c r="G696" s="10" t="s">
        <v>210</v>
      </c>
      <c r="H696" s="418">
        <f t="shared" si="346"/>
        <v>-33.132431495565903</v>
      </c>
      <c r="I696" s="449">
        <f>NPV('Central Inputs'!$C$47,L696:Q696)</f>
        <v>-175.98322206612238</v>
      </c>
      <c r="J696" s="449">
        <f>NPV('Central Inputs'!$C$47,L696:AE696)</f>
        <v>-446.71354071475463</v>
      </c>
      <c r="K696" s="418"/>
      <c r="L696" s="418">
        <f t="shared" si="347"/>
        <v>-18.091319241743435</v>
      </c>
      <c r="M696" s="418">
        <f t="shared" si="347"/>
        <v>-41.746475638934704</v>
      </c>
      <c r="N696" s="418">
        <f t="shared" si="347"/>
        <v>-38.967620646282754</v>
      </c>
      <c r="O696" s="418">
        <f t="shared" si="347"/>
        <v>-36.167649984357503</v>
      </c>
      <c r="P696" s="418">
        <f t="shared" si="347"/>
        <v>-33.347088386119516</v>
      </c>
      <c r="Q696" s="418">
        <f t="shared" si="347"/>
        <v>-30.474435075957498</v>
      </c>
      <c r="R696" s="418">
        <f t="shared" si="349"/>
        <v>-30.474435075957498</v>
      </c>
      <c r="S696" s="418">
        <f t="shared" si="348"/>
        <v>-30.474435075957498</v>
      </c>
      <c r="T696" s="418">
        <f t="shared" si="348"/>
        <v>-30.474435075957498</v>
      </c>
      <c r="U696" s="418">
        <f t="shared" si="348"/>
        <v>-30.474435075957498</v>
      </c>
      <c r="V696" s="418">
        <f t="shared" si="348"/>
        <v>-30.474435075957498</v>
      </c>
      <c r="W696" s="418">
        <f t="shared" si="348"/>
        <v>-30.474435075957498</v>
      </c>
      <c r="X696" s="418">
        <f t="shared" si="348"/>
        <v>-30.474435075957498</v>
      </c>
      <c r="Y696" s="418">
        <f t="shared" si="348"/>
        <v>-30.474435075957498</v>
      </c>
      <c r="Z696" s="418">
        <f t="shared" si="348"/>
        <v>-30.474435075957498</v>
      </c>
      <c r="AA696" s="418">
        <f t="shared" si="348"/>
        <v>-30.474435075957498</v>
      </c>
      <c r="AB696" s="418">
        <f t="shared" si="348"/>
        <v>-30.474435075957498</v>
      </c>
      <c r="AC696" s="418">
        <f t="shared" si="348"/>
        <v>-30.474435075957498</v>
      </c>
      <c r="AD696" s="418">
        <f t="shared" si="348"/>
        <v>-30.474435075957498</v>
      </c>
      <c r="AE696" s="418">
        <f t="shared" si="348"/>
        <v>-30.474435075957498</v>
      </c>
      <c r="AF696" s="418">
        <f t="shared" si="348"/>
        <v>-30.474435075957498</v>
      </c>
      <c r="AG696" s="418">
        <f t="shared" si="348"/>
        <v>-30.474435075957498</v>
      </c>
      <c r="AH696" s="418">
        <f t="shared" si="348"/>
        <v>-30.474435075957498</v>
      </c>
      <c r="AI696" s="146"/>
    </row>
    <row r="697" spans="4:35">
      <c r="E697" s="10" t="s">
        <v>112</v>
      </c>
      <c r="G697" s="10" t="s">
        <v>210</v>
      </c>
      <c r="H697" s="418">
        <f t="shared" si="346"/>
        <v>1.2692653030037662</v>
      </c>
      <c r="I697" s="449">
        <f>NPV('Central Inputs'!$C$47,L697:Q697)</f>
        <v>6.7642895806023242</v>
      </c>
      <c r="J697" s="449">
        <f>NPV('Central Inputs'!$C$47,L697:AE697)</f>
        <v>17.700293376393851</v>
      </c>
      <c r="K697" s="418"/>
      <c r="L697" s="418">
        <f t="shared" si="347"/>
        <v>1.0264525898195789</v>
      </c>
      <c r="M697" s="418">
        <f t="shared" si="347"/>
        <v>1.5763539255663019</v>
      </c>
      <c r="N697" s="418">
        <f t="shared" si="347"/>
        <v>1.3197906724585611</v>
      </c>
      <c r="O697" s="418">
        <f t="shared" si="347"/>
        <v>1.2309982100593846</v>
      </c>
      <c r="P697" s="418">
        <f t="shared" si="347"/>
        <v>1.2309982100593846</v>
      </c>
      <c r="Q697" s="418">
        <f t="shared" si="347"/>
        <v>1.2309982100593864</v>
      </c>
      <c r="R697" s="418">
        <f t="shared" si="349"/>
        <v>1.2309982100593864</v>
      </c>
      <c r="S697" s="418">
        <f t="shared" si="348"/>
        <v>1.2309982100593864</v>
      </c>
      <c r="T697" s="418">
        <f t="shared" si="348"/>
        <v>1.2309982100593864</v>
      </c>
      <c r="U697" s="418">
        <f t="shared" si="348"/>
        <v>1.2309982100593864</v>
      </c>
      <c r="V697" s="418">
        <f t="shared" si="348"/>
        <v>1.2309982100593864</v>
      </c>
      <c r="W697" s="418">
        <f t="shared" si="348"/>
        <v>1.2309982100593864</v>
      </c>
      <c r="X697" s="418">
        <f t="shared" si="348"/>
        <v>1.2309982100593864</v>
      </c>
      <c r="Y697" s="418">
        <f t="shared" si="348"/>
        <v>1.2309982100593864</v>
      </c>
      <c r="Z697" s="418">
        <f t="shared" si="348"/>
        <v>1.2309982100593864</v>
      </c>
      <c r="AA697" s="418">
        <f t="shared" si="348"/>
        <v>1.2309982100593864</v>
      </c>
      <c r="AB697" s="418">
        <f t="shared" si="348"/>
        <v>1.2309982100593864</v>
      </c>
      <c r="AC697" s="418">
        <f t="shared" si="348"/>
        <v>1.2309982100593864</v>
      </c>
      <c r="AD697" s="418">
        <f t="shared" si="348"/>
        <v>1.2309982100593864</v>
      </c>
      <c r="AE697" s="418">
        <f t="shared" si="348"/>
        <v>1.2309982100593864</v>
      </c>
      <c r="AF697" s="418">
        <f t="shared" si="348"/>
        <v>1.2309982100593864</v>
      </c>
      <c r="AG697" s="418">
        <f t="shared" si="348"/>
        <v>1.2309982100593864</v>
      </c>
      <c r="AH697" s="418">
        <f t="shared" si="348"/>
        <v>1.2309982100593864</v>
      </c>
      <c r="AI697" s="146"/>
    </row>
    <row r="698" spans="4:35">
      <c r="E698" s="10" t="s">
        <v>114</v>
      </c>
      <c r="G698" s="10" t="s">
        <v>210</v>
      </c>
      <c r="H698" s="418">
        <f t="shared" si="346"/>
        <v>35.332564460216766</v>
      </c>
      <c r="I698" s="449">
        <f>NPV('Central Inputs'!$C$47,L698:Q698)</f>
        <v>188.6809435641525</v>
      </c>
      <c r="J698" s="449">
        <f>NPV('Central Inputs'!$C$47,L698:AE698)</f>
        <v>474.00482773323535</v>
      </c>
      <c r="K698" s="418"/>
      <c r="L698" s="418">
        <f t="shared" si="347"/>
        <v>30.553825616513706</v>
      </c>
      <c r="M698" s="418">
        <f t="shared" si="347"/>
        <v>44.217929888486239</v>
      </c>
      <c r="N698" s="418">
        <f t="shared" si="347"/>
        <v>37.424343527727686</v>
      </c>
      <c r="O698" s="418">
        <f t="shared" si="347"/>
        <v>34.407220235464251</v>
      </c>
      <c r="P698" s="418">
        <f t="shared" si="347"/>
        <v>33.27492513855897</v>
      </c>
      <c r="Q698" s="418">
        <f t="shared" si="347"/>
        <v>32.117142354549742</v>
      </c>
      <c r="R698" s="418">
        <f t="shared" si="349"/>
        <v>32.117142354549742</v>
      </c>
      <c r="S698" s="418">
        <f t="shared" si="348"/>
        <v>32.117142354549742</v>
      </c>
      <c r="T698" s="418">
        <f t="shared" si="348"/>
        <v>32.117142354549742</v>
      </c>
      <c r="U698" s="418">
        <f t="shared" si="348"/>
        <v>32.117142354549742</v>
      </c>
      <c r="V698" s="418">
        <f t="shared" si="348"/>
        <v>32.117142354549742</v>
      </c>
      <c r="W698" s="418">
        <f t="shared" si="348"/>
        <v>32.117142354549742</v>
      </c>
      <c r="X698" s="418">
        <f t="shared" si="348"/>
        <v>32.117142354549742</v>
      </c>
      <c r="Y698" s="418">
        <f t="shared" si="348"/>
        <v>32.117142354549742</v>
      </c>
      <c r="Z698" s="418">
        <f t="shared" si="348"/>
        <v>32.117142354549742</v>
      </c>
      <c r="AA698" s="418">
        <f t="shared" si="348"/>
        <v>32.117142354549742</v>
      </c>
      <c r="AB698" s="418">
        <f t="shared" si="348"/>
        <v>32.117142354549742</v>
      </c>
      <c r="AC698" s="418">
        <f t="shared" si="348"/>
        <v>32.117142354549742</v>
      </c>
      <c r="AD698" s="418">
        <f t="shared" si="348"/>
        <v>32.117142354549742</v>
      </c>
      <c r="AE698" s="418">
        <f t="shared" si="348"/>
        <v>32.117142354549742</v>
      </c>
      <c r="AF698" s="418">
        <f t="shared" si="348"/>
        <v>32.117142354549742</v>
      </c>
      <c r="AG698" s="418">
        <f t="shared" si="348"/>
        <v>32.117142354549742</v>
      </c>
      <c r="AH698" s="418">
        <f t="shared" si="348"/>
        <v>32.117142354549742</v>
      </c>
      <c r="AI698" s="146"/>
    </row>
    <row r="699" spans="4:35">
      <c r="E699" s="10" t="s">
        <v>115</v>
      </c>
      <c r="G699" s="10" t="s">
        <v>210</v>
      </c>
      <c r="H699" s="418">
        <f t="shared" si="346"/>
        <v>0.81885569737799246</v>
      </c>
      <c r="I699" s="449">
        <f>NPV('Central Inputs'!$C$47,L699:Q699)</f>
        <v>4.3456378111878573</v>
      </c>
      <c r="J699" s="449">
        <f>NPV('Central Inputs'!$C$47,L699:AE699)</f>
        <v>11.968678791158979</v>
      </c>
      <c r="K699" s="418"/>
      <c r="L699" s="418">
        <f t="shared" si="347"/>
        <v>0.63964361629029132</v>
      </c>
      <c r="M699" s="418">
        <f t="shared" si="347"/>
        <v>0.84584462333116384</v>
      </c>
      <c r="N699" s="418">
        <f t="shared" si="347"/>
        <v>0.85341042586449156</v>
      </c>
      <c r="O699" s="418">
        <f t="shared" si="347"/>
        <v>0.85807850626066939</v>
      </c>
      <c r="P699" s="418">
        <f t="shared" si="347"/>
        <v>0.85807850626066939</v>
      </c>
      <c r="Q699" s="418">
        <f t="shared" si="347"/>
        <v>0.85807850626066939</v>
      </c>
      <c r="R699" s="418">
        <f t="shared" si="349"/>
        <v>0.85807850626066939</v>
      </c>
      <c r="S699" s="418">
        <f t="shared" si="348"/>
        <v>0.85807850626066939</v>
      </c>
      <c r="T699" s="418">
        <f t="shared" si="348"/>
        <v>0.85807850626066939</v>
      </c>
      <c r="U699" s="418">
        <f t="shared" si="348"/>
        <v>0.85807850626066939</v>
      </c>
      <c r="V699" s="418">
        <f t="shared" si="348"/>
        <v>0.85807850626066939</v>
      </c>
      <c r="W699" s="418">
        <f t="shared" si="348"/>
        <v>0.85807850626066939</v>
      </c>
      <c r="X699" s="418">
        <f t="shared" si="348"/>
        <v>0.85807850626066939</v>
      </c>
      <c r="Y699" s="418">
        <f t="shared" si="348"/>
        <v>0.85807850626066939</v>
      </c>
      <c r="Z699" s="418">
        <f t="shared" si="348"/>
        <v>0.85807850626066939</v>
      </c>
      <c r="AA699" s="418">
        <f t="shared" si="348"/>
        <v>0.85807850626066939</v>
      </c>
      <c r="AB699" s="418">
        <f t="shared" si="348"/>
        <v>0.85807850626066939</v>
      </c>
      <c r="AC699" s="418">
        <f t="shared" si="348"/>
        <v>0.85807850626066939</v>
      </c>
      <c r="AD699" s="418">
        <f t="shared" si="348"/>
        <v>0.85807850626066939</v>
      </c>
      <c r="AE699" s="418">
        <f t="shared" si="348"/>
        <v>0.85807850626066939</v>
      </c>
      <c r="AF699" s="418">
        <f t="shared" si="348"/>
        <v>0.85807850626066939</v>
      </c>
      <c r="AG699" s="418">
        <f t="shared" si="348"/>
        <v>0.85807850626066939</v>
      </c>
      <c r="AH699" s="418">
        <f t="shared" si="348"/>
        <v>0.85807850626066939</v>
      </c>
      <c r="AI699" s="146"/>
    </row>
    <row r="700" spans="4:35">
      <c r="E700" s="10" t="s">
        <v>116</v>
      </c>
      <c r="G700" s="10" t="s">
        <v>210</v>
      </c>
      <c r="H700" s="418">
        <f t="shared" si="346"/>
        <v>0</v>
      </c>
      <c r="I700" s="449">
        <f>NPV('Central Inputs'!$C$47,L700:Q700)</f>
        <v>0</v>
      </c>
      <c r="J700" s="449">
        <f>NPV('Central Inputs'!$C$47,L700:AE700)</f>
        <v>0</v>
      </c>
      <c r="K700" s="418"/>
      <c r="L700" s="418">
        <f t="shared" si="347"/>
        <v>0</v>
      </c>
      <c r="M700" s="418">
        <f t="shared" si="347"/>
        <v>0</v>
      </c>
      <c r="N700" s="418">
        <f t="shared" si="347"/>
        <v>0</v>
      </c>
      <c r="O700" s="418">
        <f t="shared" si="347"/>
        <v>0</v>
      </c>
      <c r="P700" s="418">
        <f t="shared" si="347"/>
        <v>0</v>
      </c>
      <c r="Q700" s="418">
        <f t="shared" si="347"/>
        <v>0</v>
      </c>
      <c r="R700" s="418">
        <f t="shared" si="349"/>
        <v>0</v>
      </c>
      <c r="S700" s="418">
        <f t="shared" si="348"/>
        <v>0</v>
      </c>
      <c r="T700" s="418">
        <f t="shared" si="348"/>
        <v>0</v>
      </c>
      <c r="U700" s="418">
        <f>$Q700</f>
        <v>0</v>
      </c>
      <c r="V700" s="418">
        <f t="shared" si="348"/>
        <v>0</v>
      </c>
      <c r="W700" s="418">
        <f t="shared" si="348"/>
        <v>0</v>
      </c>
      <c r="X700" s="418">
        <f t="shared" si="348"/>
        <v>0</v>
      </c>
      <c r="Y700" s="418">
        <f t="shared" si="348"/>
        <v>0</v>
      </c>
      <c r="Z700" s="418">
        <f t="shared" si="348"/>
        <v>0</v>
      </c>
      <c r="AA700" s="418">
        <f t="shared" si="348"/>
        <v>0</v>
      </c>
      <c r="AB700" s="418">
        <f t="shared" si="348"/>
        <v>0</v>
      </c>
      <c r="AC700" s="418">
        <f t="shared" si="348"/>
        <v>0</v>
      </c>
      <c r="AD700" s="418">
        <f t="shared" si="348"/>
        <v>0</v>
      </c>
      <c r="AE700" s="418">
        <f t="shared" si="348"/>
        <v>0</v>
      </c>
      <c r="AF700" s="418">
        <f t="shared" si="348"/>
        <v>0</v>
      </c>
      <c r="AG700" s="418">
        <f t="shared" si="348"/>
        <v>0</v>
      </c>
      <c r="AH700" s="418">
        <f t="shared" si="348"/>
        <v>0</v>
      </c>
      <c r="AI700" s="146"/>
    </row>
    <row r="701" spans="4:35">
      <c r="D701" s="27" t="s">
        <v>107</v>
      </c>
      <c r="E701" s="27"/>
      <c r="F701" s="27"/>
      <c r="G701" s="27" t="s">
        <v>210</v>
      </c>
      <c r="H701" s="418">
        <f t="shared" si="346"/>
        <v>27.651901927463694</v>
      </c>
      <c r="I701" s="449">
        <f>NPV('Central Inputs'!$C$47,L701:Q701)</f>
        <v>145.96027004974965</v>
      </c>
      <c r="J701" s="449">
        <f>NPV('Central Inputs'!$C$47,L701:AE701)</f>
        <v>450.65748672580395</v>
      </c>
      <c r="K701" s="418"/>
      <c r="L701" s="418">
        <f>SUM(L692:L700)</f>
        <v>18.424092142560177</v>
      </c>
      <c r="M701" s="418">
        <f t="shared" ref="M701:Q701" si="350">SUM(M692:M700)</f>
        <v>27.916653124960103</v>
      </c>
      <c r="N701" s="418">
        <f t="shared" si="350"/>
        <v>26.33263081379646</v>
      </c>
      <c r="O701" s="418">
        <f t="shared" si="350"/>
        <v>27.853593920278463</v>
      </c>
      <c r="P701" s="418">
        <f>SUM(P692:P700)</f>
        <v>31.08656316608527</v>
      </c>
      <c r="Q701" s="418">
        <f t="shared" si="350"/>
        <v>34.29787839710167</v>
      </c>
      <c r="R701" s="418">
        <f t="shared" si="349"/>
        <v>34.29787839710167</v>
      </c>
      <c r="S701" s="418">
        <f t="shared" si="348"/>
        <v>34.29787839710167</v>
      </c>
      <c r="T701" s="418">
        <f t="shared" si="348"/>
        <v>34.29787839710167</v>
      </c>
      <c r="U701" s="418">
        <f t="shared" si="348"/>
        <v>34.29787839710167</v>
      </c>
      <c r="V701" s="418">
        <f t="shared" si="348"/>
        <v>34.29787839710167</v>
      </c>
      <c r="W701" s="418">
        <f t="shared" si="348"/>
        <v>34.29787839710167</v>
      </c>
      <c r="X701" s="418">
        <f t="shared" si="348"/>
        <v>34.29787839710167</v>
      </c>
      <c r="Y701" s="418">
        <f t="shared" si="348"/>
        <v>34.29787839710167</v>
      </c>
      <c r="Z701" s="418">
        <f t="shared" si="348"/>
        <v>34.29787839710167</v>
      </c>
      <c r="AA701" s="418">
        <f t="shared" si="348"/>
        <v>34.29787839710167</v>
      </c>
      <c r="AB701" s="418">
        <f t="shared" si="348"/>
        <v>34.29787839710167</v>
      </c>
      <c r="AC701" s="418">
        <f t="shared" si="348"/>
        <v>34.29787839710167</v>
      </c>
      <c r="AD701" s="418">
        <f t="shared" si="348"/>
        <v>34.29787839710167</v>
      </c>
      <c r="AE701" s="418">
        <f t="shared" si="348"/>
        <v>34.29787839710167</v>
      </c>
      <c r="AF701" s="418">
        <f t="shared" si="348"/>
        <v>34.29787839710167</v>
      </c>
      <c r="AG701" s="418">
        <f t="shared" si="348"/>
        <v>34.29787839710167</v>
      </c>
      <c r="AH701" s="418">
        <f t="shared" si="348"/>
        <v>34.29787839710167</v>
      </c>
      <c r="AI701" s="146"/>
    </row>
    <row r="702" spans="4:35">
      <c r="D702" s="95"/>
      <c r="E702" s="62" t="s">
        <v>118</v>
      </c>
      <c r="F702" s="62"/>
      <c r="G702" s="62" t="s">
        <v>171</v>
      </c>
      <c r="H702" s="418">
        <f t="shared" si="346"/>
        <v>11.826757472168273</v>
      </c>
      <c r="I702" s="449">
        <f>NPV('Central Inputs'!$C$47,L702:Q702)</f>
        <v>62.427413455278014</v>
      </c>
      <c r="J702" s="450">
        <f>NPV('Central Inputs'!$C$47,L702:AE702)</f>
        <v>192.74684296596013</v>
      </c>
      <c r="K702" s="423"/>
      <c r="L702" s="423">
        <f t="shared" ref="L702:Q702" si="351">L701/L34</f>
        <v>7.8800102064055899</v>
      </c>
      <c r="M702" s="423">
        <f t="shared" si="351"/>
        <v>11.939991932910603</v>
      </c>
      <c r="N702" s="423">
        <f t="shared" si="351"/>
        <v>11.262503355315529</v>
      </c>
      <c r="O702" s="423">
        <f t="shared" si="351"/>
        <v>11.913021422089541</v>
      </c>
      <c r="P702" s="423">
        <f t="shared" si="351"/>
        <v>13.295766930352775</v>
      </c>
      <c r="Q702" s="423">
        <f t="shared" si="351"/>
        <v>14.669250985935586</v>
      </c>
      <c r="R702" s="423">
        <f t="shared" si="349"/>
        <v>14.669250985935586</v>
      </c>
      <c r="S702" s="423">
        <f t="shared" si="348"/>
        <v>14.669250985935586</v>
      </c>
      <c r="T702" s="423">
        <f t="shared" si="348"/>
        <v>14.669250985935586</v>
      </c>
      <c r="U702" s="423">
        <f t="shared" si="348"/>
        <v>14.669250985935586</v>
      </c>
      <c r="V702" s="423">
        <f t="shared" si="348"/>
        <v>14.669250985935586</v>
      </c>
      <c r="W702" s="423">
        <f t="shared" si="348"/>
        <v>14.669250985935586</v>
      </c>
      <c r="X702" s="423">
        <f t="shared" si="348"/>
        <v>14.669250985935586</v>
      </c>
      <c r="Y702" s="423">
        <f t="shared" si="348"/>
        <v>14.669250985935586</v>
      </c>
      <c r="Z702" s="423">
        <f t="shared" si="348"/>
        <v>14.669250985935586</v>
      </c>
      <c r="AA702" s="423">
        <f t="shared" si="348"/>
        <v>14.669250985935586</v>
      </c>
      <c r="AB702" s="423">
        <f t="shared" si="348"/>
        <v>14.669250985935586</v>
      </c>
      <c r="AC702" s="423">
        <f t="shared" si="348"/>
        <v>14.669250985935586</v>
      </c>
      <c r="AD702" s="423">
        <f t="shared" si="348"/>
        <v>14.669250985935586</v>
      </c>
      <c r="AE702" s="423">
        <f t="shared" si="348"/>
        <v>14.669250985935586</v>
      </c>
      <c r="AF702" s="423">
        <f t="shared" si="348"/>
        <v>14.669250985935586</v>
      </c>
      <c r="AG702" s="423">
        <f t="shared" si="348"/>
        <v>14.669250985935586</v>
      </c>
      <c r="AH702" s="423">
        <f t="shared" si="348"/>
        <v>14.669250985935586</v>
      </c>
      <c r="AI702" s="146"/>
    </row>
    <row r="703" spans="4:35">
      <c r="H703" s="802"/>
      <c r="I703" s="820"/>
      <c r="J703" s="418"/>
      <c r="K703" s="418"/>
      <c r="L703" s="418"/>
      <c r="M703" s="418"/>
      <c r="N703" s="418"/>
      <c r="O703" s="418"/>
      <c r="P703" s="418"/>
      <c r="Q703" s="418"/>
      <c r="R703" s="418"/>
      <c r="S703" s="418"/>
      <c r="T703" s="418"/>
      <c r="U703" s="418"/>
      <c r="V703" s="418"/>
      <c r="W703" s="418"/>
      <c r="X703" s="418"/>
      <c r="Y703" s="418"/>
      <c r="Z703" s="418"/>
      <c r="AA703" s="418"/>
      <c r="AB703" s="418"/>
      <c r="AC703" s="418"/>
      <c r="AD703" s="418"/>
      <c r="AE703" s="418"/>
      <c r="AF703" s="418"/>
      <c r="AG703" s="418"/>
      <c r="AH703" s="418"/>
      <c r="AI703" s="146"/>
    </row>
    <row r="704" spans="4:35">
      <c r="D704" s="27" t="s">
        <v>155</v>
      </c>
      <c r="H704" s="418"/>
      <c r="I704" s="449"/>
      <c r="J704" s="418"/>
      <c r="K704" s="418"/>
      <c r="L704" s="418"/>
      <c r="M704" s="418"/>
      <c r="N704" s="418"/>
      <c r="O704" s="418"/>
      <c r="P704" s="418"/>
      <c r="Q704" s="418"/>
      <c r="R704" s="418"/>
      <c r="S704" s="418"/>
      <c r="T704" s="418"/>
      <c r="U704" s="418"/>
      <c r="V704" s="418"/>
      <c r="W704" s="418"/>
      <c r="X704" s="418"/>
      <c r="Y704" s="418"/>
      <c r="Z704" s="418"/>
      <c r="AA704" s="418"/>
      <c r="AB704" s="418"/>
      <c r="AC704" s="418"/>
      <c r="AD704" s="418"/>
      <c r="AE704" s="418"/>
      <c r="AF704" s="418"/>
      <c r="AG704" s="418"/>
      <c r="AH704" s="418"/>
      <c r="AI704" s="146"/>
    </row>
    <row r="705" spans="4:35">
      <c r="D705" s="786"/>
      <c r="E705" s="787" t="s">
        <v>108</v>
      </c>
      <c r="F705" s="787"/>
      <c r="G705" s="787" t="s">
        <v>210</v>
      </c>
      <c r="H705" s="802">
        <f t="shared" ref="H705:H715" si="352">AVERAGE(L705:Q705)</f>
        <v>59.363139818583555</v>
      </c>
      <c r="I705" s="820">
        <f>NPV('Central Inputs'!$C$47,L705:Q705)</f>
        <v>317.34876487960952</v>
      </c>
      <c r="J705" s="820">
        <f>NPV('Central Inputs'!$C$47,L705:AE705)</f>
        <v>813.9259403475005</v>
      </c>
      <c r="K705" s="802"/>
      <c r="L705" s="802">
        <f t="shared" ref="L705:Q713" si="353">L313-L662</f>
        <v>59.668640894257265</v>
      </c>
      <c r="M705" s="802">
        <f t="shared" si="353"/>
        <v>70.591309551546487</v>
      </c>
      <c r="N705" s="802">
        <f t="shared" si="353"/>
        <v>59.115900366192136</v>
      </c>
      <c r="O705" s="802">
        <f t="shared" si="353"/>
        <v>55.274368259870066</v>
      </c>
      <c r="P705" s="802">
        <f t="shared" si="353"/>
        <v>55.632002979227977</v>
      </c>
      <c r="Q705" s="802">
        <f t="shared" si="353"/>
        <v>55.896616860407406</v>
      </c>
      <c r="R705" s="802">
        <f t="shared" si="349"/>
        <v>55.896616860407406</v>
      </c>
      <c r="S705" s="802">
        <f t="shared" si="349"/>
        <v>55.896616860407406</v>
      </c>
      <c r="T705" s="802">
        <f t="shared" si="349"/>
        <v>55.896616860407406</v>
      </c>
      <c r="U705" s="802">
        <f t="shared" si="349"/>
        <v>55.896616860407406</v>
      </c>
      <c r="V705" s="802">
        <f t="shared" si="349"/>
        <v>55.896616860407406</v>
      </c>
      <c r="W705" s="802">
        <f t="shared" si="349"/>
        <v>55.896616860407406</v>
      </c>
      <c r="X705" s="802">
        <f t="shared" si="349"/>
        <v>55.896616860407406</v>
      </c>
      <c r="Y705" s="802">
        <f t="shared" si="349"/>
        <v>55.896616860407406</v>
      </c>
      <c r="Z705" s="802">
        <f t="shared" si="349"/>
        <v>55.896616860407406</v>
      </c>
      <c r="AA705" s="802">
        <f t="shared" si="349"/>
        <v>55.896616860407406</v>
      </c>
      <c r="AB705" s="802">
        <f t="shared" si="349"/>
        <v>55.896616860407406</v>
      </c>
      <c r="AC705" s="802">
        <f t="shared" si="349"/>
        <v>55.896616860407406</v>
      </c>
      <c r="AD705" s="802">
        <f t="shared" si="349"/>
        <v>55.896616860407406</v>
      </c>
      <c r="AE705" s="802">
        <f t="shared" si="349"/>
        <v>55.896616860407406</v>
      </c>
      <c r="AF705" s="802">
        <f t="shared" si="349"/>
        <v>55.896616860407406</v>
      </c>
      <c r="AG705" s="802">
        <f t="shared" si="349"/>
        <v>55.896616860407406</v>
      </c>
      <c r="AH705" s="802">
        <f t="shared" ref="S705:AH715" si="354">$Q705</f>
        <v>55.896616860407406</v>
      </c>
      <c r="AI705" s="146"/>
    </row>
    <row r="706" spans="4:35">
      <c r="E706" s="10" t="s">
        <v>109</v>
      </c>
      <c r="G706" s="10" t="s">
        <v>210</v>
      </c>
      <c r="H706" s="418">
        <f t="shared" si="352"/>
        <v>123.62509127569571</v>
      </c>
      <c r="I706" s="449">
        <f>NPV('Central Inputs'!$C$47,L706:Q706)</f>
        <v>652.1035256947755</v>
      </c>
      <c r="J706" s="449">
        <f>NPV('Central Inputs'!$C$47,L706:AE706)</f>
        <v>1886.7595602764736</v>
      </c>
      <c r="K706" s="418"/>
      <c r="L706" s="418">
        <f t="shared" si="353"/>
        <v>56.03001655860183</v>
      </c>
      <c r="M706" s="418">
        <f t="shared" si="353"/>
        <v>134.93995143337639</v>
      </c>
      <c r="N706" s="418">
        <f t="shared" si="353"/>
        <v>136.20440538622148</v>
      </c>
      <c r="O706" s="418">
        <f t="shared" si="353"/>
        <v>137.3241420639427</v>
      </c>
      <c r="P706" s="418">
        <f t="shared" si="353"/>
        <v>138.27444981635136</v>
      </c>
      <c r="Q706" s="418">
        <f t="shared" si="353"/>
        <v>138.97758239568051</v>
      </c>
      <c r="R706" s="418">
        <f t="shared" si="349"/>
        <v>138.97758239568051</v>
      </c>
      <c r="S706" s="418">
        <f t="shared" si="354"/>
        <v>138.97758239568051</v>
      </c>
      <c r="T706" s="418">
        <f t="shared" si="354"/>
        <v>138.97758239568051</v>
      </c>
      <c r="U706" s="418">
        <f t="shared" si="354"/>
        <v>138.97758239568051</v>
      </c>
      <c r="V706" s="418">
        <f t="shared" si="354"/>
        <v>138.97758239568051</v>
      </c>
      <c r="W706" s="418">
        <f t="shared" si="354"/>
        <v>138.97758239568051</v>
      </c>
      <c r="X706" s="418">
        <f t="shared" si="354"/>
        <v>138.97758239568051</v>
      </c>
      <c r="Y706" s="418">
        <f t="shared" si="354"/>
        <v>138.97758239568051</v>
      </c>
      <c r="Z706" s="418">
        <f t="shared" si="354"/>
        <v>138.97758239568051</v>
      </c>
      <c r="AA706" s="418">
        <f t="shared" si="354"/>
        <v>138.97758239568051</v>
      </c>
      <c r="AB706" s="418">
        <f t="shared" si="354"/>
        <v>138.97758239568051</v>
      </c>
      <c r="AC706" s="418">
        <f t="shared" si="354"/>
        <v>138.97758239568051</v>
      </c>
      <c r="AD706" s="418">
        <f t="shared" si="354"/>
        <v>138.97758239568051</v>
      </c>
      <c r="AE706" s="418">
        <f t="shared" si="354"/>
        <v>138.97758239568051</v>
      </c>
      <c r="AF706" s="418">
        <f t="shared" si="354"/>
        <v>138.97758239568051</v>
      </c>
      <c r="AG706" s="418">
        <f t="shared" si="354"/>
        <v>138.97758239568051</v>
      </c>
      <c r="AH706" s="418">
        <f t="shared" si="354"/>
        <v>138.97758239568051</v>
      </c>
      <c r="AI706" s="146"/>
    </row>
    <row r="707" spans="4:35">
      <c r="E707" s="10" t="s">
        <v>113</v>
      </c>
      <c r="G707" s="10" t="s">
        <v>210</v>
      </c>
      <c r="H707" s="418">
        <f t="shared" si="352"/>
        <v>15.695591956852113</v>
      </c>
      <c r="I707" s="449">
        <f>NPV('Central Inputs'!$C$47,L707:Q707)</f>
        <v>83.646444036456387</v>
      </c>
      <c r="J707" s="449">
        <f>NPV('Central Inputs'!$C$47,L707:AE707)</f>
        <v>218.87983678036878</v>
      </c>
      <c r="K707" s="418"/>
      <c r="L707" s="418">
        <f t="shared" si="353"/>
        <v>12.692997259702423</v>
      </c>
      <c r="M707" s="418">
        <f t="shared" si="353"/>
        <v>19.493015318955202</v>
      </c>
      <c r="N707" s="418">
        <f t="shared" si="353"/>
        <v>16.320382991913817</v>
      </c>
      <c r="O707" s="418">
        <f t="shared" si="353"/>
        <v>15.22238539018042</v>
      </c>
      <c r="P707" s="418">
        <f t="shared" si="353"/>
        <v>15.22238539018042</v>
      </c>
      <c r="Q707" s="418">
        <f t="shared" si="353"/>
        <v>15.222385390180392</v>
      </c>
      <c r="R707" s="418">
        <f t="shared" si="349"/>
        <v>15.222385390180392</v>
      </c>
      <c r="S707" s="418">
        <f t="shared" si="354"/>
        <v>15.222385390180392</v>
      </c>
      <c r="T707" s="418">
        <f t="shared" si="354"/>
        <v>15.222385390180392</v>
      </c>
      <c r="U707" s="418">
        <f t="shared" si="354"/>
        <v>15.222385390180392</v>
      </c>
      <c r="V707" s="418">
        <f t="shared" si="354"/>
        <v>15.222385390180392</v>
      </c>
      <c r="W707" s="418">
        <f t="shared" si="354"/>
        <v>15.222385390180392</v>
      </c>
      <c r="X707" s="418">
        <f t="shared" si="354"/>
        <v>15.222385390180392</v>
      </c>
      <c r="Y707" s="418">
        <f t="shared" si="354"/>
        <v>15.222385390180392</v>
      </c>
      <c r="Z707" s="418">
        <f t="shared" si="354"/>
        <v>15.222385390180392</v>
      </c>
      <c r="AA707" s="418">
        <f t="shared" si="354"/>
        <v>15.222385390180392</v>
      </c>
      <c r="AB707" s="418">
        <f t="shared" si="354"/>
        <v>15.222385390180392</v>
      </c>
      <c r="AC707" s="418">
        <f t="shared" si="354"/>
        <v>15.222385390180392</v>
      </c>
      <c r="AD707" s="418">
        <f t="shared" si="354"/>
        <v>15.222385390180392</v>
      </c>
      <c r="AE707" s="418">
        <f t="shared" si="354"/>
        <v>15.222385390180392</v>
      </c>
      <c r="AF707" s="418">
        <f t="shared" si="354"/>
        <v>15.222385390180392</v>
      </c>
      <c r="AG707" s="418">
        <f t="shared" si="354"/>
        <v>15.222385390180392</v>
      </c>
      <c r="AH707" s="418">
        <f t="shared" si="354"/>
        <v>15.222385390180392</v>
      </c>
      <c r="AI707" s="146"/>
    </row>
    <row r="708" spans="4:35">
      <c r="E708" s="10" t="s">
        <v>110</v>
      </c>
      <c r="G708" s="10" t="s">
        <v>210</v>
      </c>
      <c r="H708" s="418">
        <f t="shared" si="352"/>
        <v>-82.566403569704974</v>
      </c>
      <c r="I708" s="449">
        <f>NPV('Central Inputs'!$C$47,L708:Q708)</f>
        <v>-444.91276184710495</v>
      </c>
      <c r="J708" s="449">
        <f>NPV('Central Inputs'!$C$47,L708:AE708)</f>
        <v>-997.42473454389653</v>
      </c>
      <c r="K708" s="418"/>
      <c r="L708" s="418">
        <f t="shared" si="353"/>
        <v>-100.4350951161572</v>
      </c>
      <c r="M708" s="418">
        <f t="shared" si="353"/>
        <v>-108.17026638692084</v>
      </c>
      <c r="N708" s="418">
        <f t="shared" si="353"/>
        <v>-84.172289623706249</v>
      </c>
      <c r="O708" s="418">
        <f t="shared" si="353"/>
        <v>-72.851813718941855</v>
      </c>
      <c r="P708" s="418">
        <f t="shared" si="353"/>
        <v>-67.576106046256768</v>
      </c>
      <c r="Q708" s="418">
        <f t="shared" si="353"/>
        <v>-62.192850526246922</v>
      </c>
      <c r="R708" s="418">
        <f t="shared" si="349"/>
        <v>-62.192850526246922</v>
      </c>
      <c r="S708" s="418">
        <f t="shared" si="354"/>
        <v>-62.192850526246922</v>
      </c>
      <c r="T708" s="418">
        <f t="shared" si="354"/>
        <v>-62.192850526246922</v>
      </c>
      <c r="U708" s="418">
        <f t="shared" si="354"/>
        <v>-62.192850526246922</v>
      </c>
      <c r="V708" s="418">
        <f t="shared" si="354"/>
        <v>-62.192850526246922</v>
      </c>
      <c r="W708" s="418">
        <f t="shared" si="354"/>
        <v>-62.192850526246922</v>
      </c>
      <c r="X708" s="418">
        <f t="shared" si="354"/>
        <v>-62.192850526246922</v>
      </c>
      <c r="Y708" s="418">
        <f t="shared" si="354"/>
        <v>-62.192850526246922</v>
      </c>
      <c r="Z708" s="418">
        <f t="shared" si="354"/>
        <v>-62.192850526246922</v>
      </c>
      <c r="AA708" s="418">
        <f t="shared" si="354"/>
        <v>-62.192850526246922</v>
      </c>
      <c r="AB708" s="418">
        <f t="shared" si="354"/>
        <v>-62.192850526246922</v>
      </c>
      <c r="AC708" s="418">
        <f t="shared" si="354"/>
        <v>-62.192850526246922</v>
      </c>
      <c r="AD708" s="418">
        <f t="shared" si="354"/>
        <v>-62.192850526246922</v>
      </c>
      <c r="AE708" s="418">
        <f t="shared" si="354"/>
        <v>-62.192850526246922</v>
      </c>
      <c r="AF708" s="418">
        <f t="shared" si="354"/>
        <v>-62.192850526246922</v>
      </c>
      <c r="AG708" s="418">
        <f t="shared" si="354"/>
        <v>-62.192850526246922</v>
      </c>
      <c r="AH708" s="418">
        <f t="shared" si="354"/>
        <v>-62.192850526246922</v>
      </c>
      <c r="AI708" s="146"/>
    </row>
    <row r="709" spans="4:35">
      <c r="E709" s="10" t="s">
        <v>111</v>
      </c>
      <c r="G709" s="10" t="s">
        <v>210</v>
      </c>
      <c r="H709" s="418">
        <f t="shared" si="352"/>
        <v>-151.79253830724969</v>
      </c>
      <c r="I709" s="449">
        <f>NPV('Central Inputs'!$C$47,L709:Q709)</f>
        <v>-805.73955398366843</v>
      </c>
      <c r="J709" s="449">
        <f>NPV('Central Inputs'!$C$47,L709:AE709)</f>
        <v>-2070.5058817935492</v>
      </c>
      <c r="K709" s="418"/>
      <c r="L709" s="418">
        <f t="shared" si="353"/>
        <v>-81.412857288769004</v>
      </c>
      <c r="M709" s="418">
        <f t="shared" si="353"/>
        <v>-189.07354224300124</v>
      </c>
      <c r="N709" s="418">
        <f t="shared" si="353"/>
        <v>-177.59083754057747</v>
      </c>
      <c r="O709" s="418">
        <f t="shared" si="353"/>
        <v>-166.00269185415482</v>
      </c>
      <c r="P709" s="418">
        <f t="shared" si="353"/>
        <v>-154.30838931474327</v>
      </c>
      <c r="Q709" s="418">
        <f t="shared" si="353"/>
        <v>-142.3669116022522</v>
      </c>
      <c r="R709" s="418">
        <f t="shared" si="349"/>
        <v>-142.3669116022522</v>
      </c>
      <c r="S709" s="418">
        <f t="shared" si="354"/>
        <v>-142.3669116022522</v>
      </c>
      <c r="T709" s="418">
        <f t="shared" si="354"/>
        <v>-142.3669116022522</v>
      </c>
      <c r="U709" s="418">
        <f t="shared" si="354"/>
        <v>-142.3669116022522</v>
      </c>
      <c r="V709" s="418">
        <f t="shared" si="354"/>
        <v>-142.3669116022522</v>
      </c>
      <c r="W709" s="418">
        <f t="shared" si="354"/>
        <v>-142.3669116022522</v>
      </c>
      <c r="X709" s="418">
        <f t="shared" si="354"/>
        <v>-142.3669116022522</v>
      </c>
      <c r="Y709" s="418">
        <f t="shared" si="354"/>
        <v>-142.3669116022522</v>
      </c>
      <c r="Z709" s="418">
        <f t="shared" si="354"/>
        <v>-142.3669116022522</v>
      </c>
      <c r="AA709" s="418">
        <f t="shared" si="354"/>
        <v>-142.3669116022522</v>
      </c>
      <c r="AB709" s="418">
        <f t="shared" si="354"/>
        <v>-142.3669116022522</v>
      </c>
      <c r="AC709" s="418">
        <f t="shared" si="354"/>
        <v>-142.3669116022522</v>
      </c>
      <c r="AD709" s="418">
        <f t="shared" si="354"/>
        <v>-142.3669116022522</v>
      </c>
      <c r="AE709" s="418">
        <f t="shared" si="354"/>
        <v>-142.3669116022522</v>
      </c>
      <c r="AF709" s="418">
        <f t="shared" si="354"/>
        <v>-142.3669116022522</v>
      </c>
      <c r="AG709" s="418">
        <f t="shared" si="354"/>
        <v>-142.3669116022522</v>
      </c>
      <c r="AH709" s="418">
        <f t="shared" si="354"/>
        <v>-142.3669116022522</v>
      </c>
      <c r="AI709" s="146"/>
    </row>
    <row r="710" spans="4:35">
      <c r="E710" s="10" t="s">
        <v>112</v>
      </c>
      <c r="G710" s="10" t="s">
        <v>210</v>
      </c>
      <c r="H710" s="418">
        <f t="shared" si="352"/>
        <v>5.3128864702556937</v>
      </c>
      <c r="I710" s="449">
        <f>NPV('Central Inputs'!$C$47,L710:Q710)</f>
        <v>28.313940756613437</v>
      </c>
      <c r="J710" s="449">
        <f>NPV('Central Inputs'!$C$47,L710:AE710)</f>
        <v>74.089828955735868</v>
      </c>
      <c r="K710" s="418"/>
      <c r="L710" s="418">
        <f t="shared" si="353"/>
        <v>4.296521825583369</v>
      </c>
      <c r="M710" s="418">
        <f t="shared" si="353"/>
        <v>6.5982970019395424</v>
      </c>
      <c r="N710" s="418">
        <f t="shared" si="353"/>
        <v>5.524375393135557</v>
      </c>
      <c r="O710" s="418">
        <f t="shared" si="353"/>
        <v>5.1527082002918974</v>
      </c>
      <c r="P710" s="418">
        <f t="shared" si="353"/>
        <v>5.1527082002918974</v>
      </c>
      <c r="Q710" s="418">
        <f t="shared" si="353"/>
        <v>5.1527082002918974</v>
      </c>
      <c r="R710" s="418">
        <f t="shared" si="349"/>
        <v>5.1527082002918974</v>
      </c>
      <c r="S710" s="418">
        <f t="shared" si="354"/>
        <v>5.1527082002918974</v>
      </c>
      <c r="T710" s="418">
        <f t="shared" si="354"/>
        <v>5.1527082002918974</v>
      </c>
      <c r="U710" s="418">
        <f t="shared" si="354"/>
        <v>5.1527082002918974</v>
      </c>
      <c r="V710" s="418">
        <f t="shared" si="354"/>
        <v>5.1527082002918974</v>
      </c>
      <c r="W710" s="418">
        <f t="shared" si="354"/>
        <v>5.1527082002918974</v>
      </c>
      <c r="X710" s="418">
        <f t="shared" si="354"/>
        <v>5.1527082002918974</v>
      </c>
      <c r="Y710" s="418">
        <f t="shared" si="354"/>
        <v>5.1527082002918974</v>
      </c>
      <c r="Z710" s="418">
        <f t="shared" si="354"/>
        <v>5.1527082002918974</v>
      </c>
      <c r="AA710" s="418">
        <f t="shared" si="354"/>
        <v>5.1527082002918974</v>
      </c>
      <c r="AB710" s="418">
        <f t="shared" si="354"/>
        <v>5.1527082002918974</v>
      </c>
      <c r="AC710" s="418">
        <f t="shared" si="354"/>
        <v>5.1527082002918974</v>
      </c>
      <c r="AD710" s="418">
        <f t="shared" si="354"/>
        <v>5.1527082002918974</v>
      </c>
      <c r="AE710" s="418">
        <f t="shared" si="354"/>
        <v>5.1527082002918974</v>
      </c>
      <c r="AF710" s="418">
        <f t="shared" si="354"/>
        <v>5.1527082002918974</v>
      </c>
      <c r="AG710" s="418">
        <f t="shared" si="354"/>
        <v>5.1527082002918974</v>
      </c>
      <c r="AH710" s="418">
        <f t="shared" si="354"/>
        <v>5.1527082002918974</v>
      </c>
      <c r="AI710" s="146"/>
    </row>
    <row r="711" spans="4:35">
      <c r="E711" s="10" t="s">
        <v>114</v>
      </c>
      <c r="G711" s="10" t="s">
        <v>210</v>
      </c>
      <c r="H711" s="418">
        <f t="shared" si="352"/>
        <v>2.2754528220053665</v>
      </c>
      <c r="I711" s="449">
        <f>NPV('Central Inputs'!$C$47,L711:Q711)</f>
        <v>12.075746499100308</v>
      </c>
      <c r="J711" s="449">
        <f>NPV('Central Inputs'!$C$47,L711:AE711)</f>
        <v>33.258807404312286</v>
      </c>
      <c r="K711" s="418"/>
      <c r="L711" s="418">
        <f t="shared" si="353"/>
        <v>1.7774546558398023</v>
      </c>
      <c r="M711" s="418">
        <f t="shared" si="353"/>
        <v>2.3504501969026546</v>
      </c>
      <c r="N711" s="418">
        <f t="shared" si="353"/>
        <v>2.3714742024512772</v>
      </c>
      <c r="O711" s="418">
        <f t="shared" si="353"/>
        <v>2.3844459589461549</v>
      </c>
      <c r="P711" s="418">
        <f t="shared" si="353"/>
        <v>2.3844459589461549</v>
      </c>
      <c r="Q711" s="418">
        <f t="shared" si="353"/>
        <v>2.3844459589461549</v>
      </c>
      <c r="R711" s="418">
        <f t="shared" si="349"/>
        <v>2.3844459589461549</v>
      </c>
      <c r="S711" s="418">
        <f t="shared" si="354"/>
        <v>2.3844459589461549</v>
      </c>
      <c r="T711" s="418">
        <f t="shared" si="354"/>
        <v>2.3844459589461549</v>
      </c>
      <c r="U711" s="418">
        <f t="shared" si="354"/>
        <v>2.3844459589461549</v>
      </c>
      <c r="V711" s="418">
        <f t="shared" si="354"/>
        <v>2.3844459589461549</v>
      </c>
      <c r="W711" s="418">
        <f t="shared" si="354"/>
        <v>2.3844459589461549</v>
      </c>
      <c r="X711" s="418">
        <f t="shared" si="354"/>
        <v>2.3844459589461549</v>
      </c>
      <c r="Y711" s="418">
        <f t="shared" si="354"/>
        <v>2.3844459589461549</v>
      </c>
      <c r="Z711" s="418">
        <f t="shared" si="354"/>
        <v>2.3844459589461549</v>
      </c>
      <c r="AA711" s="418">
        <f t="shared" si="354"/>
        <v>2.3844459589461549</v>
      </c>
      <c r="AB711" s="418">
        <f t="shared" si="354"/>
        <v>2.3844459589461549</v>
      </c>
      <c r="AC711" s="418">
        <f t="shared" si="354"/>
        <v>2.3844459589461549</v>
      </c>
      <c r="AD711" s="418">
        <f t="shared" si="354"/>
        <v>2.3844459589461549</v>
      </c>
      <c r="AE711" s="418">
        <f t="shared" si="354"/>
        <v>2.3844459589461549</v>
      </c>
      <c r="AF711" s="418">
        <f t="shared" si="354"/>
        <v>2.3844459589461549</v>
      </c>
      <c r="AG711" s="418">
        <f t="shared" si="354"/>
        <v>2.3844459589461549</v>
      </c>
      <c r="AH711" s="418">
        <f t="shared" si="354"/>
        <v>2.3844459589461549</v>
      </c>
      <c r="AI711" s="146"/>
    </row>
    <row r="712" spans="4:35">
      <c r="E712" s="10" t="s">
        <v>115</v>
      </c>
      <c r="G712" s="10" t="s">
        <v>210</v>
      </c>
      <c r="H712" s="418">
        <f t="shared" si="352"/>
        <v>3.8854702840585755</v>
      </c>
      <c r="I712" s="449">
        <f>NPV('Central Inputs'!$C$47,L712:Q712)</f>
        <v>20.62005141408639</v>
      </c>
      <c r="J712" s="449">
        <f>NPV('Central Inputs'!$C$47,L712:AE712)</f>
        <v>56.791380864049366</v>
      </c>
      <c r="K712" s="418"/>
      <c r="L712" s="418">
        <f t="shared" si="353"/>
        <v>3.0351089592974332</v>
      </c>
      <c r="M712" s="418">
        <f t="shared" si="353"/>
        <v>4.0135327377063739</v>
      </c>
      <c r="N712" s="418">
        <f t="shared" si="353"/>
        <v>4.0494324707270142</v>
      </c>
      <c r="O712" s="418">
        <f t="shared" si="353"/>
        <v>4.0715825122068772</v>
      </c>
      <c r="P712" s="418">
        <f t="shared" si="353"/>
        <v>4.0715825122068772</v>
      </c>
      <c r="Q712" s="418">
        <f t="shared" si="353"/>
        <v>4.0715825122068772</v>
      </c>
      <c r="R712" s="418">
        <f t="shared" si="349"/>
        <v>4.0715825122068772</v>
      </c>
      <c r="S712" s="418">
        <f t="shared" si="354"/>
        <v>4.0715825122068772</v>
      </c>
      <c r="T712" s="418">
        <f t="shared" si="354"/>
        <v>4.0715825122068772</v>
      </c>
      <c r="U712" s="418">
        <f t="shared" si="354"/>
        <v>4.0715825122068772</v>
      </c>
      <c r="V712" s="418">
        <f t="shared" si="354"/>
        <v>4.0715825122068772</v>
      </c>
      <c r="W712" s="418">
        <f t="shared" si="354"/>
        <v>4.0715825122068772</v>
      </c>
      <c r="X712" s="418">
        <f t="shared" si="354"/>
        <v>4.0715825122068772</v>
      </c>
      <c r="Y712" s="418">
        <f t="shared" si="354"/>
        <v>4.0715825122068772</v>
      </c>
      <c r="Z712" s="418">
        <f t="shared" si="354"/>
        <v>4.0715825122068772</v>
      </c>
      <c r="AA712" s="418">
        <f t="shared" si="354"/>
        <v>4.0715825122068772</v>
      </c>
      <c r="AB712" s="418">
        <f t="shared" si="354"/>
        <v>4.0715825122068772</v>
      </c>
      <c r="AC712" s="418">
        <f t="shared" si="354"/>
        <v>4.0715825122068772</v>
      </c>
      <c r="AD712" s="418">
        <f t="shared" si="354"/>
        <v>4.0715825122068772</v>
      </c>
      <c r="AE712" s="418">
        <f t="shared" si="354"/>
        <v>4.0715825122068772</v>
      </c>
      <c r="AF712" s="418">
        <f t="shared" si="354"/>
        <v>4.0715825122068772</v>
      </c>
      <c r="AG712" s="418">
        <f t="shared" si="354"/>
        <v>4.0715825122068772</v>
      </c>
      <c r="AH712" s="418">
        <f t="shared" si="354"/>
        <v>4.0715825122068772</v>
      </c>
      <c r="AI712" s="146"/>
    </row>
    <row r="713" spans="4:35">
      <c r="E713" s="10" t="s">
        <v>116</v>
      </c>
      <c r="G713" s="10" t="s">
        <v>210</v>
      </c>
      <c r="H713" s="418">
        <f t="shared" si="352"/>
        <v>0</v>
      </c>
      <c r="I713" s="449">
        <f>NPV('Central Inputs'!$C$47,L713:Q713)</f>
        <v>0</v>
      </c>
      <c r="J713" s="449">
        <f>NPV('Central Inputs'!$C$47,L713:AE713)</f>
        <v>0</v>
      </c>
      <c r="K713" s="418"/>
      <c r="L713" s="418">
        <f t="shared" si="353"/>
        <v>0</v>
      </c>
      <c r="M713" s="418">
        <f t="shared" si="353"/>
        <v>0</v>
      </c>
      <c r="N713" s="418">
        <f t="shared" si="353"/>
        <v>0</v>
      </c>
      <c r="O713" s="418">
        <f t="shared" si="353"/>
        <v>0</v>
      </c>
      <c r="P713" s="418">
        <f t="shared" si="353"/>
        <v>0</v>
      </c>
      <c r="Q713" s="418">
        <f t="shared" si="353"/>
        <v>0</v>
      </c>
      <c r="R713" s="418">
        <f t="shared" si="349"/>
        <v>0</v>
      </c>
      <c r="S713" s="418">
        <f t="shared" si="354"/>
        <v>0</v>
      </c>
      <c r="T713" s="418">
        <f t="shared" si="354"/>
        <v>0</v>
      </c>
      <c r="U713" s="418">
        <f t="shared" si="354"/>
        <v>0</v>
      </c>
      <c r="V713" s="418">
        <f t="shared" si="354"/>
        <v>0</v>
      </c>
      <c r="W713" s="418">
        <f t="shared" si="354"/>
        <v>0</v>
      </c>
      <c r="X713" s="418">
        <f t="shared" si="354"/>
        <v>0</v>
      </c>
      <c r="Y713" s="418">
        <f t="shared" si="354"/>
        <v>0</v>
      </c>
      <c r="Z713" s="418">
        <f t="shared" si="354"/>
        <v>0</v>
      </c>
      <c r="AA713" s="418">
        <f t="shared" si="354"/>
        <v>0</v>
      </c>
      <c r="AB713" s="418">
        <f t="shared" si="354"/>
        <v>0</v>
      </c>
      <c r="AC713" s="418">
        <f t="shared" si="354"/>
        <v>0</v>
      </c>
      <c r="AD713" s="418">
        <f t="shared" si="354"/>
        <v>0</v>
      </c>
      <c r="AE713" s="418">
        <f t="shared" si="354"/>
        <v>0</v>
      </c>
      <c r="AF713" s="418">
        <f t="shared" si="354"/>
        <v>0</v>
      </c>
      <c r="AG713" s="418">
        <f t="shared" si="354"/>
        <v>0</v>
      </c>
      <c r="AH713" s="418">
        <f t="shared" si="354"/>
        <v>0</v>
      </c>
      <c r="AI713" s="146"/>
    </row>
    <row r="714" spans="4:35">
      <c r="D714" s="27" t="s">
        <v>107</v>
      </c>
      <c r="E714" s="27"/>
      <c r="F714" s="27"/>
      <c r="G714" s="27" t="s">
        <v>210</v>
      </c>
      <c r="H714" s="418">
        <f t="shared" si="352"/>
        <v>-24.201309249503623</v>
      </c>
      <c r="I714" s="449">
        <f>NPV('Central Inputs'!$C$47,L714:Q714)</f>
        <v>-136.54384255013193</v>
      </c>
      <c r="J714" s="449">
        <f>NPV('Central Inputs'!$C$47,L714:AE714)</f>
        <v>15.774738290995579</v>
      </c>
      <c r="K714" s="418"/>
      <c r="L714" s="418">
        <f>SUM(L705:L713)</f>
        <v>-44.347212251644081</v>
      </c>
      <c r="M714" s="418">
        <f t="shared" ref="M714:Q714" si="355">SUM(M705:M713)</f>
        <v>-59.257252389495434</v>
      </c>
      <c r="N714" s="418">
        <f t="shared" si="355"/>
        <v>-38.177156353642438</v>
      </c>
      <c r="O714" s="418">
        <f t="shared" si="355"/>
        <v>-19.424873187658548</v>
      </c>
      <c r="P714" s="418">
        <f t="shared" si="355"/>
        <v>-1.1469205037953296</v>
      </c>
      <c r="Q714" s="418">
        <f t="shared" si="355"/>
        <v>17.145559189214126</v>
      </c>
      <c r="R714" s="418">
        <f t="shared" si="349"/>
        <v>17.145559189214126</v>
      </c>
      <c r="S714" s="418">
        <f t="shared" si="354"/>
        <v>17.145559189214126</v>
      </c>
      <c r="T714" s="418">
        <f t="shared" si="354"/>
        <v>17.145559189214126</v>
      </c>
      <c r="U714" s="418">
        <f t="shared" si="354"/>
        <v>17.145559189214126</v>
      </c>
      <c r="V714" s="418">
        <f t="shared" si="354"/>
        <v>17.145559189214126</v>
      </c>
      <c r="W714" s="418">
        <f t="shared" si="354"/>
        <v>17.145559189214126</v>
      </c>
      <c r="X714" s="418">
        <f t="shared" si="354"/>
        <v>17.145559189214126</v>
      </c>
      <c r="Y714" s="418">
        <f t="shared" si="354"/>
        <v>17.145559189214126</v>
      </c>
      <c r="Z714" s="418">
        <f t="shared" si="354"/>
        <v>17.145559189214126</v>
      </c>
      <c r="AA714" s="418">
        <f t="shared" si="354"/>
        <v>17.145559189214126</v>
      </c>
      <c r="AB714" s="418">
        <f t="shared" si="354"/>
        <v>17.145559189214126</v>
      </c>
      <c r="AC714" s="418">
        <f t="shared" si="354"/>
        <v>17.145559189214126</v>
      </c>
      <c r="AD714" s="418">
        <f t="shared" si="354"/>
        <v>17.145559189214126</v>
      </c>
      <c r="AE714" s="418">
        <f t="shared" si="354"/>
        <v>17.145559189214126</v>
      </c>
      <c r="AF714" s="418">
        <f t="shared" si="354"/>
        <v>17.145559189214126</v>
      </c>
      <c r="AG714" s="418">
        <f t="shared" si="354"/>
        <v>17.145559189214126</v>
      </c>
      <c r="AH714" s="418">
        <f t="shared" si="354"/>
        <v>17.145559189214126</v>
      </c>
      <c r="AI714" s="146"/>
    </row>
    <row r="715" spans="4:35">
      <c r="D715" s="95"/>
      <c r="E715" s="62" t="s">
        <v>118</v>
      </c>
      <c r="F715" s="62"/>
      <c r="G715" s="62" t="s">
        <v>171</v>
      </c>
      <c r="H715" s="418">
        <f t="shared" si="352"/>
        <v>-2.1814402771125141</v>
      </c>
      <c r="I715" s="449">
        <f>NPV('Central Inputs'!$C$47,L715:Q715)</f>
        <v>-12.307691069923273</v>
      </c>
      <c r="J715" s="450">
        <f>NPV('Central Inputs'!$C$47,L715:AE715)</f>
        <v>1.4218920602236678</v>
      </c>
      <c r="K715" s="423"/>
      <c r="L715" s="423">
        <f t="shared" ref="L715:Q715" si="356">L714/L37</f>
        <v>-3.9973372508918357</v>
      </c>
      <c r="M715" s="423">
        <f t="shared" si="356"/>
        <v>-5.3412877683928786</v>
      </c>
      <c r="N715" s="423">
        <f t="shared" si="356"/>
        <v>-3.4411851721272346</v>
      </c>
      <c r="O715" s="423">
        <f t="shared" si="356"/>
        <v>-1.7509053048537209</v>
      </c>
      <c r="P715" s="423">
        <f t="shared" si="356"/>
        <v>-0.10338029880249658</v>
      </c>
      <c r="Q715" s="423">
        <f t="shared" si="356"/>
        <v>1.5454541323930815</v>
      </c>
      <c r="R715" s="423">
        <f t="shared" si="349"/>
        <v>1.5454541323930815</v>
      </c>
      <c r="S715" s="423">
        <f t="shared" si="354"/>
        <v>1.5454541323930815</v>
      </c>
      <c r="T715" s="423">
        <f t="shared" si="354"/>
        <v>1.5454541323930815</v>
      </c>
      <c r="U715" s="423">
        <f t="shared" si="354"/>
        <v>1.5454541323930815</v>
      </c>
      <c r="V715" s="423">
        <f t="shared" si="354"/>
        <v>1.5454541323930815</v>
      </c>
      <c r="W715" s="423">
        <f t="shared" si="354"/>
        <v>1.5454541323930815</v>
      </c>
      <c r="X715" s="423">
        <f t="shared" si="354"/>
        <v>1.5454541323930815</v>
      </c>
      <c r="Y715" s="423">
        <f t="shared" si="354"/>
        <v>1.5454541323930815</v>
      </c>
      <c r="Z715" s="423">
        <f t="shared" si="354"/>
        <v>1.5454541323930815</v>
      </c>
      <c r="AA715" s="423">
        <f t="shared" si="354"/>
        <v>1.5454541323930815</v>
      </c>
      <c r="AB715" s="423">
        <f t="shared" si="354"/>
        <v>1.5454541323930815</v>
      </c>
      <c r="AC715" s="423">
        <f t="shared" si="354"/>
        <v>1.5454541323930815</v>
      </c>
      <c r="AD715" s="423">
        <f t="shared" si="354"/>
        <v>1.5454541323930815</v>
      </c>
      <c r="AE715" s="423">
        <f t="shared" si="354"/>
        <v>1.5454541323930815</v>
      </c>
      <c r="AF715" s="423">
        <f t="shared" si="354"/>
        <v>1.5454541323930815</v>
      </c>
      <c r="AG715" s="423">
        <f t="shared" si="354"/>
        <v>1.5454541323930815</v>
      </c>
      <c r="AH715" s="423">
        <f t="shared" si="354"/>
        <v>1.5454541323930815</v>
      </c>
      <c r="AI715" s="146"/>
    </row>
    <row r="716" spans="4:35">
      <c r="H716" s="802"/>
      <c r="I716" s="820"/>
      <c r="J716" s="418"/>
      <c r="K716" s="418"/>
      <c r="L716" s="418"/>
      <c r="M716" s="418"/>
      <c r="N716" s="418"/>
      <c r="O716" s="418"/>
      <c r="P716" s="418"/>
      <c r="Q716" s="418"/>
      <c r="R716" s="418"/>
      <c r="S716" s="418"/>
      <c r="T716" s="418"/>
      <c r="U716" s="418"/>
      <c r="V716" s="418"/>
      <c r="W716" s="418"/>
      <c r="X716" s="418"/>
      <c r="Y716" s="418"/>
      <c r="Z716" s="418"/>
      <c r="AA716" s="418"/>
      <c r="AB716" s="418"/>
      <c r="AC716" s="418"/>
      <c r="AD716" s="418"/>
      <c r="AE716" s="418"/>
      <c r="AF716" s="418"/>
      <c r="AG716" s="418"/>
      <c r="AH716" s="418"/>
      <c r="AI716" s="146"/>
    </row>
    <row r="717" spans="4:35">
      <c r="D717" s="27" t="s">
        <v>106</v>
      </c>
      <c r="H717" s="418"/>
      <c r="I717" s="449"/>
      <c r="J717" s="418"/>
      <c r="K717" s="418"/>
      <c r="L717" s="418"/>
      <c r="M717" s="418"/>
      <c r="N717" s="418"/>
      <c r="O717" s="418"/>
      <c r="P717" s="418"/>
      <c r="Q717" s="418"/>
      <c r="R717" s="418"/>
      <c r="S717" s="418"/>
      <c r="T717" s="418"/>
      <c r="U717" s="418"/>
      <c r="V717" s="418"/>
      <c r="W717" s="418"/>
      <c r="X717" s="418"/>
      <c r="Y717" s="418"/>
      <c r="Z717" s="418"/>
      <c r="AA717" s="418"/>
      <c r="AB717" s="418"/>
      <c r="AC717" s="418"/>
      <c r="AD717" s="418"/>
      <c r="AE717" s="418"/>
      <c r="AF717" s="418"/>
      <c r="AG717" s="418"/>
      <c r="AH717" s="418"/>
      <c r="AI717" s="146"/>
    </row>
    <row r="718" spans="4:35">
      <c r="D718" s="786"/>
      <c r="E718" s="787" t="s">
        <v>108</v>
      </c>
      <c r="F718" s="787"/>
      <c r="G718" s="787" t="s">
        <v>210</v>
      </c>
      <c r="H718" s="802">
        <f t="shared" ref="H718:H728" si="357">AVERAGE(L718:Q718)</f>
        <v>84.509591037836032</v>
      </c>
      <c r="I718" s="820">
        <f>NPV('Central Inputs'!$C$47,L718:Q718)</f>
        <v>451.77890553461793</v>
      </c>
      <c r="J718" s="820">
        <f>NPV('Central Inputs'!$C$47,L718:AE718)</f>
        <v>1158.7080562797403</v>
      </c>
      <c r="K718" s="802"/>
      <c r="L718" s="802">
        <f t="shared" ref="L718:Q726" si="358">L325-L674</f>
        <v>84.944503528073298</v>
      </c>
      <c r="M718" s="802">
        <f t="shared" si="358"/>
        <v>100.49405606337126</v>
      </c>
      <c r="N718" s="802">
        <f t="shared" si="358"/>
        <v>84.157620015516954</v>
      </c>
      <c r="O718" s="802">
        <f t="shared" si="358"/>
        <v>78.688800336232305</v>
      </c>
      <c r="P718" s="802">
        <f t="shared" si="358"/>
        <v>79.197930479385661</v>
      </c>
      <c r="Q718" s="802">
        <f t="shared" si="358"/>
        <v>79.574635804436696</v>
      </c>
      <c r="R718" s="802">
        <f t="shared" si="349"/>
        <v>79.574635804436696</v>
      </c>
      <c r="S718" s="802">
        <f t="shared" si="349"/>
        <v>79.574635804436696</v>
      </c>
      <c r="T718" s="802">
        <f t="shared" si="349"/>
        <v>79.574635804436696</v>
      </c>
      <c r="U718" s="802">
        <f t="shared" si="349"/>
        <v>79.574635804436696</v>
      </c>
      <c r="V718" s="802">
        <f t="shared" si="349"/>
        <v>79.574635804436696</v>
      </c>
      <c r="W718" s="802">
        <f t="shared" si="349"/>
        <v>79.574635804436696</v>
      </c>
      <c r="X718" s="802">
        <f t="shared" si="349"/>
        <v>79.574635804436696</v>
      </c>
      <c r="Y718" s="802">
        <f t="shared" si="349"/>
        <v>79.574635804436696</v>
      </c>
      <c r="Z718" s="802">
        <f t="shared" si="349"/>
        <v>79.574635804436696</v>
      </c>
      <c r="AA718" s="802">
        <f t="shared" si="349"/>
        <v>79.574635804436696</v>
      </c>
      <c r="AB718" s="802">
        <f t="shared" si="349"/>
        <v>79.574635804436696</v>
      </c>
      <c r="AC718" s="802">
        <f t="shared" si="349"/>
        <v>79.574635804436696</v>
      </c>
      <c r="AD718" s="802">
        <f t="shared" si="349"/>
        <v>79.574635804436696</v>
      </c>
      <c r="AE718" s="802">
        <f t="shared" si="349"/>
        <v>79.574635804436696</v>
      </c>
      <c r="AF718" s="802">
        <f t="shared" si="349"/>
        <v>79.574635804436696</v>
      </c>
      <c r="AG718" s="802">
        <f t="shared" si="349"/>
        <v>79.574635804436696</v>
      </c>
      <c r="AH718" s="802">
        <f t="shared" ref="S718:AH728" si="359">$Q718</f>
        <v>79.574635804436696</v>
      </c>
      <c r="AI718" s="146"/>
    </row>
    <row r="719" spans="4:35">
      <c r="E719" s="10" t="s">
        <v>109</v>
      </c>
      <c r="G719" s="10" t="s">
        <v>210</v>
      </c>
      <c r="H719" s="418">
        <f t="shared" si="357"/>
        <v>175.99314890776068</v>
      </c>
      <c r="I719" s="449">
        <f>NPV('Central Inputs'!$C$47,L719:Q719)</f>
        <v>928.33705291216177</v>
      </c>
      <c r="J719" s="449">
        <f>NPV('Central Inputs'!$C$47,L719:AE719)</f>
        <v>2685.9980673693544</v>
      </c>
      <c r="K719" s="418"/>
      <c r="L719" s="418">
        <f t="shared" si="358"/>
        <v>79.764544120833591</v>
      </c>
      <c r="M719" s="418">
        <f t="shared" si="358"/>
        <v>192.10102675078136</v>
      </c>
      <c r="N719" s="418">
        <f t="shared" si="358"/>
        <v>193.90110819471573</v>
      </c>
      <c r="O719" s="418">
        <f t="shared" si="358"/>
        <v>195.49516957680356</v>
      </c>
      <c r="P719" s="418">
        <f t="shared" si="358"/>
        <v>196.84803129809347</v>
      </c>
      <c r="Q719" s="418">
        <f t="shared" si="358"/>
        <v>197.84901350533653</v>
      </c>
      <c r="R719" s="418">
        <f t="shared" si="349"/>
        <v>197.84901350533653</v>
      </c>
      <c r="S719" s="418">
        <f t="shared" si="359"/>
        <v>197.84901350533653</v>
      </c>
      <c r="T719" s="418">
        <f t="shared" si="359"/>
        <v>197.84901350533653</v>
      </c>
      <c r="U719" s="418">
        <f t="shared" si="359"/>
        <v>197.84901350533653</v>
      </c>
      <c r="V719" s="418">
        <f t="shared" si="359"/>
        <v>197.84901350533653</v>
      </c>
      <c r="W719" s="418">
        <f t="shared" si="359"/>
        <v>197.84901350533653</v>
      </c>
      <c r="X719" s="418">
        <f t="shared" si="359"/>
        <v>197.84901350533653</v>
      </c>
      <c r="Y719" s="418">
        <f t="shared" si="359"/>
        <v>197.84901350533653</v>
      </c>
      <c r="Z719" s="418">
        <f t="shared" si="359"/>
        <v>197.84901350533653</v>
      </c>
      <c r="AA719" s="418">
        <f t="shared" si="359"/>
        <v>197.84901350533653</v>
      </c>
      <c r="AB719" s="418">
        <f t="shared" si="359"/>
        <v>197.84901350533653</v>
      </c>
      <c r="AC719" s="418">
        <f t="shared" si="359"/>
        <v>197.84901350533653</v>
      </c>
      <c r="AD719" s="418">
        <f t="shared" si="359"/>
        <v>197.84901350533653</v>
      </c>
      <c r="AE719" s="418">
        <f t="shared" si="359"/>
        <v>197.84901350533653</v>
      </c>
      <c r="AF719" s="418">
        <f t="shared" si="359"/>
        <v>197.84901350533653</v>
      </c>
      <c r="AG719" s="418">
        <f t="shared" si="359"/>
        <v>197.84901350533653</v>
      </c>
      <c r="AH719" s="418">
        <f t="shared" si="359"/>
        <v>197.84901350533653</v>
      </c>
      <c r="AI719" s="146"/>
    </row>
    <row r="720" spans="4:35">
      <c r="E720" s="10" t="s">
        <v>113</v>
      </c>
      <c r="G720" s="10" t="s">
        <v>210</v>
      </c>
      <c r="H720" s="418">
        <f t="shared" si="357"/>
        <v>22.34430425048178</v>
      </c>
      <c r="I720" s="449">
        <f>NPV('Central Inputs'!$C$47,L720:Q720)</f>
        <v>119.07939504030831</v>
      </c>
      <c r="J720" s="449">
        <f>NPV('Central Inputs'!$C$47,L720:AE720)</f>
        <v>311.59816595392897</v>
      </c>
      <c r="K720" s="418"/>
      <c r="L720" s="418">
        <f t="shared" si="358"/>
        <v>18.069799049376172</v>
      </c>
      <c r="M720" s="418">
        <f t="shared" si="358"/>
        <v>27.750330554171114</v>
      </c>
      <c r="N720" s="418">
        <f t="shared" si="358"/>
        <v>23.233759138119694</v>
      </c>
      <c r="O720" s="418">
        <f t="shared" si="358"/>
        <v>21.670645587074603</v>
      </c>
      <c r="P720" s="418">
        <f t="shared" si="358"/>
        <v>21.670645587074546</v>
      </c>
      <c r="Q720" s="418">
        <f t="shared" si="358"/>
        <v>21.670645587074546</v>
      </c>
      <c r="R720" s="418">
        <f t="shared" si="349"/>
        <v>21.670645587074546</v>
      </c>
      <c r="S720" s="418">
        <f t="shared" si="359"/>
        <v>21.670645587074546</v>
      </c>
      <c r="T720" s="418">
        <f t="shared" si="359"/>
        <v>21.670645587074546</v>
      </c>
      <c r="U720" s="418">
        <f t="shared" si="359"/>
        <v>21.670645587074546</v>
      </c>
      <c r="V720" s="418">
        <f t="shared" si="359"/>
        <v>21.670645587074546</v>
      </c>
      <c r="W720" s="418">
        <f t="shared" si="359"/>
        <v>21.670645587074546</v>
      </c>
      <c r="X720" s="418">
        <f t="shared" si="359"/>
        <v>21.670645587074546</v>
      </c>
      <c r="Y720" s="418">
        <f t="shared" si="359"/>
        <v>21.670645587074546</v>
      </c>
      <c r="Z720" s="418">
        <f t="shared" si="359"/>
        <v>21.670645587074546</v>
      </c>
      <c r="AA720" s="418">
        <f t="shared" si="359"/>
        <v>21.670645587074546</v>
      </c>
      <c r="AB720" s="418">
        <f t="shared" si="359"/>
        <v>21.670645587074546</v>
      </c>
      <c r="AC720" s="418">
        <f t="shared" si="359"/>
        <v>21.670645587074546</v>
      </c>
      <c r="AD720" s="418">
        <f t="shared" si="359"/>
        <v>21.670645587074546</v>
      </c>
      <c r="AE720" s="418">
        <f t="shared" si="359"/>
        <v>21.670645587074546</v>
      </c>
      <c r="AF720" s="418">
        <f t="shared" si="359"/>
        <v>21.670645587074546</v>
      </c>
      <c r="AG720" s="418">
        <f t="shared" si="359"/>
        <v>21.670645587074546</v>
      </c>
      <c r="AH720" s="418">
        <f t="shared" si="359"/>
        <v>21.670645587074546</v>
      </c>
      <c r="AI720" s="146"/>
    </row>
    <row r="721" spans="4:35">
      <c r="E721" s="10" t="s">
        <v>110</v>
      </c>
      <c r="G721" s="10" t="s">
        <v>210</v>
      </c>
      <c r="H721" s="418">
        <f t="shared" si="357"/>
        <v>-61.52378802724602</v>
      </c>
      <c r="I721" s="449">
        <f>NPV('Central Inputs'!$C$47,L721:Q721)</f>
        <v>-328.91623855561375</v>
      </c>
      <c r="J721" s="449">
        <f>NPV('Central Inputs'!$C$47,L721:AE721)</f>
        <v>-844.00567879888365</v>
      </c>
      <c r="K721" s="418"/>
      <c r="L721" s="418">
        <f t="shared" si="358"/>
        <v>-62.265706350741787</v>
      </c>
      <c r="M721" s="418">
        <f t="shared" si="358"/>
        <v>-72.900175132542472</v>
      </c>
      <c r="N721" s="418">
        <f t="shared" si="358"/>
        <v>-61.123052853529863</v>
      </c>
      <c r="O721" s="418">
        <f t="shared" si="358"/>
        <v>-57.217413330389221</v>
      </c>
      <c r="P721" s="418">
        <f t="shared" si="358"/>
        <v>-57.655952654434842</v>
      </c>
      <c r="Q721" s="418">
        <f t="shared" si="358"/>
        <v>-57.980427841837972</v>
      </c>
      <c r="R721" s="418">
        <f t="shared" si="349"/>
        <v>-57.980427841837972</v>
      </c>
      <c r="S721" s="418">
        <f t="shared" si="359"/>
        <v>-57.980427841837972</v>
      </c>
      <c r="T721" s="418">
        <f t="shared" si="359"/>
        <v>-57.980427841837972</v>
      </c>
      <c r="U721" s="418">
        <f t="shared" si="359"/>
        <v>-57.980427841837972</v>
      </c>
      <c r="V721" s="418">
        <f t="shared" si="359"/>
        <v>-57.980427841837972</v>
      </c>
      <c r="W721" s="418">
        <f t="shared" si="359"/>
        <v>-57.980427841837972</v>
      </c>
      <c r="X721" s="418">
        <f t="shared" si="359"/>
        <v>-57.980427841837972</v>
      </c>
      <c r="Y721" s="418">
        <f t="shared" si="359"/>
        <v>-57.980427841837972</v>
      </c>
      <c r="Z721" s="418">
        <f t="shared" si="359"/>
        <v>-57.980427841837972</v>
      </c>
      <c r="AA721" s="418">
        <f t="shared" si="359"/>
        <v>-57.980427841837972</v>
      </c>
      <c r="AB721" s="418">
        <f t="shared" si="359"/>
        <v>-57.980427841837972</v>
      </c>
      <c r="AC721" s="418">
        <f t="shared" si="359"/>
        <v>-57.980427841837972</v>
      </c>
      <c r="AD721" s="418">
        <f t="shared" si="359"/>
        <v>-57.980427841837972</v>
      </c>
      <c r="AE721" s="418">
        <f t="shared" si="359"/>
        <v>-57.980427841837972</v>
      </c>
      <c r="AF721" s="418">
        <f t="shared" si="359"/>
        <v>-57.980427841837972</v>
      </c>
      <c r="AG721" s="418">
        <f t="shared" si="359"/>
        <v>-57.980427841837972</v>
      </c>
      <c r="AH721" s="418">
        <f t="shared" si="359"/>
        <v>-57.980427841837972</v>
      </c>
      <c r="AI721" s="146"/>
    </row>
    <row r="722" spans="4:35">
      <c r="E722" s="10" t="s">
        <v>111</v>
      </c>
      <c r="G722" s="10" t="s">
        <v>210</v>
      </c>
      <c r="H722" s="418">
        <f t="shared" si="357"/>
        <v>-158.32742624352605</v>
      </c>
      <c r="I722" s="449">
        <f>NPV('Central Inputs'!$C$47,L722:Q722)</f>
        <v>-834.82181964482584</v>
      </c>
      <c r="J722" s="449">
        <f>NPV('Central Inputs'!$C$47,L722:AE722)</f>
        <v>-2423.8350472778739</v>
      </c>
      <c r="K722" s="418"/>
      <c r="L722" s="418">
        <f t="shared" si="358"/>
        <v>-68.688391956324836</v>
      </c>
      <c r="M722" s="418">
        <f t="shared" si="358"/>
        <v>-173.11738998660152</v>
      </c>
      <c r="N722" s="418">
        <f t="shared" si="358"/>
        <v>-174.91747143053593</v>
      </c>
      <c r="O722" s="418">
        <f t="shared" si="358"/>
        <v>-176.51153281262378</v>
      </c>
      <c r="P722" s="418">
        <f t="shared" si="358"/>
        <v>-177.86439453391367</v>
      </c>
      <c r="Q722" s="418">
        <f t="shared" si="358"/>
        <v>-178.86537674115669</v>
      </c>
      <c r="R722" s="418">
        <f t="shared" si="349"/>
        <v>-178.86537674115669</v>
      </c>
      <c r="S722" s="418">
        <f t="shared" si="359"/>
        <v>-178.86537674115669</v>
      </c>
      <c r="T722" s="418">
        <f t="shared" si="359"/>
        <v>-178.86537674115669</v>
      </c>
      <c r="U722" s="418">
        <f t="shared" si="359"/>
        <v>-178.86537674115669</v>
      </c>
      <c r="V722" s="418">
        <f t="shared" si="359"/>
        <v>-178.86537674115669</v>
      </c>
      <c r="W722" s="418">
        <f t="shared" si="359"/>
        <v>-178.86537674115669</v>
      </c>
      <c r="X722" s="418">
        <f t="shared" si="359"/>
        <v>-178.86537674115669</v>
      </c>
      <c r="Y722" s="418">
        <f t="shared" si="359"/>
        <v>-178.86537674115669</v>
      </c>
      <c r="Z722" s="418">
        <f t="shared" si="359"/>
        <v>-178.86537674115669</v>
      </c>
      <c r="AA722" s="418">
        <f t="shared" si="359"/>
        <v>-178.86537674115669</v>
      </c>
      <c r="AB722" s="418">
        <f t="shared" si="359"/>
        <v>-178.86537674115669</v>
      </c>
      <c r="AC722" s="418">
        <f t="shared" si="359"/>
        <v>-178.86537674115669</v>
      </c>
      <c r="AD722" s="418">
        <f t="shared" si="359"/>
        <v>-178.86537674115669</v>
      </c>
      <c r="AE722" s="418">
        <f t="shared" si="359"/>
        <v>-178.86537674115669</v>
      </c>
      <c r="AF722" s="418">
        <f t="shared" si="359"/>
        <v>-178.86537674115669</v>
      </c>
      <c r="AG722" s="418">
        <f t="shared" si="359"/>
        <v>-178.86537674115669</v>
      </c>
      <c r="AH722" s="418">
        <f t="shared" si="359"/>
        <v>-178.86537674115669</v>
      </c>
      <c r="AI722" s="146"/>
    </row>
    <row r="723" spans="4:35">
      <c r="E723" s="10" t="s">
        <v>112</v>
      </c>
      <c r="G723" s="10" t="s">
        <v>210</v>
      </c>
      <c r="H723" s="418">
        <f t="shared" si="357"/>
        <v>0</v>
      </c>
      <c r="I723" s="449">
        <f>NPV('Central Inputs'!$C$47,L723:Q723)</f>
        <v>0</v>
      </c>
      <c r="J723" s="449">
        <f>NPV('Central Inputs'!$C$47,L723:AE723)</f>
        <v>0</v>
      </c>
      <c r="K723" s="418"/>
      <c r="L723" s="418">
        <f t="shared" si="358"/>
        <v>0</v>
      </c>
      <c r="M723" s="418">
        <f t="shared" si="358"/>
        <v>0</v>
      </c>
      <c r="N723" s="418">
        <f t="shared" si="358"/>
        <v>0</v>
      </c>
      <c r="O723" s="418">
        <f t="shared" si="358"/>
        <v>0</v>
      </c>
      <c r="P723" s="418">
        <f t="shared" si="358"/>
        <v>0</v>
      </c>
      <c r="Q723" s="418">
        <f t="shared" si="358"/>
        <v>0</v>
      </c>
      <c r="R723" s="418">
        <f t="shared" si="349"/>
        <v>0</v>
      </c>
      <c r="S723" s="418">
        <f t="shared" si="359"/>
        <v>0</v>
      </c>
      <c r="T723" s="418">
        <f t="shared" si="359"/>
        <v>0</v>
      </c>
      <c r="U723" s="418">
        <f t="shared" si="359"/>
        <v>0</v>
      </c>
      <c r="V723" s="418">
        <f t="shared" si="359"/>
        <v>0</v>
      </c>
      <c r="W723" s="418">
        <f t="shared" si="359"/>
        <v>0</v>
      </c>
      <c r="X723" s="418">
        <f t="shared" si="359"/>
        <v>0</v>
      </c>
      <c r="Y723" s="418">
        <f t="shared" si="359"/>
        <v>0</v>
      </c>
      <c r="Z723" s="418">
        <f t="shared" si="359"/>
        <v>0</v>
      </c>
      <c r="AA723" s="418">
        <f t="shared" si="359"/>
        <v>0</v>
      </c>
      <c r="AB723" s="418">
        <f t="shared" si="359"/>
        <v>0</v>
      </c>
      <c r="AC723" s="418">
        <f t="shared" si="359"/>
        <v>0</v>
      </c>
      <c r="AD723" s="418">
        <f t="shared" si="359"/>
        <v>0</v>
      </c>
      <c r="AE723" s="418">
        <f t="shared" si="359"/>
        <v>0</v>
      </c>
      <c r="AF723" s="418">
        <f t="shared" si="359"/>
        <v>0</v>
      </c>
      <c r="AG723" s="418">
        <f t="shared" si="359"/>
        <v>0</v>
      </c>
      <c r="AH723" s="418">
        <f t="shared" si="359"/>
        <v>0</v>
      </c>
      <c r="AI723" s="146"/>
    </row>
    <row r="724" spans="4:35">
      <c r="E724" s="10" t="s">
        <v>114</v>
      </c>
      <c r="G724" s="10" t="s">
        <v>210</v>
      </c>
      <c r="H724" s="418">
        <f t="shared" si="357"/>
        <v>3.2393432692615924</v>
      </c>
      <c r="I724" s="449">
        <f>NPV('Central Inputs'!$C$47,L724:Q724)</f>
        <v>17.191078525062721</v>
      </c>
      <c r="J724" s="449">
        <f>NPV('Central Inputs'!$C$47,L724:AE724)</f>
        <v>47.347364386960912</v>
      </c>
      <c r="K724" s="418"/>
      <c r="L724" s="418">
        <f t="shared" si="358"/>
        <v>2.5303911907687824</v>
      </c>
      <c r="M724" s="418">
        <f t="shared" si="358"/>
        <v>3.3461098166654235</v>
      </c>
      <c r="N724" s="418">
        <f t="shared" si="358"/>
        <v>3.3760396707183107</v>
      </c>
      <c r="O724" s="418">
        <f t="shared" si="358"/>
        <v>3.394506312472346</v>
      </c>
      <c r="P724" s="418">
        <f t="shared" si="358"/>
        <v>3.394506312472346</v>
      </c>
      <c r="Q724" s="418">
        <f t="shared" si="358"/>
        <v>3.394506312472346</v>
      </c>
      <c r="R724" s="418">
        <f t="shared" si="349"/>
        <v>3.394506312472346</v>
      </c>
      <c r="S724" s="418">
        <f t="shared" si="359"/>
        <v>3.394506312472346</v>
      </c>
      <c r="T724" s="418">
        <f t="shared" si="359"/>
        <v>3.394506312472346</v>
      </c>
      <c r="U724" s="418">
        <f t="shared" si="359"/>
        <v>3.394506312472346</v>
      </c>
      <c r="V724" s="418">
        <f t="shared" si="359"/>
        <v>3.394506312472346</v>
      </c>
      <c r="W724" s="418">
        <f t="shared" si="359"/>
        <v>3.394506312472346</v>
      </c>
      <c r="X724" s="418">
        <f t="shared" si="359"/>
        <v>3.394506312472346</v>
      </c>
      <c r="Y724" s="418">
        <f t="shared" si="359"/>
        <v>3.394506312472346</v>
      </c>
      <c r="Z724" s="418">
        <f t="shared" si="359"/>
        <v>3.394506312472346</v>
      </c>
      <c r="AA724" s="418">
        <f t="shared" si="359"/>
        <v>3.394506312472346</v>
      </c>
      <c r="AB724" s="418">
        <f t="shared" si="359"/>
        <v>3.394506312472346</v>
      </c>
      <c r="AC724" s="418">
        <f t="shared" si="359"/>
        <v>3.394506312472346</v>
      </c>
      <c r="AD724" s="418">
        <f t="shared" si="359"/>
        <v>3.394506312472346</v>
      </c>
      <c r="AE724" s="418">
        <f t="shared" si="359"/>
        <v>3.394506312472346</v>
      </c>
      <c r="AF724" s="418">
        <f t="shared" si="359"/>
        <v>3.394506312472346</v>
      </c>
      <c r="AG724" s="418">
        <f t="shared" si="359"/>
        <v>3.394506312472346</v>
      </c>
      <c r="AH724" s="418">
        <f t="shared" si="359"/>
        <v>3.394506312472346</v>
      </c>
      <c r="AI724" s="146"/>
    </row>
    <row r="725" spans="4:35">
      <c r="E725" s="10" t="s">
        <v>115</v>
      </c>
      <c r="G725" s="10" t="s">
        <v>210</v>
      </c>
      <c r="H725" s="418">
        <f t="shared" si="357"/>
        <v>5.5313702357883408</v>
      </c>
      <c r="I725" s="449">
        <f>NPV('Central Inputs'!$C$47,L725:Q725)</f>
        <v>29.354783414573991</v>
      </c>
      <c r="J725" s="449">
        <f>NPV('Central Inputs'!$C$47,L725:AE725)</f>
        <v>80.84842523427892</v>
      </c>
      <c r="K725" s="418"/>
      <c r="L725" s="418">
        <f t="shared" si="358"/>
        <v>4.3207926280409197</v>
      </c>
      <c r="M725" s="418">
        <f t="shared" si="358"/>
        <v>5.7136804306020128</v>
      </c>
      <c r="N725" s="418">
        <f t="shared" si="358"/>
        <v>5.7647874267146424</v>
      </c>
      <c r="O725" s="418">
        <f t="shared" si="358"/>
        <v>5.7963203097908238</v>
      </c>
      <c r="P725" s="418">
        <f t="shared" si="358"/>
        <v>5.7963203097908238</v>
      </c>
      <c r="Q725" s="418">
        <f t="shared" si="358"/>
        <v>5.7963203097908238</v>
      </c>
      <c r="R725" s="418">
        <f t="shared" si="349"/>
        <v>5.7963203097908238</v>
      </c>
      <c r="S725" s="418">
        <f t="shared" si="359"/>
        <v>5.7963203097908238</v>
      </c>
      <c r="T725" s="418">
        <f t="shared" si="359"/>
        <v>5.7963203097908238</v>
      </c>
      <c r="U725" s="418">
        <f t="shared" si="359"/>
        <v>5.7963203097908238</v>
      </c>
      <c r="V725" s="418">
        <f t="shared" si="359"/>
        <v>5.7963203097908238</v>
      </c>
      <c r="W725" s="418">
        <f t="shared" si="359"/>
        <v>5.7963203097908238</v>
      </c>
      <c r="X725" s="418">
        <f t="shared" si="359"/>
        <v>5.7963203097908238</v>
      </c>
      <c r="Y725" s="418">
        <f t="shared" si="359"/>
        <v>5.7963203097908238</v>
      </c>
      <c r="Z725" s="418">
        <f t="shared" si="359"/>
        <v>5.7963203097908238</v>
      </c>
      <c r="AA725" s="418">
        <f t="shared" si="359"/>
        <v>5.7963203097908238</v>
      </c>
      <c r="AB725" s="418">
        <f t="shared" si="359"/>
        <v>5.7963203097908238</v>
      </c>
      <c r="AC725" s="418">
        <f t="shared" si="359"/>
        <v>5.7963203097908238</v>
      </c>
      <c r="AD725" s="418">
        <f t="shared" si="359"/>
        <v>5.7963203097908238</v>
      </c>
      <c r="AE725" s="418">
        <f t="shared" si="359"/>
        <v>5.7963203097908238</v>
      </c>
      <c r="AF725" s="418">
        <f t="shared" si="359"/>
        <v>5.7963203097908238</v>
      </c>
      <c r="AG725" s="418">
        <f t="shared" si="359"/>
        <v>5.7963203097908238</v>
      </c>
      <c r="AH725" s="418">
        <f t="shared" si="359"/>
        <v>5.7963203097908238</v>
      </c>
      <c r="AI725" s="146"/>
    </row>
    <row r="726" spans="4:35">
      <c r="E726" s="10" t="s">
        <v>116</v>
      </c>
      <c r="G726" s="10" t="s">
        <v>210</v>
      </c>
      <c r="H726" s="418">
        <f t="shared" si="357"/>
        <v>-35.019674317606906</v>
      </c>
      <c r="I726" s="449">
        <f>NPV('Central Inputs'!$C$47,L726:Q726)</f>
        <v>-187.3486567544594</v>
      </c>
      <c r="J726" s="449">
        <f>NPV('Central Inputs'!$C$47,L726:AE726)</f>
        <v>-445.98265621713063</v>
      </c>
      <c r="K726" s="418"/>
      <c r="L726" s="418">
        <f t="shared" si="358"/>
        <v>-29.745041608358846</v>
      </c>
      <c r="M726" s="418">
        <f t="shared" si="358"/>
        <v>-45.836814055965391</v>
      </c>
      <c r="N726" s="418">
        <f t="shared" si="358"/>
        <v>-39.259269756499727</v>
      </c>
      <c r="O726" s="418">
        <f t="shared" si="358"/>
        <v>-34.579415655977613</v>
      </c>
      <c r="P726" s="418">
        <f t="shared" si="358"/>
        <v>-31.584677479459348</v>
      </c>
      <c r="Q726" s="418">
        <f t="shared" si="358"/>
        <v>-29.112827349380513</v>
      </c>
      <c r="R726" s="418">
        <f t="shared" si="349"/>
        <v>-29.112827349380513</v>
      </c>
      <c r="S726" s="418">
        <f t="shared" si="359"/>
        <v>-29.112827349380513</v>
      </c>
      <c r="T726" s="418">
        <f t="shared" si="359"/>
        <v>-29.112827349380513</v>
      </c>
      <c r="U726" s="418">
        <f t="shared" si="359"/>
        <v>-29.112827349380513</v>
      </c>
      <c r="V726" s="418">
        <f t="shared" si="359"/>
        <v>-29.112827349380513</v>
      </c>
      <c r="W726" s="418">
        <f t="shared" si="359"/>
        <v>-29.112827349380513</v>
      </c>
      <c r="X726" s="418">
        <f t="shared" si="359"/>
        <v>-29.112827349380513</v>
      </c>
      <c r="Y726" s="418">
        <f t="shared" si="359"/>
        <v>-29.112827349380513</v>
      </c>
      <c r="Z726" s="418">
        <f t="shared" si="359"/>
        <v>-29.112827349380513</v>
      </c>
      <c r="AA726" s="418">
        <f t="shared" si="359"/>
        <v>-29.112827349380513</v>
      </c>
      <c r="AB726" s="418">
        <f t="shared" si="359"/>
        <v>-29.112827349380513</v>
      </c>
      <c r="AC726" s="418">
        <f t="shared" si="359"/>
        <v>-29.112827349380513</v>
      </c>
      <c r="AD726" s="418">
        <f t="shared" si="359"/>
        <v>-29.112827349380513</v>
      </c>
      <c r="AE726" s="418">
        <f t="shared" si="359"/>
        <v>-29.112827349380513</v>
      </c>
      <c r="AF726" s="418">
        <f t="shared" si="359"/>
        <v>-29.112827349380513</v>
      </c>
      <c r="AG726" s="418">
        <f t="shared" si="359"/>
        <v>-29.112827349380513</v>
      </c>
      <c r="AH726" s="418">
        <f t="shared" si="359"/>
        <v>-29.112827349380513</v>
      </c>
      <c r="AI726" s="146"/>
    </row>
    <row r="727" spans="4:35">
      <c r="D727" s="27" t="s">
        <v>107</v>
      </c>
      <c r="E727" s="27"/>
      <c r="F727" s="27"/>
      <c r="G727" s="27" t="s">
        <v>210</v>
      </c>
      <c r="H727" s="418">
        <f t="shared" si="357"/>
        <v>36.746869112749465</v>
      </c>
      <c r="I727" s="449">
        <f>NPV('Central Inputs'!$C$47,L727:Q727)</f>
        <v>194.65450047182591</v>
      </c>
      <c r="J727" s="449">
        <f>NPV('Central Inputs'!$C$47,L727:AE727)</f>
        <v>570.67669693037487</v>
      </c>
      <c r="K727" s="418"/>
      <c r="L727" s="418">
        <f>SUM(L718:L726)</f>
        <v>28.930890601667301</v>
      </c>
      <c r="M727" s="418">
        <f t="shared" ref="M727:Q727" si="360">SUM(M718:M726)</f>
        <v>37.550824440481804</v>
      </c>
      <c r="N727" s="418">
        <f t="shared" si="360"/>
        <v>35.133520405219834</v>
      </c>
      <c r="O727" s="418">
        <f t="shared" si="360"/>
        <v>36.73708032338304</v>
      </c>
      <c r="P727" s="418">
        <f t="shared" si="360"/>
        <v>39.802409319009016</v>
      </c>
      <c r="Q727" s="418">
        <f t="shared" si="360"/>
        <v>42.326489586735761</v>
      </c>
      <c r="R727" s="418">
        <f t="shared" si="349"/>
        <v>42.326489586735761</v>
      </c>
      <c r="S727" s="418">
        <f t="shared" si="359"/>
        <v>42.326489586735761</v>
      </c>
      <c r="T727" s="418">
        <f t="shared" si="359"/>
        <v>42.326489586735761</v>
      </c>
      <c r="U727" s="418">
        <f t="shared" si="359"/>
        <v>42.326489586735761</v>
      </c>
      <c r="V727" s="418">
        <f t="shared" si="359"/>
        <v>42.326489586735761</v>
      </c>
      <c r="W727" s="418">
        <f t="shared" si="359"/>
        <v>42.326489586735761</v>
      </c>
      <c r="X727" s="418">
        <f t="shared" si="359"/>
        <v>42.326489586735761</v>
      </c>
      <c r="Y727" s="418">
        <f t="shared" si="359"/>
        <v>42.326489586735761</v>
      </c>
      <c r="Z727" s="418">
        <f t="shared" si="359"/>
        <v>42.326489586735761</v>
      </c>
      <c r="AA727" s="418">
        <f t="shared" si="359"/>
        <v>42.326489586735761</v>
      </c>
      <c r="AB727" s="418">
        <f t="shared" si="359"/>
        <v>42.326489586735761</v>
      </c>
      <c r="AC727" s="418">
        <f t="shared" si="359"/>
        <v>42.326489586735761</v>
      </c>
      <c r="AD727" s="418">
        <f t="shared" si="359"/>
        <v>42.326489586735761</v>
      </c>
      <c r="AE727" s="418">
        <f t="shared" si="359"/>
        <v>42.326489586735761</v>
      </c>
      <c r="AF727" s="418">
        <f t="shared" si="359"/>
        <v>42.326489586735761</v>
      </c>
      <c r="AG727" s="418">
        <f t="shared" si="359"/>
        <v>42.326489586735761</v>
      </c>
      <c r="AH727" s="418">
        <f t="shared" si="359"/>
        <v>42.326489586735761</v>
      </c>
      <c r="AI727" s="146"/>
    </row>
    <row r="728" spans="4:35">
      <c r="D728" s="95"/>
      <c r="E728" s="62" t="s">
        <v>118</v>
      </c>
      <c r="F728" s="62"/>
      <c r="G728" s="62" t="s">
        <v>171</v>
      </c>
      <c r="H728" s="418">
        <f t="shared" si="357"/>
        <v>2.3266747254817068</v>
      </c>
      <c r="I728" s="449">
        <f>NPV('Central Inputs'!$C$47,L728:Q728)</f>
        <v>12.324797115625008</v>
      </c>
      <c r="J728" s="450">
        <f>NPV('Central Inputs'!$C$47,L728:AE728)</f>
        <v>36.133120432527107</v>
      </c>
      <c r="K728" s="423"/>
      <c r="L728" s="423">
        <f t="shared" ref="L728:Q728" si="361">L727/L35</f>
        <v>1.8317961114467067</v>
      </c>
      <c r="M728" s="423">
        <f t="shared" si="361"/>
        <v>2.3775781789354382</v>
      </c>
      <c r="N728" s="423">
        <f t="shared" si="361"/>
        <v>2.2245235013956419</v>
      </c>
      <c r="O728" s="423">
        <f t="shared" si="361"/>
        <v>2.3260549358407978</v>
      </c>
      <c r="P728" s="423">
        <f t="shared" si="361"/>
        <v>2.5201401374269841</v>
      </c>
      <c r="Q728" s="423">
        <f t="shared" si="361"/>
        <v>2.679955487844671</v>
      </c>
      <c r="R728" s="423">
        <f t="shared" si="349"/>
        <v>2.679955487844671</v>
      </c>
      <c r="S728" s="423">
        <f t="shared" si="359"/>
        <v>2.679955487844671</v>
      </c>
      <c r="T728" s="423">
        <f t="shared" si="359"/>
        <v>2.679955487844671</v>
      </c>
      <c r="U728" s="423">
        <f t="shared" si="359"/>
        <v>2.679955487844671</v>
      </c>
      <c r="V728" s="423">
        <f t="shared" si="359"/>
        <v>2.679955487844671</v>
      </c>
      <c r="W728" s="423">
        <f t="shared" si="359"/>
        <v>2.679955487844671</v>
      </c>
      <c r="X728" s="423">
        <f t="shared" si="359"/>
        <v>2.679955487844671</v>
      </c>
      <c r="Y728" s="423">
        <f t="shared" si="359"/>
        <v>2.679955487844671</v>
      </c>
      <c r="Z728" s="423">
        <f t="shared" si="359"/>
        <v>2.679955487844671</v>
      </c>
      <c r="AA728" s="423">
        <f t="shared" si="359"/>
        <v>2.679955487844671</v>
      </c>
      <c r="AB728" s="423">
        <f t="shared" si="359"/>
        <v>2.679955487844671</v>
      </c>
      <c r="AC728" s="423">
        <f t="shared" si="359"/>
        <v>2.679955487844671</v>
      </c>
      <c r="AD728" s="423">
        <f t="shared" si="359"/>
        <v>2.679955487844671</v>
      </c>
      <c r="AE728" s="423">
        <f t="shared" si="359"/>
        <v>2.679955487844671</v>
      </c>
      <c r="AF728" s="423">
        <f t="shared" si="359"/>
        <v>2.679955487844671</v>
      </c>
      <c r="AG728" s="423">
        <f t="shared" si="359"/>
        <v>2.679955487844671</v>
      </c>
      <c r="AH728" s="423">
        <f t="shared" si="359"/>
        <v>2.679955487844671</v>
      </c>
      <c r="AI728" s="146"/>
    </row>
    <row r="729" spans="4:35">
      <c r="H729" s="802"/>
      <c r="I729" s="820"/>
      <c r="J729" s="418"/>
      <c r="K729" s="418"/>
      <c r="L729" s="418"/>
      <c r="M729" s="418"/>
      <c r="N729" s="418"/>
      <c r="O729" s="418"/>
      <c r="P729" s="418"/>
      <c r="Q729" s="418"/>
      <c r="R729" s="418"/>
      <c r="S729" s="418"/>
      <c r="T729" s="418"/>
      <c r="U729" s="418"/>
      <c r="V729" s="418"/>
      <c r="W729" s="418"/>
      <c r="X729" s="418"/>
      <c r="Y729" s="418"/>
      <c r="Z729" s="418"/>
      <c r="AA729" s="418"/>
      <c r="AB729" s="418"/>
      <c r="AC729" s="418"/>
      <c r="AD729" s="418"/>
      <c r="AE729" s="418"/>
      <c r="AF729" s="418"/>
      <c r="AG729" s="418"/>
      <c r="AH729" s="418"/>
      <c r="AI729" s="146"/>
    </row>
    <row r="730" spans="4:35">
      <c r="D730" s="27" t="s">
        <v>107</v>
      </c>
      <c r="H730" s="418"/>
      <c r="I730" s="449"/>
      <c r="J730" s="418"/>
      <c r="K730" s="418"/>
      <c r="L730" s="418"/>
      <c r="M730" s="418"/>
      <c r="N730" s="418"/>
      <c r="O730" s="418"/>
      <c r="P730" s="418"/>
      <c r="Q730" s="418"/>
      <c r="R730" s="418"/>
      <c r="S730" s="418"/>
      <c r="T730" s="418"/>
      <c r="U730" s="418"/>
      <c r="V730" s="418"/>
      <c r="W730" s="418"/>
      <c r="X730" s="418"/>
      <c r="Y730" s="418"/>
      <c r="Z730" s="418"/>
      <c r="AA730" s="418"/>
      <c r="AB730" s="418"/>
      <c r="AC730" s="418"/>
      <c r="AD730" s="418"/>
      <c r="AE730" s="418"/>
      <c r="AF730" s="418"/>
      <c r="AG730" s="418"/>
      <c r="AH730" s="418"/>
      <c r="AI730" s="146"/>
    </row>
    <row r="731" spans="4:35">
      <c r="D731" s="786"/>
      <c r="E731" s="787" t="s">
        <v>108</v>
      </c>
      <c r="F731" s="787"/>
      <c r="G731" s="787" t="s">
        <v>210</v>
      </c>
      <c r="H731" s="802">
        <f t="shared" ref="H731:H741" si="362">AVERAGE(L731:Q731)</f>
        <v>156.3834031048039</v>
      </c>
      <c r="I731" s="820">
        <f>NPV('Central Inputs'!$C$47,L731:Q731)</f>
        <v>836.00833740676899</v>
      </c>
      <c r="J731" s="820">
        <f>NPV('Central Inputs'!$C$47,L731:AE731)</f>
        <v>2144.1673876383056</v>
      </c>
      <c r="K731" s="802">
        <f>AVERAGE(L731:Q731)</f>
        <v>156.3834031048039</v>
      </c>
      <c r="L731" s="802">
        <f t="shared" ref="L731" si="363">L692+L705+L718</f>
        <v>157.18820045905494</v>
      </c>
      <c r="M731" s="802">
        <f t="shared" ref="M731:Q731" si="364">M692+M705+M718</f>
        <v>185.96235392925843</v>
      </c>
      <c r="N731" s="802">
        <f t="shared" si="364"/>
        <v>155.73208737142292</v>
      </c>
      <c r="O731" s="802">
        <f t="shared" si="364"/>
        <v>145.61213977837212</v>
      </c>
      <c r="P731" s="802">
        <f t="shared" si="364"/>
        <v>146.5542754984931</v>
      </c>
      <c r="Q731" s="802">
        <f t="shared" si="364"/>
        <v>147.25136159222185</v>
      </c>
      <c r="R731" s="802">
        <f t="shared" si="349"/>
        <v>147.25136159222185</v>
      </c>
      <c r="S731" s="802">
        <f t="shared" si="349"/>
        <v>147.25136159222185</v>
      </c>
      <c r="T731" s="802">
        <f t="shared" si="349"/>
        <v>147.25136159222185</v>
      </c>
      <c r="U731" s="802">
        <f t="shared" si="349"/>
        <v>147.25136159222185</v>
      </c>
      <c r="V731" s="802">
        <f t="shared" si="349"/>
        <v>147.25136159222185</v>
      </c>
      <c r="W731" s="802">
        <f t="shared" si="349"/>
        <v>147.25136159222185</v>
      </c>
      <c r="X731" s="802">
        <f t="shared" si="349"/>
        <v>147.25136159222185</v>
      </c>
      <c r="Y731" s="802">
        <f t="shared" si="349"/>
        <v>147.25136159222185</v>
      </c>
      <c r="Z731" s="802">
        <f t="shared" si="349"/>
        <v>147.25136159222185</v>
      </c>
      <c r="AA731" s="802">
        <f t="shared" si="349"/>
        <v>147.25136159222185</v>
      </c>
      <c r="AB731" s="802">
        <f t="shared" si="349"/>
        <v>147.25136159222185</v>
      </c>
      <c r="AC731" s="802">
        <f t="shared" si="349"/>
        <v>147.25136159222185</v>
      </c>
      <c r="AD731" s="802">
        <f t="shared" si="349"/>
        <v>147.25136159222185</v>
      </c>
      <c r="AE731" s="802">
        <f t="shared" si="349"/>
        <v>147.25136159222185</v>
      </c>
      <c r="AF731" s="802">
        <f t="shared" si="349"/>
        <v>147.25136159222185</v>
      </c>
      <c r="AG731" s="802">
        <f t="shared" si="349"/>
        <v>147.25136159222185</v>
      </c>
      <c r="AH731" s="802">
        <f t="shared" ref="S731:AH741" si="365">$Q731</f>
        <v>147.25136159222185</v>
      </c>
      <c r="AI731" s="146"/>
    </row>
    <row r="732" spans="4:35">
      <c r="E732" s="10" t="s">
        <v>109</v>
      </c>
      <c r="G732" s="10" t="s">
        <v>210</v>
      </c>
      <c r="H732" s="418">
        <f t="shared" si="362"/>
        <v>325.67200019940918</v>
      </c>
      <c r="I732" s="449">
        <f>NPV('Central Inputs'!$C$47,L732:Q732)</f>
        <v>1717.8701941379752</v>
      </c>
      <c r="J732" s="449">
        <f>NPV('Central Inputs'!$C$47,L732:AE732)</f>
        <v>4970.3887257019869</v>
      </c>
      <c r="K732" s="418">
        <f t="shared" ref="K732:K741" si="366">AVERAGE(L732:Q732)</f>
        <v>325.67200019940918</v>
      </c>
      <c r="L732" s="418">
        <f t="shared" ref="L732:L737" si="367">L693+L706+L719</f>
        <v>147.60278334721241</v>
      </c>
      <c r="M732" s="418">
        <f t="shared" ref="M732:Q733" si="368">M693+M706+M719</f>
        <v>355.47932411321494</v>
      </c>
      <c r="N732" s="418">
        <f t="shared" si="368"/>
        <v>358.81034084884482</v>
      </c>
      <c r="O732" s="418">
        <f t="shared" si="368"/>
        <v>361.76012134863726</v>
      </c>
      <c r="P732" s="418">
        <f t="shared" si="368"/>
        <v>364.26356642874441</v>
      </c>
      <c r="Q732" s="418">
        <f t="shared" si="368"/>
        <v>366.11586510980112</v>
      </c>
      <c r="R732" s="418">
        <f t="shared" si="349"/>
        <v>366.11586510980112</v>
      </c>
      <c r="S732" s="418">
        <f t="shared" si="365"/>
        <v>366.11586510980112</v>
      </c>
      <c r="T732" s="418">
        <f t="shared" si="365"/>
        <v>366.11586510980112</v>
      </c>
      <c r="U732" s="418">
        <f t="shared" si="365"/>
        <v>366.11586510980112</v>
      </c>
      <c r="V732" s="418">
        <f t="shared" si="365"/>
        <v>366.11586510980112</v>
      </c>
      <c r="W732" s="418">
        <f t="shared" si="365"/>
        <v>366.11586510980112</v>
      </c>
      <c r="X732" s="418">
        <f t="shared" si="365"/>
        <v>366.11586510980112</v>
      </c>
      <c r="Y732" s="418">
        <f t="shared" si="365"/>
        <v>366.11586510980112</v>
      </c>
      <c r="Z732" s="418">
        <f t="shared" si="365"/>
        <v>366.11586510980112</v>
      </c>
      <c r="AA732" s="418">
        <f t="shared" si="365"/>
        <v>366.11586510980112</v>
      </c>
      <c r="AB732" s="418">
        <f t="shared" si="365"/>
        <v>366.11586510980112</v>
      </c>
      <c r="AC732" s="418">
        <f t="shared" si="365"/>
        <v>366.11586510980112</v>
      </c>
      <c r="AD732" s="418">
        <f t="shared" si="365"/>
        <v>366.11586510980112</v>
      </c>
      <c r="AE732" s="418">
        <f t="shared" si="365"/>
        <v>366.11586510980112</v>
      </c>
      <c r="AF732" s="418">
        <f t="shared" si="365"/>
        <v>366.11586510980112</v>
      </c>
      <c r="AG732" s="418">
        <f t="shared" si="365"/>
        <v>366.11586510980112</v>
      </c>
      <c r="AH732" s="418">
        <f t="shared" si="365"/>
        <v>366.11586510980112</v>
      </c>
      <c r="AI732" s="146"/>
    </row>
    <row r="733" spans="4:35">
      <c r="E733" s="10" t="s">
        <v>113</v>
      </c>
      <c r="G733" s="10" t="s">
        <v>210</v>
      </c>
      <c r="H733" s="418">
        <f t="shared" si="362"/>
        <v>41.34771326884119</v>
      </c>
      <c r="I733" s="449">
        <f>NPV('Central Inputs'!$C$47,L733:Q733)</f>
        <v>220.35417290952685</v>
      </c>
      <c r="J733" s="449">
        <f>NPV('Central Inputs'!$C$47,L733:AE733)</f>
        <v>485.21071773914446</v>
      </c>
      <c r="K733" s="418">
        <f t="shared" si="366"/>
        <v>41.34771326884119</v>
      </c>
      <c r="L733" s="418">
        <f t="shared" si="367"/>
        <v>33.437822075085435</v>
      </c>
      <c r="M733" s="418">
        <f t="shared" si="368"/>
        <v>51.351462905572085</v>
      </c>
      <c r="N733" s="418">
        <f t="shared" si="368"/>
        <v>42.993632750036426</v>
      </c>
      <c r="O733" s="418">
        <f t="shared" si="368"/>
        <v>40.10112062745111</v>
      </c>
      <c r="P733" s="418">
        <f t="shared" si="368"/>
        <v>40.101120627451053</v>
      </c>
      <c r="Q733" s="418">
        <f t="shared" si="368"/>
        <v>40.101120627451024</v>
      </c>
      <c r="R733" s="418">
        <v>0</v>
      </c>
      <c r="S733" s="418">
        <v>0</v>
      </c>
      <c r="T733" s="418">
        <v>0</v>
      </c>
      <c r="U733" s="418">
        <f t="shared" si="365"/>
        <v>40.101120627451024</v>
      </c>
      <c r="V733" s="418">
        <f t="shared" si="365"/>
        <v>40.101120627451024</v>
      </c>
      <c r="W733" s="418">
        <f t="shared" si="365"/>
        <v>40.101120627451024</v>
      </c>
      <c r="X733" s="418">
        <f t="shared" si="365"/>
        <v>40.101120627451024</v>
      </c>
      <c r="Y733" s="418">
        <f t="shared" si="365"/>
        <v>40.101120627451024</v>
      </c>
      <c r="Z733" s="418">
        <f t="shared" si="365"/>
        <v>40.101120627451024</v>
      </c>
      <c r="AA733" s="418">
        <f t="shared" si="365"/>
        <v>40.101120627451024</v>
      </c>
      <c r="AB733" s="418">
        <f t="shared" si="365"/>
        <v>40.101120627451024</v>
      </c>
      <c r="AC733" s="418">
        <f t="shared" si="365"/>
        <v>40.101120627451024</v>
      </c>
      <c r="AD733" s="418">
        <f t="shared" si="365"/>
        <v>40.101120627451024</v>
      </c>
      <c r="AE733" s="418">
        <f t="shared" si="365"/>
        <v>40.101120627451024</v>
      </c>
      <c r="AF733" s="418">
        <f t="shared" si="365"/>
        <v>40.101120627451024</v>
      </c>
      <c r="AG733" s="418">
        <f t="shared" si="365"/>
        <v>40.101120627451024</v>
      </c>
      <c r="AH733" s="418">
        <f t="shared" si="365"/>
        <v>40.101120627451024</v>
      </c>
      <c r="AI733" s="146"/>
    </row>
    <row r="734" spans="4:35">
      <c r="E734" s="10" t="s">
        <v>110</v>
      </c>
      <c r="G734" s="10" t="s">
        <v>210</v>
      </c>
      <c r="H734" s="418">
        <f t="shared" si="362"/>
        <v>-162.59879296036431</v>
      </c>
      <c r="I734" s="449">
        <f>NPV('Central Inputs'!$C$47,L734:Q734)</f>
        <v>-873.61499559913091</v>
      </c>
      <c r="J734" s="449">
        <f>NPV('Central Inputs'!$C$47,L734:AE734)</f>
        <v>-2063.0261968471286</v>
      </c>
      <c r="K734" s="418">
        <f t="shared" si="366"/>
        <v>-162.59879296036431</v>
      </c>
      <c r="L734" s="418">
        <f t="shared" si="367"/>
        <v>-185.46361637572718</v>
      </c>
      <c r="M734" s="418">
        <f t="shared" ref="M734:Q734" si="369">M695+M708+M721</f>
        <v>-205.47089246879585</v>
      </c>
      <c r="N734" s="418">
        <f t="shared" si="369"/>
        <v>-164.19552052083196</v>
      </c>
      <c r="O734" s="418">
        <f t="shared" si="369"/>
        <v>-146.34215063683627</v>
      </c>
      <c r="P734" s="418">
        <f t="shared" si="369"/>
        <v>-140.23592600774094</v>
      </c>
      <c r="Q734" s="418">
        <f t="shared" si="369"/>
        <v>-133.88465175225346</v>
      </c>
      <c r="R734" s="418">
        <f t="shared" si="349"/>
        <v>-133.88465175225346</v>
      </c>
      <c r="S734" s="418">
        <f t="shared" si="365"/>
        <v>-133.88465175225346</v>
      </c>
      <c r="T734" s="418">
        <f t="shared" si="365"/>
        <v>-133.88465175225346</v>
      </c>
      <c r="U734" s="418">
        <f t="shared" si="365"/>
        <v>-133.88465175225346</v>
      </c>
      <c r="V734" s="418">
        <f t="shared" si="365"/>
        <v>-133.88465175225346</v>
      </c>
      <c r="W734" s="418">
        <f t="shared" si="365"/>
        <v>-133.88465175225346</v>
      </c>
      <c r="X734" s="418">
        <f t="shared" si="365"/>
        <v>-133.88465175225346</v>
      </c>
      <c r="Y734" s="418">
        <f t="shared" si="365"/>
        <v>-133.88465175225346</v>
      </c>
      <c r="Z734" s="418">
        <f t="shared" si="365"/>
        <v>-133.88465175225346</v>
      </c>
      <c r="AA734" s="418">
        <f t="shared" si="365"/>
        <v>-133.88465175225346</v>
      </c>
      <c r="AB734" s="418">
        <f t="shared" si="365"/>
        <v>-133.88465175225346</v>
      </c>
      <c r="AC734" s="418">
        <f t="shared" si="365"/>
        <v>-133.88465175225346</v>
      </c>
      <c r="AD734" s="418">
        <f t="shared" si="365"/>
        <v>-133.88465175225346</v>
      </c>
      <c r="AE734" s="418">
        <f t="shared" si="365"/>
        <v>-133.88465175225346</v>
      </c>
      <c r="AF734" s="418">
        <f t="shared" si="365"/>
        <v>-133.88465175225346</v>
      </c>
      <c r="AG734" s="418">
        <f t="shared" si="365"/>
        <v>-133.88465175225346</v>
      </c>
      <c r="AH734" s="418">
        <f t="shared" si="365"/>
        <v>-133.88465175225346</v>
      </c>
      <c r="AI734" s="146"/>
    </row>
    <row r="735" spans="4:35">
      <c r="E735" s="10" t="s">
        <v>111</v>
      </c>
      <c r="G735" s="10" t="s">
        <v>210</v>
      </c>
      <c r="H735" s="418">
        <f t="shared" si="362"/>
        <v>-343.25239604634163</v>
      </c>
      <c r="I735" s="449">
        <f>NPV('Central Inputs'!$C$47,L735:Q735)</f>
        <v>-1816.5445956946166</v>
      </c>
      <c r="J735" s="449">
        <f>NPV('Central Inputs'!$C$47,L735:AE735)</f>
        <v>-4941.0544697861778</v>
      </c>
      <c r="K735" s="418">
        <f t="shared" si="366"/>
        <v>-343.25239604634163</v>
      </c>
      <c r="L735" s="418">
        <f t="shared" si="367"/>
        <v>-168.19256848683727</v>
      </c>
      <c r="M735" s="418">
        <f t="shared" ref="M735:Q735" si="370">M696+M709+M722</f>
        <v>-403.93740786853743</v>
      </c>
      <c r="N735" s="418">
        <f t="shared" si="370"/>
        <v>-391.4759296173961</v>
      </c>
      <c r="O735" s="418">
        <f t="shared" si="370"/>
        <v>-378.68187465113613</v>
      </c>
      <c r="P735" s="418">
        <f t="shared" si="370"/>
        <v>-365.51987223477647</v>
      </c>
      <c r="Q735" s="418">
        <f t="shared" si="370"/>
        <v>-351.70672341936643</v>
      </c>
      <c r="R735" s="418">
        <f t="shared" si="349"/>
        <v>-351.70672341936643</v>
      </c>
      <c r="S735" s="418">
        <f t="shared" si="365"/>
        <v>-351.70672341936643</v>
      </c>
      <c r="T735" s="418">
        <f t="shared" si="365"/>
        <v>-351.70672341936643</v>
      </c>
      <c r="U735" s="418">
        <f t="shared" si="365"/>
        <v>-351.70672341936643</v>
      </c>
      <c r="V735" s="418">
        <f t="shared" si="365"/>
        <v>-351.70672341936643</v>
      </c>
      <c r="W735" s="418">
        <f t="shared" si="365"/>
        <v>-351.70672341936643</v>
      </c>
      <c r="X735" s="418">
        <f t="shared" si="365"/>
        <v>-351.70672341936643</v>
      </c>
      <c r="Y735" s="418">
        <f t="shared" si="365"/>
        <v>-351.70672341936643</v>
      </c>
      <c r="Z735" s="418">
        <f t="shared" si="365"/>
        <v>-351.70672341936643</v>
      </c>
      <c r="AA735" s="418">
        <f t="shared" si="365"/>
        <v>-351.70672341936643</v>
      </c>
      <c r="AB735" s="418">
        <f t="shared" si="365"/>
        <v>-351.70672341936643</v>
      </c>
      <c r="AC735" s="418">
        <f t="shared" si="365"/>
        <v>-351.70672341936643</v>
      </c>
      <c r="AD735" s="418">
        <f t="shared" si="365"/>
        <v>-351.70672341936643</v>
      </c>
      <c r="AE735" s="418">
        <f t="shared" si="365"/>
        <v>-351.70672341936643</v>
      </c>
      <c r="AF735" s="418">
        <f t="shared" si="365"/>
        <v>-351.70672341936643</v>
      </c>
      <c r="AG735" s="418">
        <f t="shared" si="365"/>
        <v>-351.70672341936643</v>
      </c>
      <c r="AH735" s="418">
        <f t="shared" si="365"/>
        <v>-351.70672341936643</v>
      </c>
      <c r="AI735" s="146"/>
    </row>
    <row r="736" spans="4:35">
      <c r="E736" s="10" t="s">
        <v>112</v>
      </c>
      <c r="G736" s="10" t="s">
        <v>210</v>
      </c>
      <c r="H736" s="418">
        <f t="shared" si="362"/>
        <v>6.5821517732594588</v>
      </c>
      <c r="I736" s="449">
        <f>NPV('Central Inputs'!$C$47,L736:Q736)</f>
        <v>35.078230337215764</v>
      </c>
      <c r="J736" s="449">
        <f>NPV('Central Inputs'!$C$47,L736:AE736)</f>
        <v>91.790122332129698</v>
      </c>
      <c r="K736" s="418">
        <f t="shared" si="366"/>
        <v>6.5821517732594588</v>
      </c>
      <c r="L736" s="418">
        <f>L697+L710+L723</f>
        <v>5.3229744154029479</v>
      </c>
      <c r="M736" s="418">
        <f>M697+M710+M723</f>
        <v>8.1746509275058443</v>
      </c>
      <c r="N736" s="418">
        <f t="shared" ref="N736:Q736" si="371">N697+N710+N723</f>
        <v>6.8441660655941181</v>
      </c>
      <c r="O736" s="418">
        <f t="shared" si="371"/>
        <v>6.3837064103512819</v>
      </c>
      <c r="P736" s="418">
        <f t="shared" si="371"/>
        <v>6.3837064103512819</v>
      </c>
      <c r="Q736" s="418">
        <f t="shared" si="371"/>
        <v>6.3837064103512837</v>
      </c>
      <c r="R736" s="418">
        <f t="shared" si="349"/>
        <v>6.3837064103512837</v>
      </c>
      <c r="S736" s="418">
        <f t="shared" si="365"/>
        <v>6.3837064103512837</v>
      </c>
      <c r="T736" s="418">
        <f t="shared" si="365"/>
        <v>6.3837064103512837</v>
      </c>
      <c r="U736" s="418">
        <f t="shared" si="365"/>
        <v>6.3837064103512837</v>
      </c>
      <c r="V736" s="418">
        <f t="shared" si="365"/>
        <v>6.3837064103512837</v>
      </c>
      <c r="W736" s="418">
        <f t="shared" si="365"/>
        <v>6.3837064103512837</v>
      </c>
      <c r="X736" s="418">
        <f t="shared" si="365"/>
        <v>6.3837064103512837</v>
      </c>
      <c r="Y736" s="418">
        <f t="shared" si="365"/>
        <v>6.3837064103512837</v>
      </c>
      <c r="Z736" s="418">
        <f t="shared" si="365"/>
        <v>6.3837064103512837</v>
      </c>
      <c r="AA736" s="418">
        <f t="shared" si="365"/>
        <v>6.3837064103512837</v>
      </c>
      <c r="AB736" s="418">
        <f t="shared" si="365"/>
        <v>6.3837064103512837</v>
      </c>
      <c r="AC736" s="418">
        <f t="shared" si="365"/>
        <v>6.3837064103512837</v>
      </c>
      <c r="AD736" s="418">
        <f t="shared" si="365"/>
        <v>6.3837064103512837</v>
      </c>
      <c r="AE736" s="418">
        <f t="shared" si="365"/>
        <v>6.3837064103512837</v>
      </c>
      <c r="AF736" s="418">
        <f t="shared" si="365"/>
        <v>6.3837064103512837</v>
      </c>
      <c r="AG736" s="418">
        <f t="shared" si="365"/>
        <v>6.3837064103512837</v>
      </c>
      <c r="AH736" s="418">
        <f t="shared" si="365"/>
        <v>6.3837064103512837</v>
      </c>
      <c r="AI736" s="146"/>
    </row>
    <row r="737" spans="2:35">
      <c r="E737" s="10" t="s">
        <v>114</v>
      </c>
      <c r="G737" s="10" t="s">
        <v>210</v>
      </c>
      <c r="H737" s="418">
        <f t="shared" si="362"/>
        <v>40.847360551483725</v>
      </c>
      <c r="I737" s="449">
        <f>NPV('Central Inputs'!$C$47,L737:Q737)</f>
        <v>217.94776858831548</v>
      </c>
      <c r="J737" s="449">
        <f>NPV('Central Inputs'!$C$47,L737:AE737)</f>
        <v>554.61099952450843</v>
      </c>
      <c r="K737" s="418">
        <f t="shared" si="366"/>
        <v>40.847360551483725</v>
      </c>
      <c r="L737" s="418">
        <f t="shared" si="367"/>
        <v>34.861671463122292</v>
      </c>
      <c r="M737" s="418">
        <f>M698+M711+M724</f>
        <v>49.914489902054321</v>
      </c>
      <c r="N737" s="418">
        <f t="shared" ref="N737:Q737" si="372">N698+N711+N724</f>
        <v>43.171857400897274</v>
      </c>
      <c r="O737" s="418">
        <f t="shared" si="372"/>
        <v>40.186172506882748</v>
      </c>
      <c r="P737" s="418">
        <f t="shared" si="372"/>
        <v>39.053877409977467</v>
      </c>
      <c r="Q737" s="418">
        <f t="shared" si="372"/>
        <v>37.896094625968239</v>
      </c>
      <c r="R737" s="418">
        <f t="shared" si="349"/>
        <v>37.896094625968239</v>
      </c>
      <c r="S737" s="418">
        <f t="shared" si="365"/>
        <v>37.896094625968239</v>
      </c>
      <c r="T737" s="418">
        <f t="shared" si="365"/>
        <v>37.896094625968239</v>
      </c>
      <c r="U737" s="418">
        <f t="shared" si="365"/>
        <v>37.896094625968239</v>
      </c>
      <c r="V737" s="418">
        <f t="shared" si="365"/>
        <v>37.896094625968239</v>
      </c>
      <c r="W737" s="418">
        <f t="shared" si="365"/>
        <v>37.896094625968239</v>
      </c>
      <c r="X737" s="418">
        <f t="shared" si="365"/>
        <v>37.896094625968239</v>
      </c>
      <c r="Y737" s="418">
        <f t="shared" si="365"/>
        <v>37.896094625968239</v>
      </c>
      <c r="Z737" s="418">
        <f t="shared" si="365"/>
        <v>37.896094625968239</v>
      </c>
      <c r="AA737" s="418">
        <f t="shared" si="365"/>
        <v>37.896094625968239</v>
      </c>
      <c r="AB737" s="418">
        <f t="shared" si="365"/>
        <v>37.896094625968239</v>
      </c>
      <c r="AC737" s="418">
        <f t="shared" si="365"/>
        <v>37.896094625968239</v>
      </c>
      <c r="AD737" s="418">
        <f t="shared" si="365"/>
        <v>37.896094625968239</v>
      </c>
      <c r="AE737" s="418">
        <f t="shared" si="365"/>
        <v>37.896094625968239</v>
      </c>
      <c r="AF737" s="418">
        <f t="shared" si="365"/>
        <v>37.896094625968239</v>
      </c>
      <c r="AG737" s="418">
        <f t="shared" si="365"/>
        <v>37.896094625968239</v>
      </c>
      <c r="AH737" s="418">
        <f t="shared" si="365"/>
        <v>37.896094625968239</v>
      </c>
      <c r="AI737" s="146"/>
    </row>
    <row r="738" spans="2:35">
      <c r="E738" s="10" t="s">
        <v>115</v>
      </c>
      <c r="G738" s="10" t="s">
        <v>210</v>
      </c>
      <c r="H738" s="418">
        <f t="shared" si="362"/>
        <v>10.235696217224909</v>
      </c>
      <c r="I738" s="449">
        <f>NPV('Central Inputs'!$C$47,L738:Q738)</f>
        <v>54.320472639848234</v>
      </c>
      <c r="J738" s="449">
        <f>NPV('Central Inputs'!$C$47,L738:AE738)</f>
        <v>149.6084848894873</v>
      </c>
      <c r="K738" s="418">
        <f t="shared" si="366"/>
        <v>10.235696217224909</v>
      </c>
      <c r="L738" s="418">
        <f t="shared" ref="L738:Q739" si="373">L699+L712+L725</f>
        <v>7.9955452036286445</v>
      </c>
      <c r="M738" s="418">
        <f t="shared" si="373"/>
        <v>10.573057791639551</v>
      </c>
      <c r="N738" s="418">
        <f t="shared" si="373"/>
        <v>10.667630323306149</v>
      </c>
      <c r="O738" s="418">
        <f t="shared" si="373"/>
        <v>10.725981328258371</v>
      </c>
      <c r="P738" s="418">
        <f t="shared" si="373"/>
        <v>10.725981328258371</v>
      </c>
      <c r="Q738" s="418">
        <f t="shared" si="373"/>
        <v>10.725981328258371</v>
      </c>
      <c r="R738" s="418">
        <f t="shared" si="349"/>
        <v>10.725981328258371</v>
      </c>
      <c r="S738" s="418">
        <f t="shared" si="365"/>
        <v>10.725981328258371</v>
      </c>
      <c r="T738" s="418">
        <f t="shared" si="365"/>
        <v>10.725981328258371</v>
      </c>
      <c r="U738" s="418">
        <f t="shared" si="365"/>
        <v>10.725981328258371</v>
      </c>
      <c r="V738" s="418">
        <f t="shared" si="365"/>
        <v>10.725981328258371</v>
      </c>
      <c r="W738" s="418">
        <f t="shared" si="365"/>
        <v>10.725981328258371</v>
      </c>
      <c r="X738" s="418">
        <f t="shared" si="365"/>
        <v>10.725981328258371</v>
      </c>
      <c r="Y738" s="418">
        <f t="shared" si="365"/>
        <v>10.725981328258371</v>
      </c>
      <c r="Z738" s="418">
        <f t="shared" si="365"/>
        <v>10.725981328258371</v>
      </c>
      <c r="AA738" s="418">
        <f t="shared" si="365"/>
        <v>10.725981328258371</v>
      </c>
      <c r="AB738" s="418">
        <f t="shared" si="365"/>
        <v>10.725981328258371</v>
      </c>
      <c r="AC738" s="418">
        <f t="shared" si="365"/>
        <v>10.725981328258371</v>
      </c>
      <c r="AD738" s="418">
        <f t="shared" si="365"/>
        <v>10.725981328258371</v>
      </c>
      <c r="AE738" s="418">
        <f t="shared" si="365"/>
        <v>10.725981328258371</v>
      </c>
      <c r="AF738" s="418">
        <f t="shared" si="365"/>
        <v>10.725981328258371</v>
      </c>
      <c r="AG738" s="418">
        <f t="shared" si="365"/>
        <v>10.725981328258371</v>
      </c>
      <c r="AH738" s="418">
        <f t="shared" si="365"/>
        <v>10.725981328258371</v>
      </c>
      <c r="AI738" s="146"/>
    </row>
    <row r="739" spans="2:35">
      <c r="E739" s="10" t="s">
        <v>116</v>
      </c>
      <c r="G739" s="10" t="s">
        <v>210</v>
      </c>
      <c r="H739" s="418">
        <f t="shared" si="362"/>
        <v>-35.019674317606906</v>
      </c>
      <c r="I739" s="449">
        <f>NPV('Central Inputs'!$C$47,L739:Q739)</f>
        <v>-187.3486567544594</v>
      </c>
      <c r="J739" s="449">
        <f>NPV('Central Inputs'!$C$47,L739:AE739)</f>
        <v>-445.98265621713063</v>
      </c>
      <c r="K739" s="418">
        <f t="shared" si="366"/>
        <v>-35.019674317606906</v>
      </c>
      <c r="L739" s="418">
        <f>L700+L713+L726</f>
        <v>-29.745041608358846</v>
      </c>
      <c r="M739" s="418">
        <f t="shared" si="373"/>
        <v>-45.836814055965391</v>
      </c>
      <c r="N739" s="418">
        <f t="shared" si="373"/>
        <v>-39.259269756499727</v>
      </c>
      <c r="O739" s="418">
        <f t="shared" si="373"/>
        <v>-34.579415655977613</v>
      </c>
      <c r="P739" s="418">
        <f>P700+P713+P726</f>
        <v>-31.584677479459348</v>
      </c>
      <c r="Q739" s="418">
        <f>Q700+Q713+Q726</f>
        <v>-29.112827349380513</v>
      </c>
      <c r="R739" s="418">
        <f t="shared" si="349"/>
        <v>-29.112827349380513</v>
      </c>
      <c r="S739" s="418">
        <f t="shared" si="365"/>
        <v>-29.112827349380513</v>
      </c>
      <c r="T739" s="418">
        <f t="shared" si="365"/>
        <v>-29.112827349380513</v>
      </c>
      <c r="U739" s="418">
        <f t="shared" si="365"/>
        <v>-29.112827349380513</v>
      </c>
      <c r="V739" s="418">
        <f t="shared" si="365"/>
        <v>-29.112827349380513</v>
      </c>
      <c r="W739" s="418">
        <f t="shared" si="365"/>
        <v>-29.112827349380513</v>
      </c>
      <c r="X739" s="418">
        <f t="shared" si="365"/>
        <v>-29.112827349380513</v>
      </c>
      <c r="Y739" s="418">
        <f t="shared" si="365"/>
        <v>-29.112827349380513</v>
      </c>
      <c r="Z739" s="418">
        <f t="shared" si="365"/>
        <v>-29.112827349380513</v>
      </c>
      <c r="AA739" s="418">
        <f t="shared" si="365"/>
        <v>-29.112827349380513</v>
      </c>
      <c r="AB739" s="418">
        <f t="shared" si="365"/>
        <v>-29.112827349380513</v>
      </c>
      <c r="AC739" s="418">
        <f t="shared" si="365"/>
        <v>-29.112827349380513</v>
      </c>
      <c r="AD739" s="418">
        <f t="shared" si="365"/>
        <v>-29.112827349380513</v>
      </c>
      <c r="AE739" s="418">
        <f t="shared" si="365"/>
        <v>-29.112827349380513</v>
      </c>
      <c r="AF739" s="418">
        <f t="shared" si="365"/>
        <v>-29.112827349380513</v>
      </c>
      <c r="AG739" s="418">
        <f t="shared" si="365"/>
        <v>-29.112827349380513</v>
      </c>
      <c r="AH739" s="418">
        <f t="shared" si="365"/>
        <v>-29.112827349380513</v>
      </c>
      <c r="AI739" s="146"/>
    </row>
    <row r="740" spans="2:35">
      <c r="D740" s="27" t="s">
        <v>107</v>
      </c>
      <c r="E740" s="27"/>
      <c r="F740" s="27"/>
      <c r="G740" s="27" t="s">
        <v>210</v>
      </c>
      <c r="H740" s="418">
        <f t="shared" si="362"/>
        <v>40.197461790709497</v>
      </c>
      <c r="I740" s="449">
        <f>NPV('Central Inputs'!$C$47,L740:Q740)</f>
        <v>204.0709279714435</v>
      </c>
      <c r="J740" s="449">
        <f>NPV('Central Inputs'!$C$47,L740:AE740)</f>
        <v>1037.1089219471735</v>
      </c>
      <c r="K740" s="418">
        <f t="shared" si="366"/>
        <v>40.197461790709497</v>
      </c>
      <c r="L740" s="421">
        <f>SUM(L731:L739)</f>
        <v>3.0077704925833757</v>
      </c>
      <c r="M740" s="421">
        <f>SUM(M731:M739)</f>
        <v>6.2102251759464835</v>
      </c>
      <c r="N740" s="421">
        <f t="shared" ref="N740:P740" si="374">SUM(N731:N739)</f>
        <v>23.288994865373965</v>
      </c>
      <c r="O740" s="421">
        <f t="shared" si="374"/>
        <v>45.165801056002834</v>
      </c>
      <c r="P740" s="421">
        <f t="shared" si="374"/>
        <v>69.742051981298857</v>
      </c>
      <c r="Q740" s="421">
        <f>SUM(Q731:Q739)</f>
        <v>93.769927173051471</v>
      </c>
      <c r="R740" s="421">
        <f t="shared" si="349"/>
        <v>93.769927173051471</v>
      </c>
      <c r="S740" s="421">
        <f t="shared" si="365"/>
        <v>93.769927173051471</v>
      </c>
      <c r="T740" s="421">
        <f t="shared" si="365"/>
        <v>93.769927173051471</v>
      </c>
      <c r="U740" s="421">
        <f t="shared" si="365"/>
        <v>93.769927173051471</v>
      </c>
      <c r="V740" s="421">
        <f t="shared" si="365"/>
        <v>93.769927173051471</v>
      </c>
      <c r="W740" s="421">
        <f t="shared" si="365"/>
        <v>93.769927173051471</v>
      </c>
      <c r="X740" s="421">
        <f t="shared" si="365"/>
        <v>93.769927173051471</v>
      </c>
      <c r="Y740" s="421">
        <f t="shared" si="365"/>
        <v>93.769927173051471</v>
      </c>
      <c r="Z740" s="421">
        <f t="shared" si="365"/>
        <v>93.769927173051471</v>
      </c>
      <c r="AA740" s="421">
        <f t="shared" si="365"/>
        <v>93.769927173051471</v>
      </c>
      <c r="AB740" s="421">
        <f t="shared" si="365"/>
        <v>93.769927173051471</v>
      </c>
      <c r="AC740" s="421">
        <f t="shared" si="365"/>
        <v>93.769927173051471</v>
      </c>
      <c r="AD740" s="421">
        <f t="shared" si="365"/>
        <v>93.769927173051471</v>
      </c>
      <c r="AE740" s="421">
        <f t="shared" si="365"/>
        <v>93.769927173051471</v>
      </c>
      <c r="AF740" s="421">
        <f t="shared" si="365"/>
        <v>93.769927173051471</v>
      </c>
      <c r="AG740" s="421">
        <f t="shared" si="365"/>
        <v>93.769927173051471</v>
      </c>
      <c r="AH740" s="421">
        <f t="shared" si="365"/>
        <v>93.769927173051471</v>
      </c>
      <c r="AI740" s="146"/>
    </row>
    <row r="741" spans="2:35">
      <c r="D741" s="95"/>
      <c r="E741" s="62" t="s">
        <v>118</v>
      </c>
      <c r="F741" s="62"/>
      <c r="G741" s="62" t="s">
        <v>171</v>
      </c>
      <c r="H741" s="418">
        <f t="shared" si="362"/>
        <v>1.3754008902318644</v>
      </c>
      <c r="I741" s="449">
        <f>NPV('Central Inputs'!$C$47,L741:Q741)</f>
        <v>6.9825139075631162</v>
      </c>
      <c r="J741" s="449">
        <f>NPV('Central Inputs'!$C$47,L741:AE741)</f>
        <v>35.485835945075337</v>
      </c>
      <c r="K741" s="418">
        <f t="shared" si="366"/>
        <v>1.3754008902318644</v>
      </c>
      <c r="L741" s="418">
        <f t="shared" ref="L741:Q741" si="375">L740/L38</f>
        <v>0.10291421469970606</v>
      </c>
      <c r="M741" s="423">
        <f t="shared" si="375"/>
        <v>0.21248976564762273</v>
      </c>
      <c r="N741" s="423">
        <f t="shared" si="375"/>
        <v>0.79685887723995275</v>
      </c>
      <c r="O741" s="423">
        <f t="shared" si="375"/>
        <v>1.5453981473730538</v>
      </c>
      <c r="P741" s="423">
        <f t="shared" si="375"/>
        <v>2.3863019232683333</v>
      </c>
      <c r="Q741" s="423">
        <f t="shared" si="375"/>
        <v>3.2084424131625178</v>
      </c>
      <c r="R741" s="423">
        <f t="shared" si="349"/>
        <v>3.2084424131625178</v>
      </c>
      <c r="S741" s="423">
        <f t="shared" si="365"/>
        <v>3.2084424131625178</v>
      </c>
      <c r="T741" s="423">
        <f t="shared" si="365"/>
        <v>3.2084424131625178</v>
      </c>
      <c r="U741" s="423">
        <f t="shared" si="365"/>
        <v>3.2084424131625178</v>
      </c>
      <c r="V741" s="423">
        <f t="shared" si="365"/>
        <v>3.2084424131625178</v>
      </c>
      <c r="W741" s="423">
        <f t="shared" si="365"/>
        <v>3.2084424131625178</v>
      </c>
      <c r="X741" s="423">
        <f t="shared" si="365"/>
        <v>3.2084424131625178</v>
      </c>
      <c r="Y741" s="423">
        <f t="shared" si="365"/>
        <v>3.2084424131625178</v>
      </c>
      <c r="Z741" s="423">
        <f t="shared" si="365"/>
        <v>3.2084424131625178</v>
      </c>
      <c r="AA741" s="423">
        <f t="shared" si="365"/>
        <v>3.2084424131625178</v>
      </c>
      <c r="AB741" s="423">
        <f t="shared" si="365"/>
        <v>3.2084424131625178</v>
      </c>
      <c r="AC741" s="423">
        <f t="shared" si="365"/>
        <v>3.2084424131625178</v>
      </c>
      <c r="AD741" s="423">
        <f t="shared" si="365"/>
        <v>3.2084424131625178</v>
      </c>
      <c r="AE741" s="423">
        <f t="shared" si="365"/>
        <v>3.2084424131625178</v>
      </c>
      <c r="AF741" s="423">
        <f t="shared" si="365"/>
        <v>3.2084424131625178</v>
      </c>
      <c r="AG741" s="423">
        <f t="shared" si="365"/>
        <v>3.2084424131625178</v>
      </c>
      <c r="AH741" s="423">
        <f t="shared" si="365"/>
        <v>3.2084424131625178</v>
      </c>
      <c r="AI741" s="146"/>
    </row>
    <row r="742" spans="2:35">
      <c r="H742" s="787"/>
      <c r="I742" s="788"/>
      <c r="J742" s="787"/>
      <c r="K742" s="787"/>
      <c r="L742" s="808"/>
      <c r="AI742" s="107"/>
    </row>
    <row r="743" spans="2:35">
      <c r="AI743" s="107"/>
    </row>
    <row r="744" spans="2:35">
      <c r="B744" s="14" t="s">
        <v>362</v>
      </c>
      <c r="C744" s="15"/>
      <c r="D744" s="17"/>
      <c r="E744" s="15"/>
      <c r="F744" s="16"/>
      <c r="G744" s="16"/>
      <c r="H744" s="16"/>
      <c r="I744" s="218"/>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07"/>
    </row>
    <row r="745" spans="2:35" hidden="1">
      <c r="AI745" s="107"/>
    </row>
    <row r="746" spans="2:35" hidden="1">
      <c r="AI746" s="107"/>
    </row>
  </sheetData>
  <conditionalFormatting sqref="L39:Q39">
    <cfRule type="cellIs" dxfId="1" priority="2" operator="equal">
      <formula>"FAIL"</formula>
    </cfRule>
  </conditionalFormatting>
  <conditionalFormatting sqref="L43:Q43">
    <cfRule type="cellIs" dxfId="0" priority="1" operator="equal">
      <formula>"FAIL"</formula>
    </cfRule>
  </conditionalFormatting>
  <pageMargins left="0.7" right="0.7" top="0.75" bottom="0.75" header="0.3" footer="0.3"/>
  <pageSetup orientation="portrait" r:id="rId1"/>
  <cellWatches>
    <cellWatch r="Q363"/>
    <cellWatch r="Q364"/>
    <cellWatch r="Q365"/>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7D5E-E1B0-4060-BC8C-1B9B9E7F48E1}">
  <sheetPr codeName="Sheet8">
    <tabColor theme="3"/>
  </sheetPr>
  <dimension ref="A1"/>
  <sheetViews>
    <sheetView showGridLines="0" workbookViewId="0"/>
  </sheetViews>
  <sheetFormatPr defaultRowHeight="14.4"/>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0B64-9D8E-4DED-93EF-AE622CE301A1}">
  <sheetPr codeName="Sheet1">
    <tabColor rgb="FFA9D18E"/>
  </sheetPr>
  <dimension ref="A1:AG76"/>
  <sheetViews>
    <sheetView showGridLines="0" zoomScale="85" zoomScaleNormal="85" workbookViewId="0"/>
  </sheetViews>
  <sheetFormatPr defaultColWidth="0" defaultRowHeight="13.2" zeroHeight="1"/>
  <cols>
    <col min="1" max="1" width="3.33203125" style="10" customWidth="1"/>
    <col min="2" max="2" width="54.6640625" style="10" bestFit="1" customWidth="1"/>
    <col min="3" max="3" width="16.5546875" style="10" customWidth="1"/>
    <col min="4" max="4" width="22" style="10" customWidth="1"/>
    <col min="5" max="5" width="13" style="10" bestFit="1" customWidth="1"/>
    <col min="6" max="8" width="10" style="10" bestFit="1" customWidth="1"/>
    <col min="9" max="9" width="44" style="10" customWidth="1"/>
    <col min="10" max="10" width="10" style="10" hidden="1" customWidth="1"/>
    <col min="11" max="17" width="8.6640625" style="10" hidden="1" customWidth="1"/>
    <col min="18" max="29" width="0" style="10" hidden="1" customWidth="1"/>
    <col min="30" max="16384" width="8.6640625" style="10" hidden="1"/>
  </cols>
  <sheetData>
    <row r="1" spans="1:33" ht="17.399999999999999">
      <c r="A1" s="43" t="s">
        <v>37</v>
      </c>
      <c r="I1" s="21"/>
      <c r="J1" s="21"/>
      <c r="K1" s="21"/>
    </row>
    <row r="2" spans="1:33">
      <c r="B2" s="116"/>
      <c r="I2" s="21"/>
      <c r="J2" s="21"/>
      <c r="K2" s="21"/>
    </row>
    <row r="3" spans="1:33">
      <c r="I3" s="21"/>
      <c r="J3" s="21"/>
      <c r="K3" s="21"/>
      <c r="X3" s="18"/>
      <c r="Y3" s="18"/>
      <c r="Z3" s="18"/>
      <c r="AA3" s="18"/>
      <c r="AB3" s="18"/>
      <c r="AC3" s="18"/>
      <c r="AD3" s="18"/>
      <c r="AE3" s="18"/>
      <c r="AF3" s="18"/>
      <c r="AG3" s="18"/>
    </row>
    <row r="4" spans="1:33">
      <c r="B4" s="28" t="s">
        <v>363</v>
      </c>
      <c r="C4" s="25"/>
      <c r="D4" s="25"/>
      <c r="E4" s="25"/>
      <c r="F4" s="25"/>
      <c r="G4" s="25"/>
      <c r="H4" s="25"/>
      <c r="I4" s="21"/>
      <c r="J4" s="21"/>
      <c r="K4" s="21"/>
      <c r="L4" s="25"/>
      <c r="M4" s="25"/>
      <c r="N4" s="25"/>
      <c r="O4" s="25"/>
      <c r="P4" s="25"/>
      <c r="Q4" s="18"/>
      <c r="R4" s="18"/>
      <c r="S4" s="18"/>
      <c r="T4" s="18"/>
      <c r="U4" s="18"/>
      <c r="V4" s="18"/>
      <c r="W4" s="18"/>
      <c r="X4" s="18"/>
      <c r="Y4" s="18"/>
      <c r="Z4" s="18"/>
      <c r="AA4" s="18"/>
      <c r="AB4" s="18"/>
      <c r="AC4" s="18"/>
    </row>
    <row r="5" spans="1:33">
      <c r="D5" s="103"/>
      <c r="I5" s="21"/>
      <c r="J5" s="21"/>
      <c r="K5" s="21"/>
      <c r="Q5" s="18"/>
      <c r="R5" s="18"/>
      <c r="S5" s="18"/>
      <c r="T5" s="18"/>
      <c r="U5" s="18"/>
      <c r="V5" s="18"/>
      <c r="W5" s="18"/>
      <c r="X5" s="18"/>
      <c r="Y5" s="18"/>
      <c r="Z5" s="18"/>
      <c r="AA5" s="18"/>
      <c r="AB5" s="18"/>
      <c r="AC5" s="18"/>
    </row>
    <row r="6" spans="1:33">
      <c r="B6" s="822" t="s">
        <v>364</v>
      </c>
      <c r="C6" s="822"/>
      <c r="D6" s="103"/>
      <c r="I6" s="21"/>
      <c r="J6" s="21"/>
      <c r="K6" s="21"/>
      <c r="Q6" s="18"/>
      <c r="R6" s="18"/>
      <c r="S6" s="18"/>
      <c r="T6" s="18"/>
      <c r="U6" s="18"/>
      <c r="V6" s="18"/>
      <c r="W6" s="18"/>
      <c r="X6" s="18"/>
      <c r="Y6" s="18"/>
      <c r="Z6" s="18"/>
      <c r="AA6" s="18"/>
      <c r="AB6" s="18"/>
      <c r="AC6" s="18"/>
    </row>
    <row r="7" spans="1:33">
      <c r="B7" s="787" t="s">
        <v>106</v>
      </c>
      <c r="C7" s="823">
        <v>0.54039999999999999</v>
      </c>
      <c r="D7" s="103" t="s">
        <v>365</v>
      </c>
      <c r="I7" s="21"/>
      <c r="J7" s="21"/>
      <c r="K7" s="21"/>
      <c r="Q7" s="18"/>
      <c r="R7" s="18"/>
      <c r="S7" s="18"/>
      <c r="T7" s="18"/>
      <c r="U7" s="18"/>
      <c r="V7" s="18"/>
      <c r="W7" s="18"/>
      <c r="X7" s="18"/>
      <c r="Y7" s="18"/>
      <c r="Z7" s="18"/>
      <c r="AA7" s="18"/>
      <c r="AB7" s="18"/>
      <c r="AC7" s="18"/>
    </row>
    <row r="8" spans="1:33">
      <c r="B8" s="27"/>
      <c r="C8" s="30"/>
      <c r="D8" s="127"/>
      <c r="E8" s="21"/>
      <c r="F8" s="21"/>
      <c r="G8" s="21"/>
      <c r="H8" s="21"/>
      <c r="I8" s="21"/>
      <c r="J8" s="21"/>
      <c r="K8" s="21"/>
      <c r="L8" s="21"/>
      <c r="M8" s="21"/>
      <c r="N8" s="21"/>
      <c r="O8" s="21"/>
      <c r="P8" s="21"/>
      <c r="Q8" s="64"/>
      <c r="R8" s="18"/>
      <c r="S8" s="18"/>
      <c r="T8" s="18"/>
      <c r="U8" s="18"/>
      <c r="V8" s="18"/>
      <c r="W8" s="18"/>
      <c r="X8" s="18"/>
      <c r="Y8" s="18"/>
      <c r="Z8" s="18"/>
      <c r="AA8" s="18"/>
      <c r="AB8" s="18"/>
      <c r="AC8" s="18"/>
    </row>
    <row r="9" spans="1:33">
      <c r="B9" s="822" t="s">
        <v>366</v>
      </c>
      <c r="C9" s="822"/>
      <c r="D9" s="127"/>
      <c r="E9" s="21"/>
      <c r="F9" s="21"/>
      <c r="G9" s="21"/>
      <c r="H9" s="21"/>
      <c r="I9" s="21"/>
      <c r="J9" s="21"/>
      <c r="K9" s="21"/>
      <c r="L9" s="21"/>
      <c r="M9" s="21"/>
      <c r="N9" s="21"/>
      <c r="O9" s="21"/>
      <c r="P9" s="21"/>
      <c r="Q9" s="64"/>
      <c r="R9" s="18"/>
      <c r="S9" s="18"/>
      <c r="T9" s="18"/>
      <c r="U9" s="18"/>
      <c r="V9" s="18"/>
      <c r="W9" s="18"/>
      <c r="X9" s="18"/>
      <c r="Y9" s="18"/>
      <c r="Z9" s="18"/>
      <c r="AA9" s="18"/>
      <c r="AB9" s="18"/>
      <c r="AC9" s="18"/>
    </row>
    <row r="10" spans="1:33">
      <c r="B10" s="787" t="s">
        <v>367</v>
      </c>
      <c r="C10" s="824">
        <f>'Total CBs'!C10</f>
        <v>69.197457028201029</v>
      </c>
      <c r="D10" s="697" t="s">
        <v>368</v>
      </c>
      <c r="E10" s="21"/>
      <c r="F10" s="21"/>
      <c r="G10" s="21"/>
      <c r="H10" s="21"/>
      <c r="I10" s="21"/>
      <c r="J10" s="21"/>
      <c r="K10" s="21"/>
      <c r="L10" s="21"/>
      <c r="M10" s="21"/>
      <c r="N10" s="21"/>
      <c r="O10" s="21"/>
      <c r="P10" s="21"/>
      <c r="Q10" s="64"/>
      <c r="R10" s="18"/>
      <c r="S10" s="18"/>
      <c r="T10" s="18"/>
      <c r="U10" s="18"/>
      <c r="V10" s="18"/>
      <c r="W10" s="18"/>
      <c r="X10" s="18"/>
      <c r="Y10" s="18"/>
      <c r="Z10" s="18"/>
      <c r="AA10" s="18"/>
      <c r="AB10" s="18"/>
      <c r="AC10" s="18"/>
    </row>
    <row r="11" spans="1:33">
      <c r="B11" s="10" t="s">
        <v>369</v>
      </c>
      <c r="C11" s="376">
        <f>'Total CBs'!X28</f>
        <v>59.654274496232148</v>
      </c>
      <c r="D11" s="697" t="s">
        <v>368</v>
      </c>
      <c r="E11" s="21"/>
      <c r="F11" s="21"/>
      <c r="G11" s="21"/>
      <c r="H11" s="21"/>
      <c r="I11" s="21"/>
      <c r="J11" s="21"/>
      <c r="K11" s="21"/>
      <c r="L11" s="21"/>
      <c r="M11" s="21"/>
      <c r="N11" s="21"/>
      <c r="O11" s="21"/>
      <c r="P11" s="21"/>
      <c r="Q11" s="64"/>
      <c r="R11" s="18"/>
      <c r="S11" s="18"/>
      <c r="T11" s="18"/>
      <c r="U11" s="18"/>
      <c r="V11" s="18"/>
      <c r="W11" s="18"/>
      <c r="X11" s="18"/>
      <c r="Y11" s="18"/>
      <c r="Z11" s="18"/>
      <c r="AA11" s="18"/>
      <c r="AB11" s="18"/>
      <c r="AC11" s="18"/>
    </row>
    <row r="12" spans="1:33">
      <c r="B12" s="10" t="s">
        <v>370</v>
      </c>
      <c r="C12" s="376">
        <f>'Total CBs'!X34</f>
        <v>87.439504760929992</v>
      </c>
      <c r="D12" s="697" t="s">
        <v>368</v>
      </c>
      <c r="E12" s="21"/>
      <c r="F12" s="21"/>
      <c r="G12" s="21"/>
      <c r="H12" s="21"/>
      <c r="I12" s="21"/>
      <c r="J12" s="21"/>
      <c r="K12" s="21"/>
      <c r="L12" s="21"/>
      <c r="M12" s="21"/>
      <c r="N12" s="21"/>
      <c r="O12" s="21"/>
      <c r="P12" s="21"/>
      <c r="Q12" s="64"/>
      <c r="R12" s="18"/>
      <c r="S12" s="18"/>
      <c r="T12" s="18"/>
      <c r="U12" s="18"/>
      <c r="V12" s="18"/>
      <c r="W12" s="18"/>
      <c r="X12" s="18"/>
      <c r="Y12" s="18"/>
      <c r="Z12" s="18"/>
      <c r="AA12" s="18"/>
      <c r="AB12" s="18"/>
      <c r="AC12" s="18"/>
    </row>
    <row r="13" spans="1:33">
      <c r="B13" s="10" t="s">
        <v>371</v>
      </c>
      <c r="C13" s="376">
        <f>'Total CBs'!X40</f>
        <v>72.63448774856073</v>
      </c>
      <c r="D13" s="697" t="s">
        <v>368</v>
      </c>
      <c r="E13" s="21"/>
      <c r="F13" s="21"/>
      <c r="G13" s="21"/>
      <c r="H13" s="21"/>
      <c r="I13" s="21"/>
      <c r="J13" s="21"/>
      <c r="K13" s="21"/>
      <c r="L13" s="21"/>
      <c r="M13" s="21"/>
      <c r="N13" s="21"/>
      <c r="O13" s="21"/>
      <c r="P13" s="21"/>
      <c r="Q13" s="64"/>
      <c r="R13" s="18"/>
      <c r="S13" s="18"/>
      <c r="T13" s="18"/>
      <c r="U13" s="18"/>
      <c r="V13" s="18"/>
      <c r="W13" s="18"/>
      <c r="X13" s="18"/>
      <c r="Y13" s="18"/>
      <c r="Z13" s="18"/>
      <c r="AA13" s="18"/>
      <c r="AB13" s="18"/>
      <c r="AC13" s="18"/>
    </row>
    <row r="14" spans="1:33">
      <c r="B14" s="62" t="s">
        <v>372</v>
      </c>
      <c r="C14" s="377">
        <v>46</v>
      </c>
      <c r="D14" s="697"/>
      <c r="E14" s="21"/>
      <c r="F14" s="21"/>
      <c r="G14" s="21"/>
      <c r="H14" s="21"/>
      <c r="I14" s="21"/>
      <c r="J14" s="21"/>
      <c r="K14" s="21"/>
      <c r="L14" s="21"/>
      <c r="M14" s="21"/>
      <c r="N14" s="21"/>
      <c r="O14" s="21"/>
      <c r="P14" s="21"/>
      <c r="Q14" s="64"/>
      <c r="R14" s="18"/>
      <c r="S14" s="18"/>
      <c r="T14" s="18"/>
      <c r="U14" s="18"/>
      <c r="V14" s="18"/>
      <c r="W14" s="18"/>
      <c r="X14" s="18"/>
      <c r="Y14" s="18"/>
      <c r="Z14" s="18"/>
      <c r="AA14" s="18"/>
      <c r="AB14" s="18"/>
      <c r="AC14" s="18"/>
    </row>
    <row r="15" spans="1:33">
      <c r="B15" s="27"/>
      <c r="C15" s="378"/>
      <c r="D15" s="127"/>
      <c r="E15" s="21"/>
      <c r="F15" s="21"/>
      <c r="G15" s="21"/>
      <c r="H15" s="21"/>
      <c r="I15" s="21"/>
      <c r="J15" s="21"/>
      <c r="K15" s="21"/>
      <c r="L15" s="21"/>
      <c r="M15" s="21"/>
      <c r="N15" s="21"/>
      <c r="O15" s="21"/>
      <c r="P15" s="21"/>
      <c r="Q15" s="64"/>
      <c r="R15" s="18"/>
      <c r="S15" s="18"/>
      <c r="T15" s="18"/>
      <c r="U15" s="18"/>
      <c r="V15" s="18"/>
      <c r="W15" s="18"/>
      <c r="X15" s="18"/>
      <c r="Y15" s="18"/>
      <c r="Z15" s="18"/>
      <c r="AA15" s="18"/>
      <c r="AB15" s="18"/>
      <c r="AC15" s="18"/>
    </row>
    <row r="16" spans="1:33">
      <c r="B16" s="328" t="s">
        <v>373</v>
      </c>
      <c r="C16" s="379"/>
      <c r="D16" s="127"/>
      <c r="E16" s="21"/>
      <c r="F16" s="21"/>
      <c r="G16" s="21"/>
      <c r="H16" s="21"/>
      <c r="I16" s="21"/>
      <c r="J16" s="21"/>
      <c r="K16" s="21"/>
      <c r="L16" s="21"/>
      <c r="M16" s="21"/>
      <c r="N16" s="21"/>
      <c r="O16" s="21"/>
      <c r="P16" s="21"/>
      <c r="Q16" s="64"/>
      <c r="R16" s="18"/>
      <c r="S16" s="18"/>
      <c r="T16" s="18"/>
      <c r="U16" s="18"/>
      <c r="V16" s="18"/>
      <c r="W16" s="18"/>
      <c r="X16" s="18"/>
      <c r="Y16" s="18"/>
      <c r="Z16" s="18"/>
      <c r="AA16" s="18"/>
      <c r="AB16" s="18"/>
      <c r="AC16" s="18"/>
    </row>
    <row r="17" spans="2:29">
      <c r="B17" s="787" t="s">
        <v>250</v>
      </c>
      <c r="C17" s="825">
        <v>0.75</v>
      </c>
      <c r="D17" s="127" t="s">
        <v>374</v>
      </c>
      <c r="E17" s="21"/>
      <c r="F17" s="21"/>
      <c r="G17" s="21"/>
      <c r="H17" s="21"/>
      <c r="I17" s="21"/>
      <c r="J17" s="21"/>
      <c r="K17" s="21"/>
      <c r="L17" s="21"/>
      <c r="M17" s="21"/>
      <c r="N17" s="21"/>
      <c r="O17" s="21"/>
      <c r="P17" s="21"/>
      <c r="Q17" s="64"/>
      <c r="R17" s="18"/>
      <c r="S17" s="18"/>
      <c r="T17" s="18"/>
      <c r="U17" s="18"/>
      <c r="V17" s="18"/>
      <c r="W17" s="18"/>
      <c r="X17" s="18"/>
      <c r="Y17" s="18"/>
      <c r="Z17" s="18"/>
      <c r="AA17" s="18"/>
      <c r="AB17" s="18"/>
      <c r="AC17" s="18"/>
    </row>
    <row r="18" spans="2:29">
      <c r="B18" s="10" t="s">
        <v>251</v>
      </c>
      <c r="C18" s="380">
        <v>0.2</v>
      </c>
      <c r="D18" s="127" t="s">
        <v>374</v>
      </c>
      <c r="E18" s="21"/>
      <c r="F18" s="21"/>
      <c r="G18" s="21"/>
      <c r="H18" s="21"/>
      <c r="I18" s="21"/>
      <c r="J18" s="21"/>
      <c r="K18" s="21"/>
      <c r="L18" s="21"/>
      <c r="M18" s="21"/>
      <c r="N18" s="21"/>
      <c r="O18" s="21"/>
      <c r="P18" s="21"/>
      <c r="Q18" s="64"/>
      <c r="R18" s="18"/>
      <c r="S18" s="18"/>
      <c r="T18" s="18"/>
      <c r="U18" s="18"/>
      <c r="V18" s="18"/>
      <c r="W18" s="18"/>
      <c r="X18" s="18"/>
      <c r="Y18" s="18"/>
      <c r="Z18" s="18"/>
      <c r="AA18" s="18"/>
      <c r="AB18" s="18"/>
      <c r="AC18" s="18"/>
    </row>
    <row r="19" spans="2:29">
      <c r="B19" s="62" t="s">
        <v>375</v>
      </c>
      <c r="C19" s="381">
        <v>0</v>
      </c>
      <c r="D19" s="127" t="s">
        <v>374</v>
      </c>
      <c r="E19" s="21"/>
      <c r="F19" s="21"/>
      <c r="G19" s="21"/>
      <c r="H19" s="21"/>
      <c r="I19" s="21"/>
      <c r="J19" s="21"/>
      <c r="K19" s="21"/>
      <c r="L19" s="21"/>
      <c r="M19" s="21"/>
      <c r="N19" s="21"/>
      <c r="O19" s="21"/>
      <c r="P19" s="21"/>
      <c r="Q19" s="64"/>
      <c r="R19" s="18"/>
      <c r="S19" s="18"/>
      <c r="T19" s="18"/>
      <c r="U19" s="18"/>
      <c r="V19" s="18"/>
      <c r="W19" s="18"/>
      <c r="X19" s="18"/>
      <c r="Y19" s="18"/>
      <c r="Z19" s="18"/>
      <c r="AA19" s="18"/>
      <c r="AB19" s="18"/>
      <c r="AC19" s="18"/>
    </row>
    <row r="20" spans="2:29">
      <c r="B20" s="786"/>
      <c r="C20" s="826"/>
      <c r="D20" s="127"/>
      <c r="E20" s="21"/>
      <c r="F20" s="21"/>
      <c r="G20" s="21"/>
      <c r="H20" s="21"/>
      <c r="I20" s="21"/>
      <c r="J20" s="21"/>
      <c r="K20" s="21"/>
      <c r="L20" s="21"/>
      <c r="M20" s="21"/>
      <c r="N20" s="21"/>
      <c r="O20" s="21"/>
      <c r="P20" s="21"/>
      <c r="Q20" s="64"/>
      <c r="R20" s="18"/>
      <c r="S20" s="18"/>
      <c r="T20" s="18"/>
      <c r="U20" s="18"/>
      <c r="V20" s="18"/>
      <c r="W20" s="18"/>
      <c r="X20" s="18"/>
      <c r="Y20" s="18"/>
      <c r="Z20" s="18"/>
      <c r="AA20" s="18"/>
      <c r="AB20" s="18"/>
      <c r="AC20" s="18"/>
    </row>
    <row r="21" spans="2:29">
      <c r="B21" s="328" t="s">
        <v>376</v>
      </c>
      <c r="C21" s="328"/>
      <c r="D21" s="127"/>
      <c r="E21" s="21"/>
      <c r="F21" s="21"/>
      <c r="G21" s="21"/>
      <c r="H21" s="21"/>
      <c r="I21" s="21"/>
      <c r="J21" s="21"/>
      <c r="K21" s="21"/>
      <c r="L21" s="21"/>
      <c r="M21" s="21"/>
      <c r="N21" s="21"/>
      <c r="O21" s="21"/>
      <c r="P21" s="21"/>
      <c r="Q21" s="64"/>
      <c r="R21" s="18"/>
      <c r="S21" s="18"/>
      <c r="T21" s="18"/>
      <c r="U21" s="18"/>
      <c r="V21" s="18"/>
      <c r="W21" s="18"/>
      <c r="X21" s="18"/>
      <c r="Y21" s="18"/>
      <c r="Z21" s="18"/>
      <c r="AA21" s="18"/>
      <c r="AB21" s="18"/>
      <c r="AC21" s="18"/>
    </row>
    <row r="22" spans="2:29">
      <c r="B22" s="787" t="s">
        <v>377</v>
      </c>
      <c r="C22" s="827">
        <v>1155.6346371015875</v>
      </c>
      <c r="D22" s="127" t="s">
        <v>378</v>
      </c>
      <c r="E22" s="21"/>
      <c r="F22" s="21"/>
      <c r="G22" s="21"/>
      <c r="H22" s="21"/>
      <c r="I22" s="21"/>
      <c r="J22" s="21"/>
      <c r="K22" s="21"/>
      <c r="L22" s="21"/>
      <c r="M22" s="21"/>
      <c r="N22" s="21"/>
      <c r="O22" s="21"/>
      <c r="P22" s="21"/>
      <c r="Q22" s="64"/>
      <c r="R22" s="18"/>
      <c r="S22" s="18"/>
      <c r="T22" s="18"/>
      <c r="U22" s="18"/>
      <c r="V22" s="18"/>
      <c r="W22" s="18"/>
      <c r="X22" s="18"/>
      <c r="Y22" s="18"/>
      <c r="Z22" s="18"/>
      <c r="AA22" s="18"/>
      <c r="AB22" s="18"/>
      <c r="AC22" s="18"/>
    </row>
    <row r="23" spans="2:29">
      <c r="B23" s="10" t="s">
        <v>379</v>
      </c>
      <c r="C23" s="20">
        <v>-38.539623815120741</v>
      </c>
      <c r="D23" s="127" t="s">
        <v>378</v>
      </c>
      <c r="E23" s="21"/>
      <c r="F23" s="21"/>
      <c r="G23" s="21"/>
      <c r="H23" s="21"/>
      <c r="I23" s="21"/>
      <c r="J23" s="21"/>
      <c r="K23" s="21"/>
      <c r="L23" s="21"/>
      <c r="M23" s="21"/>
      <c r="N23" s="21"/>
      <c r="O23" s="21"/>
      <c r="P23" s="21"/>
      <c r="Q23" s="64"/>
      <c r="R23" s="18"/>
      <c r="S23" s="18"/>
      <c r="T23" s="18"/>
      <c r="U23" s="18"/>
      <c r="V23" s="18"/>
      <c r="W23" s="18"/>
      <c r="X23" s="18"/>
      <c r="Y23" s="18"/>
      <c r="Z23" s="18"/>
      <c r="AA23" s="18"/>
      <c r="AB23" s="18"/>
      <c r="AC23" s="18"/>
    </row>
    <row r="24" spans="2:29">
      <c r="B24" s="10" t="s">
        <v>380</v>
      </c>
      <c r="C24" s="20">
        <v>-51.890985871990502</v>
      </c>
      <c r="D24" s="127" t="s">
        <v>378</v>
      </c>
      <c r="E24" s="21"/>
      <c r="F24" s="21"/>
      <c r="G24" s="21"/>
      <c r="H24" s="21"/>
      <c r="I24" s="21"/>
      <c r="J24" s="21"/>
      <c r="K24" s="21"/>
      <c r="L24" s="21"/>
      <c r="M24" s="21"/>
      <c r="N24" s="21"/>
      <c r="O24" s="21"/>
      <c r="P24" s="21"/>
      <c r="Q24" s="64"/>
      <c r="R24" s="18"/>
      <c r="S24" s="18"/>
      <c r="T24" s="18"/>
      <c r="U24" s="18"/>
      <c r="V24" s="18"/>
      <c r="W24" s="18"/>
      <c r="X24" s="18"/>
      <c r="Y24" s="18"/>
      <c r="Z24" s="18"/>
      <c r="AA24" s="18"/>
      <c r="AB24" s="18"/>
      <c r="AC24" s="18"/>
    </row>
    <row r="25" spans="2:29">
      <c r="B25" s="10" t="s">
        <v>381</v>
      </c>
      <c r="C25" s="20">
        <v>-102.85341160181339</v>
      </c>
      <c r="D25" s="127" t="s">
        <v>378</v>
      </c>
      <c r="E25" s="21"/>
      <c r="F25" s="21"/>
      <c r="G25" s="21"/>
      <c r="H25" s="21"/>
      <c r="I25" s="21"/>
      <c r="J25" s="21"/>
      <c r="K25" s="21"/>
      <c r="L25" s="21"/>
      <c r="M25" s="21"/>
      <c r="N25" s="21"/>
      <c r="O25" s="21"/>
      <c r="P25" s="21"/>
      <c r="Q25" s="64"/>
      <c r="R25" s="18"/>
      <c r="S25" s="18"/>
      <c r="T25" s="18"/>
      <c r="U25" s="18"/>
      <c r="V25" s="18"/>
      <c r="W25" s="18"/>
      <c r="X25" s="18"/>
      <c r="Y25" s="18"/>
      <c r="Z25" s="18"/>
      <c r="AA25" s="18"/>
      <c r="AB25" s="18"/>
      <c r="AC25" s="18"/>
    </row>
    <row r="26" spans="2:29">
      <c r="B26" s="10" t="s">
        <v>382</v>
      </c>
      <c r="C26" s="20">
        <v>1099.772425608212</v>
      </c>
      <c r="D26" s="127" t="s">
        <v>378</v>
      </c>
      <c r="E26" s="21"/>
      <c r="F26" s="21"/>
      <c r="G26" s="21"/>
      <c r="H26" s="21"/>
      <c r="I26" s="21"/>
      <c r="J26" s="21"/>
      <c r="K26" s="21"/>
      <c r="L26" s="21"/>
      <c r="M26" s="21"/>
      <c r="N26" s="21"/>
      <c r="O26" s="21"/>
      <c r="P26" s="21"/>
      <c r="Q26" s="64"/>
      <c r="R26" s="18"/>
      <c r="S26" s="18"/>
      <c r="T26" s="18"/>
      <c r="U26" s="18"/>
      <c r="V26" s="18"/>
      <c r="W26" s="18"/>
      <c r="X26" s="18"/>
      <c r="Y26" s="18"/>
      <c r="Z26" s="18"/>
      <c r="AA26" s="18"/>
      <c r="AB26" s="18"/>
      <c r="AC26" s="18"/>
    </row>
    <row r="27" spans="2:29">
      <c r="B27" s="10" t="s">
        <v>274</v>
      </c>
      <c r="C27" s="20">
        <f>C26-C22</f>
        <v>-55.862211493375526</v>
      </c>
      <c r="D27" s="127" t="s">
        <v>378</v>
      </c>
      <c r="E27" s="21"/>
      <c r="F27" s="21"/>
      <c r="G27" s="21"/>
      <c r="H27" s="21"/>
      <c r="I27" s="21"/>
      <c r="J27" s="21"/>
      <c r="K27" s="21"/>
      <c r="L27" s="21"/>
      <c r="M27" s="21"/>
      <c r="N27" s="21"/>
      <c r="O27" s="21"/>
      <c r="P27" s="21"/>
      <c r="Q27" s="64"/>
      <c r="R27" s="18"/>
      <c r="S27" s="18"/>
      <c r="T27" s="18"/>
      <c r="U27" s="18"/>
      <c r="V27" s="18"/>
      <c r="W27" s="18"/>
      <c r="X27" s="18"/>
      <c r="Y27" s="18"/>
      <c r="Z27" s="18"/>
      <c r="AA27" s="18"/>
      <c r="AB27" s="18"/>
      <c r="AC27" s="18"/>
    </row>
    <row r="28" spans="2:29">
      <c r="B28" s="10" t="s">
        <v>275</v>
      </c>
      <c r="C28" s="380">
        <v>0.9</v>
      </c>
      <c r="D28" s="127" t="s">
        <v>378</v>
      </c>
      <c r="E28" s="21"/>
      <c r="F28" s="21"/>
      <c r="G28" s="21"/>
      <c r="H28" s="21"/>
      <c r="I28" s="21"/>
      <c r="J28" s="21"/>
      <c r="K28" s="21"/>
      <c r="L28" s="21"/>
      <c r="M28" s="21"/>
      <c r="N28" s="21"/>
      <c r="O28" s="21"/>
      <c r="P28" s="21"/>
      <c r="Q28" s="64"/>
      <c r="R28" s="18"/>
      <c r="S28" s="18"/>
      <c r="T28" s="18"/>
      <c r="U28" s="18"/>
      <c r="V28" s="18"/>
      <c r="W28" s="18"/>
      <c r="X28" s="18"/>
      <c r="Y28" s="18"/>
      <c r="Z28" s="18"/>
      <c r="AA28" s="18"/>
      <c r="AB28" s="18"/>
      <c r="AC28" s="18"/>
    </row>
    <row r="29" spans="2:29">
      <c r="B29" s="10" t="s">
        <v>383</v>
      </c>
      <c r="C29" s="20">
        <v>-32.671687783202081</v>
      </c>
      <c r="D29" s="127" t="s">
        <v>378</v>
      </c>
      <c r="E29" s="21"/>
      <c r="F29" s="21"/>
      <c r="G29" s="21"/>
      <c r="H29" s="21"/>
      <c r="I29" s="21"/>
      <c r="J29" s="21"/>
      <c r="K29" s="21"/>
      <c r="L29" s="21"/>
      <c r="M29" s="21"/>
      <c r="N29" s="21"/>
      <c r="O29" s="21"/>
      <c r="P29" s="21"/>
      <c r="Q29" s="64"/>
      <c r="R29" s="18"/>
      <c r="S29" s="18"/>
      <c r="T29" s="18"/>
      <c r="U29" s="18"/>
      <c r="V29" s="18"/>
      <c r="W29" s="18"/>
      <c r="X29" s="18"/>
      <c r="Y29" s="18"/>
      <c r="Z29" s="18"/>
      <c r="AA29" s="18"/>
      <c r="AB29" s="18"/>
      <c r="AC29" s="18"/>
    </row>
    <row r="30" spans="2:29">
      <c r="B30" s="10" t="s">
        <v>384</v>
      </c>
      <c r="C30" s="20">
        <v>-32.718532470859202</v>
      </c>
      <c r="D30" s="127" t="s">
        <v>378</v>
      </c>
      <c r="E30" s="21"/>
      <c r="F30" s="21"/>
      <c r="G30" s="21"/>
      <c r="H30" s="21"/>
      <c r="I30" s="21"/>
      <c r="J30" s="21"/>
      <c r="K30" s="21"/>
      <c r="L30" s="21"/>
      <c r="M30" s="21"/>
      <c r="N30" s="21"/>
      <c r="O30" s="21"/>
      <c r="P30" s="21"/>
      <c r="Q30" s="64"/>
      <c r="R30" s="18"/>
      <c r="S30" s="18"/>
      <c r="T30" s="18"/>
      <c r="U30" s="18"/>
      <c r="V30" s="18"/>
      <c r="W30" s="18"/>
      <c r="X30" s="18"/>
      <c r="Y30" s="18"/>
      <c r="Z30" s="18"/>
      <c r="AA30" s="18"/>
      <c r="AB30" s="18"/>
      <c r="AC30" s="18"/>
    </row>
    <row r="31" spans="2:29">
      <c r="B31" s="62" t="s">
        <v>385</v>
      </c>
      <c r="C31" s="382">
        <v>-53.414019724529417</v>
      </c>
      <c r="D31" s="127" t="s">
        <v>378</v>
      </c>
      <c r="E31" s="21"/>
      <c r="F31" s="21"/>
      <c r="G31" s="21"/>
      <c r="H31" s="21"/>
      <c r="I31" s="21"/>
      <c r="J31" s="21"/>
      <c r="K31" s="21"/>
      <c r="L31" s="21"/>
      <c r="M31" s="21"/>
      <c r="N31" s="21"/>
      <c r="O31" s="21"/>
      <c r="P31" s="21"/>
      <c r="Q31" s="64"/>
      <c r="R31" s="18"/>
      <c r="S31" s="18"/>
      <c r="T31" s="18"/>
      <c r="U31" s="18"/>
      <c r="V31" s="18"/>
      <c r="W31" s="18"/>
      <c r="X31" s="18"/>
      <c r="Y31" s="18"/>
      <c r="Z31" s="18"/>
      <c r="AA31" s="18"/>
      <c r="AB31" s="18"/>
      <c r="AC31" s="18"/>
    </row>
    <row r="32" spans="2:29">
      <c r="B32" s="787" t="s">
        <v>386</v>
      </c>
      <c r="C32" s="794">
        <v>0.61190046057327496</v>
      </c>
      <c r="D32" s="127" t="s">
        <v>378</v>
      </c>
      <c r="E32" s="21"/>
      <c r="F32" s="21"/>
      <c r="G32" s="21"/>
      <c r="H32" s="21"/>
      <c r="I32" s="21"/>
      <c r="J32" s="21"/>
      <c r="K32" s="21"/>
      <c r="L32" s="21"/>
      <c r="M32" s="21"/>
      <c r="N32" s="21"/>
      <c r="O32" s="21"/>
      <c r="P32" s="21"/>
      <c r="Q32" s="64"/>
      <c r="R32" s="18"/>
      <c r="S32" s="18"/>
      <c r="T32" s="18"/>
      <c r="U32" s="18"/>
      <c r="V32" s="18"/>
      <c r="W32" s="18"/>
      <c r="X32" s="18"/>
      <c r="Y32" s="18"/>
      <c r="Z32" s="18"/>
      <c r="AA32" s="18"/>
      <c r="AB32" s="18"/>
      <c r="AC32" s="18"/>
    </row>
    <row r="33" spans="2:29">
      <c r="B33" s="10" t="s">
        <v>387</v>
      </c>
      <c r="C33" s="383">
        <v>0.43729657157375285</v>
      </c>
      <c r="D33" s="127" t="s">
        <v>378</v>
      </c>
      <c r="E33" s="21"/>
      <c r="F33" s="21"/>
      <c r="G33" s="21"/>
      <c r="H33" s="21"/>
      <c r="I33" s="21"/>
      <c r="J33" s="21"/>
      <c r="K33" s="21"/>
      <c r="L33" s="21"/>
      <c r="M33" s="21"/>
      <c r="N33" s="21"/>
      <c r="O33" s="21"/>
      <c r="P33" s="21"/>
      <c r="Q33" s="64"/>
      <c r="R33" s="18"/>
      <c r="S33" s="18"/>
      <c r="T33" s="18"/>
      <c r="U33" s="18"/>
      <c r="V33" s="18"/>
      <c r="W33" s="18"/>
      <c r="X33" s="18"/>
      <c r="Y33" s="18"/>
      <c r="Z33" s="18"/>
      <c r="AA33" s="18"/>
      <c r="AB33" s="18"/>
      <c r="AC33" s="18"/>
    </row>
    <row r="34" spans="2:29">
      <c r="B34" s="10" t="s">
        <v>388</v>
      </c>
      <c r="C34" s="383">
        <v>0.54267530998901414</v>
      </c>
      <c r="D34" s="127" t="s">
        <v>378</v>
      </c>
      <c r="E34" s="21"/>
      <c r="F34" s="21"/>
      <c r="G34" s="21"/>
      <c r="H34" s="21"/>
      <c r="I34" s="21"/>
      <c r="J34" s="21"/>
      <c r="K34" s="21"/>
      <c r="L34" s="21"/>
      <c r="M34" s="21"/>
      <c r="N34" s="21"/>
      <c r="O34" s="21"/>
      <c r="P34" s="21"/>
      <c r="Q34" s="64"/>
      <c r="R34" s="18"/>
      <c r="S34" s="18"/>
      <c r="T34" s="18"/>
      <c r="U34" s="18"/>
      <c r="V34" s="18"/>
      <c r="W34" s="18"/>
      <c r="X34" s="18"/>
      <c r="Y34" s="18"/>
      <c r="Z34" s="18"/>
      <c r="AA34" s="18"/>
      <c r="AB34" s="18"/>
      <c r="AC34" s="18"/>
    </row>
    <row r="35" spans="2:29">
      <c r="B35" s="62" t="s">
        <v>389</v>
      </c>
      <c r="C35" s="384">
        <v>0.79519351616853262</v>
      </c>
      <c r="D35" s="127" t="s">
        <v>378</v>
      </c>
      <c r="E35" s="21"/>
      <c r="F35" s="21"/>
      <c r="G35" s="21"/>
      <c r="H35" s="21"/>
      <c r="I35" s="21"/>
      <c r="J35" s="21"/>
      <c r="K35" s="21"/>
      <c r="L35" s="21"/>
      <c r="M35" s="21"/>
      <c r="N35" s="21"/>
      <c r="O35" s="21"/>
      <c r="P35" s="21"/>
      <c r="Q35" s="64"/>
      <c r="R35" s="18"/>
      <c r="S35" s="18"/>
      <c r="T35" s="18"/>
      <c r="U35" s="18"/>
      <c r="V35" s="18"/>
      <c r="W35" s="18"/>
      <c r="X35" s="18"/>
      <c r="Y35" s="18"/>
      <c r="Z35" s="18"/>
      <c r="AA35" s="18"/>
      <c r="AB35" s="18"/>
      <c r="AC35" s="18"/>
    </row>
    <row r="36" spans="2:29">
      <c r="B36" s="10" t="s">
        <v>390</v>
      </c>
      <c r="C36" s="385">
        <v>1</v>
      </c>
      <c r="D36" s="127" t="s">
        <v>391</v>
      </c>
      <c r="E36" s="21"/>
      <c r="F36" s="21"/>
      <c r="G36" s="21"/>
      <c r="H36" s="21"/>
      <c r="I36" s="21"/>
      <c r="J36" s="21"/>
      <c r="K36" s="21"/>
      <c r="L36" s="21"/>
      <c r="M36" s="21"/>
      <c r="N36" s="21"/>
      <c r="O36" s="21"/>
      <c r="P36" s="21"/>
      <c r="Q36" s="64"/>
      <c r="R36" s="18"/>
      <c r="S36" s="18"/>
      <c r="T36" s="18"/>
      <c r="U36" s="18"/>
      <c r="V36" s="18"/>
      <c r="W36" s="18"/>
      <c r="X36" s="18"/>
      <c r="Y36" s="18"/>
      <c r="Z36" s="18"/>
      <c r="AA36" s="18"/>
      <c r="AB36" s="18"/>
      <c r="AC36" s="18"/>
    </row>
    <row r="37" spans="2:29">
      <c r="B37" s="10" t="s">
        <v>392</v>
      </c>
      <c r="C37" s="385">
        <v>1</v>
      </c>
      <c r="D37" s="127" t="s">
        <v>391</v>
      </c>
      <c r="E37" s="21"/>
      <c r="F37" s="21"/>
      <c r="G37" s="21"/>
      <c r="H37" s="21"/>
      <c r="I37" s="21"/>
      <c r="J37" s="21"/>
      <c r="K37" s="21"/>
      <c r="L37" s="21"/>
      <c r="M37" s="21"/>
      <c r="N37" s="21"/>
      <c r="O37" s="21"/>
      <c r="P37" s="21"/>
      <c r="Q37" s="64"/>
      <c r="R37" s="18"/>
      <c r="S37" s="18"/>
      <c r="T37" s="18"/>
      <c r="U37" s="18"/>
      <c r="V37" s="18"/>
      <c r="W37" s="18"/>
      <c r="X37" s="18"/>
      <c r="Y37" s="18"/>
      <c r="Z37" s="18"/>
      <c r="AA37" s="18"/>
      <c r="AB37" s="18"/>
      <c r="AC37" s="18"/>
    </row>
    <row r="38" spans="2:29">
      <c r="B38" s="10" t="s">
        <v>393</v>
      </c>
      <c r="C38" s="385">
        <v>0</v>
      </c>
      <c r="D38" s="127" t="s">
        <v>391</v>
      </c>
      <c r="E38" s="21"/>
      <c r="F38" s="21"/>
      <c r="G38" s="21"/>
      <c r="H38" s="21"/>
      <c r="I38" s="21"/>
      <c r="J38" s="21"/>
      <c r="K38" s="21"/>
      <c r="L38" s="21"/>
      <c r="M38" s="21"/>
      <c r="N38" s="21"/>
      <c r="O38" s="21"/>
      <c r="P38" s="21"/>
      <c r="Q38" s="64"/>
      <c r="R38" s="18"/>
      <c r="S38" s="18"/>
      <c r="T38" s="18"/>
      <c r="U38" s="18"/>
      <c r="V38" s="18"/>
      <c r="W38" s="18"/>
      <c r="X38" s="18"/>
      <c r="Y38" s="18"/>
      <c r="Z38" s="18"/>
      <c r="AA38" s="18"/>
      <c r="AB38" s="18"/>
      <c r="AC38" s="18"/>
    </row>
    <row r="39" spans="2:29">
      <c r="B39" s="27"/>
      <c r="C39" s="378"/>
      <c r="D39" s="127"/>
      <c r="E39" s="21"/>
      <c r="F39" s="21"/>
      <c r="G39" s="21"/>
      <c r="H39" s="21"/>
      <c r="I39" s="21"/>
      <c r="J39" s="21"/>
      <c r="K39" s="21"/>
      <c r="L39" s="21"/>
      <c r="M39" s="21"/>
      <c r="N39" s="21"/>
      <c r="O39" s="21"/>
      <c r="P39" s="21"/>
      <c r="Q39" s="64"/>
      <c r="R39" s="18"/>
      <c r="S39" s="18"/>
      <c r="T39" s="18"/>
      <c r="U39" s="18"/>
      <c r="V39" s="18"/>
      <c r="W39" s="18"/>
      <c r="X39" s="18"/>
      <c r="Y39" s="18"/>
      <c r="Z39" s="18"/>
      <c r="AA39" s="18"/>
      <c r="AB39" s="18"/>
      <c r="AC39" s="18"/>
    </row>
    <row r="40" spans="2:29">
      <c r="B40" s="328" t="s">
        <v>394</v>
      </c>
      <c r="C40" s="328"/>
      <c r="D40" s="127"/>
      <c r="F40" s="21"/>
      <c r="G40" s="21"/>
      <c r="H40" s="21"/>
      <c r="I40" s="21"/>
      <c r="J40" s="21"/>
      <c r="K40" s="21"/>
      <c r="L40" s="21"/>
      <c r="M40" s="21"/>
      <c r="N40" s="21"/>
      <c r="O40" s="21"/>
      <c r="P40" s="21"/>
      <c r="Q40" s="64"/>
      <c r="R40" s="18"/>
      <c r="S40" s="18"/>
      <c r="T40" s="18"/>
      <c r="U40" s="18"/>
      <c r="V40" s="18"/>
      <c r="W40" s="18"/>
      <c r="X40" s="18"/>
      <c r="Y40" s="18"/>
      <c r="Z40" s="18"/>
      <c r="AA40" s="18"/>
      <c r="AB40" s="18"/>
      <c r="AC40" s="18"/>
    </row>
    <row r="41" spans="2:29">
      <c r="B41" s="787" t="s">
        <v>395</v>
      </c>
      <c r="C41" s="825">
        <v>0.18760946329240108</v>
      </c>
      <c r="D41" s="127" t="s">
        <v>396</v>
      </c>
      <c r="E41" s="21"/>
      <c r="F41" s="21"/>
      <c r="G41" s="21"/>
      <c r="H41" s="21"/>
      <c r="I41" s="21"/>
      <c r="J41" s="21"/>
      <c r="K41" s="21"/>
      <c r="L41" s="21"/>
      <c r="M41" s="21"/>
      <c r="N41" s="21"/>
      <c r="O41" s="21"/>
      <c r="P41" s="21"/>
      <c r="Q41" s="64"/>
      <c r="R41" s="18"/>
      <c r="S41" s="18"/>
      <c r="T41" s="18"/>
      <c r="U41" s="18"/>
      <c r="V41" s="18"/>
      <c r="W41" s="18"/>
      <c r="X41" s="18"/>
      <c r="Y41" s="18"/>
      <c r="Z41" s="18"/>
      <c r="AA41" s="18"/>
      <c r="AB41" s="18"/>
      <c r="AC41" s="18"/>
    </row>
    <row r="42" spans="2:29">
      <c r="B42" s="10" t="s">
        <v>175</v>
      </c>
      <c r="C42" s="386">
        <f>-C29</f>
        <v>32.671687783202081</v>
      </c>
      <c r="D42" s="127" t="s">
        <v>378</v>
      </c>
      <c r="E42" s="21"/>
      <c r="F42" s="21"/>
      <c r="G42" s="21"/>
      <c r="H42" s="21"/>
      <c r="I42" s="21"/>
      <c r="J42" s="21"/>
      <c r="K42" s="21"/>
      <c r="L42" s="21"/>
      <c r="M42" s="21"/>
      <c r="N42" s="21"/>
      <c r="O42" s="21"/>
      <c r="P42" s="21"/>
      <c r="Q42" s="64"/>
      <c r="R42" s="18"/>
      <c r="S42" s="18"/>
      <c r="T42" s="18"/>
      <c r="U42" s="18"/>
      <c r="V42" s="18"/>
      <c r="W42" s="18"/>
      <c r="X42" s="18"/>
      <c r="Y42" s="18"/>
      <c r="Z42" s="18"/>
      <c r="AA42" s="18"/>
      <c r="AB42" s="18"/>
      <c r="AC42" s="18"/>
    </row>
    <row r="43" spans="2:29">
      <c r="B43" s="10" t="s">
        <v>397</v>
      </c>
      <c r="C43" s="394">
        <v>2.9999999999999997E-4</v>
      </c>
      <c r="D43" s="127" t="s">
        <v>398</v>
      </c>
      <c r="E43" s="21"/>
      <c r="F43" s="21"/>
      <c r="G43" s="21"/>
      <c r="H43" s="21"/>
      <c r="I43" s="21"/>
      <c r="J43" s="21"/>
      <c r="K43" s="21"/>
      <c r="L43" s="21"/>
      <c r="M43" s="21"/>
      <c r="N43" s="21"/>
      <c r="O43" s="21"/>
      <c r="P43" s="21"/>
      <c r="Q43" s="64"/>
      <c r="R43" s="18"/>
      <c r="S43" s="18"/>
      <c r="T43" s="18"/>
      <c r="U43" s="18"/>
      <c r="V43" s="18"/>
      <c r="W43" s="18"/>
      <c r="X43" s="18"/>
      <c r="Y43" s="18"/>
      <c r="Z43" s="18"/>
      <c r="AA43" s="18"/>
      <c r="AB43" s="18"/>
      <c r="AC43" s="18"/>
    </row>
    <row r="44" spans="2:29">
      <c r="B44" s="10" t="s">
        <v>399</v>
      </c>
      <c r="C44" s="117">
        <v>30.771922839506175</v>
      </c>
      <c r="D44" s="103" t="s">
        <v>400</v>
      </c>
      <c r="E44" s="21"/>
      <c r="F44" s="21"/>
      <c r="G44" s="21"/>
      <c r="H44" s="21"/>
      <c r="I44" s="21"/>
      <c r="J44" s="21"/>
      <c r="K44" s="21"/>
      <c r="L44" s="21"/>
      <c r="M44" s="21"/>
      <c r="N44" s="21"/>
      <c r="O44" s="21"/>
      <c r="P44" s="21"/>
      <c r="Q44" s="64"/>
      <c r="R44" s="18"/>
      <c r="S44" s="18"/>
      <c r="T44" s="18"/>
      <c r="U44" s="18"/>
      <c r="V44" s="18"/>
      <c r="W44" s="18"/>
      <c r="X44" s="18"/>
      <c r="Y44" s="18"/>
      <c r="Z44" s="18"/>
      <c r="AA44" s="18"/>
      <c r="AB44" s="18"/>
      <c r="AC44" s="18"/>
    </row>
    <row r="45" spans="2:29">
      <c r="B45" s="787"/>
      <c r="C45" s="828"/>
      <c r="D45" s="103"/>
      <c r="E45" s="21"/>
      <c r="F45" s="21"/>
      <c r="G45" s="21"/>
      <c r="H45" s="21"/>
      <c r="I45" s="21"/>
      <c r="J45" s="21"/>
      <c r="K45" s="21"/>
      <c r="L45" s="21"/>
      <c r="M45" s="21"/>
      <c r="N45" s="21"/>
      <c r="O45" s="21"/>
      <c r="P45" s="21"/>
      <c r="Q45" s="64"/>
      <c r="R45" s="18"/>
      <c r="S45" s="18"/>
      <c r="T45" s="18"/>
      <c r="U45" s="18"/>
      <c r="V45" s="18"/>
      <c r="W45" s="18"/>
      <c r="X45" s="18"/>
      <c r="Y45" s="18"/>
      <c r="Z45" s="18"/>
      <c r="AA45" s="18"/>
      <c r="AB45" s="18"/>
      <c r="AC45" s="18"/>
    </row>
    <row r="46" spans="2:29">
      <c r="B46" s="328" t="s">
        <v>401</v>
      </c>
      <c r="C46" s="822"/>
      <c r="D46" s="127"/>
      <c r="E46" s="21"/>
      <c r="F46" s="21"/>
      <c r="G46" s="21"/>
      <c r="H46" s="21"/>
      <c r="I46" s="21"/>
      <c r="J46" s="21"/>
      <c r="K46" s="21"/>
      <c r="L46" s="21"/>
      <c r="M46" s="21"/>
      <c r="N46" s="21"/>
      <c r="O46" s="21"/>
      <c r="P46" s="21"/>
      <c r="Q46" s="64"/>
      <c r="R46" s="18"/>
      <c r="S46" s="18"/>
      <c r="T46" s="18"/>
      <c r="U46" s="18"/>
      <c r="V46" s="18"/>
      <c r="W46" s="18"/>
      <c r="X46" s="18"/>
      <c r="Y46" s="18"/>
      <c r="Z46" s="18"/>
      <c r="AA46" s="18"/>
      <c r="AB46" s="18"/>
      <c r="AC46" s="18"/>
    </row>
    <row r="47" spans="2:29">
      <c r="B47" s="332" t="s">
        <v>402</v>
      </c>
      <c r="C47" s="636">
        <v>3.5000000000000003E-2</v>
      </c>
      <c r="D47" s="170" t="s">
        <v>403</v>
      </c>
      <c r="F47" s="21"/>
      <c r="G47" s="21"/>
      <c r="H47" s="21"/>
      <c r="I47" s="21"/>
      <c r="J47" s="21"/>
      <c r="K47" s="21"/>
      <c r="L47" s="21"/>
      <c r="M47" s="21"/>
      <c r="N47" s="21"/>
      <c r="O47" s="21"/>
      <c r="P47" s="21"/>
      <c r="Q47" s="64"/>
      <c r="R47" s="18"/>
      <c r="S47" s="18"/>
      <c r="T47" s="18"/>
      <c r="U47" s="18"/>
      <c r="V47" s="18"/>
      <c r="W47" s="18"/>
      <c r="X47" s="18"/>
      <c r="Y47" s="18"/>
      <c r="Z47" s="18"/>
      <c r="AA47" s="18"/>
      <c r="AB47" s="18"/>
      <c r="AC47" s="18"/>
    </row>
    <row r="48" spans="2:29">
      <c r="C48" s="133"/>
      <c r="D48" s="127"/>
      <c r="E48" s="21"/>
      <c r="F48" s="21"/>
      <c r="G48" s="21"/>
      <c r="H48" s="21"/>
      <c r="I48" s="21"/>
      <c r="J48" s="21"/>
      <c r="K48" s="21"/>
      <c r="L48" s="21"/>
      <c r="M48" s="21"/>
      <c r="N48" s="21"/>
      <c r="O48" s="21"/>
      <c r="P48" s="21"/>
      <c r="Q48" s="64"/>
      <c r="R48" s="18"/>
      <c r="S48" s="18"/>
      <c r="T48" s="18"/>
      <c r="U48" s="18"/>
      <c r="V48" s="18"/>
      <c r="W48" s="18"/>
      <c r="X48" s="18"/>
      <c r="Y48" s="18"/>
      <c r="Z48" s="18"/>
      <c r="AA48" s="18"/>
      <c r="AB48" s="18"/>
      <c r="AC48" s="18"/>
    </row>
    <row r="49" spans="1:29" ht="22.5" customHeight="1" thickBot="1">
      <c r="B49" s="879" t="s">
        <v>404</v>
      </c>
      <c r="C49" s="879"/>
      <c r="D49" s="879"/>
      <c r="E49" s="879"/>
      <c r="F49" s="879"/>
      <c r="G49" s="879"/>
      <c r="H49" s="879"/>
      <c r="I49" s="21"/>
      <c r="J49" s="21"/>
      <c r="K49" s="21"/>
      <c r="L49" s="21"/>
      <c r="M49" s="21"/>
      <c r="N49" s="21"/>
      <c r="O49" s="21"/>
      <c r="P49" s="21"/>
      <c r="Q49" s="64"/>
      <c r="R49" s="18"/>
      <c r="S49" s="18"/>
      <c r="T49" s="18"/>
      <c r="U49" s="18"/>
      <c r="V49" s="18"/>
      <c r="W49" s="18"/>
      <c r="X49" s="18"/>
      <c r="Y49" s="18"/>
      <c r="Z49" s="18"/>
      <c r="AA49" s="18"/>
      <c r="AB49" s="18"/>
      <c r="AC49" s="18"/>
    </row>
    <row r="50" spans="1:29">
      <c r="C50" s="129"/>
      <c r="D50" s="129"/>
      <c r="E50" s="21"/>
      <c r="F50" s="21"/>
      <c r="G50" s="21"/>
      <c r="H50" s="21"/>
      <c r="I50" s="21"/>
      <c r="J50" s="21"/>
      <c r="K50" s="21"/>
      <c r="L50" s="21"/>
      <c r="M50" s="21"/>
      <c r="N50" s="21"/>
      <c r="O50" s="21"/>
      <c r="P50" s="64"/>
      <c r="Q50" s="18"/>
      <c r="R50" s="18"/>
      <c r="S50" s="18"/>
      <c r="T50" s="18"/>
      <c r="U50" s="18"/>
      <c r="V50" s="18"/>
      <c r="W50" s="18"/>
      <c r="X50" s="18"/>
      <c r="Y50" s="18"/>
      <c r="Z50" s="18"/>
      <c r="AA50" s="18"/>
      <c r="AB50" s="18"/>
    </row>
    <row r="51" spans="1:29">
      <c r="B51" s="21" t="s">
        <v>405</v>
      </c>
      <c r="C51" s="238">
        <v>2023</v>
      </c>
      <c r="D51" s="238">
        <v>2024</v>
      </c>
      <c r="E51" s="238">
        <v>2025</v>
      </c>
      <c r="F51" s="238">
        <v>2026</v>
      </c>
      <c r="G51" s="238">
        <v>2027</v>
      </c>
      <c r="H51" s="238">
        <v>2028</v>
      </c>
      <c r="I51" s="230"/>
      <c r="J51" s="21"/>
      <c r="K51" s="21"/>
      <c r="L51" s="21"/>
      <c r="M51" s="21"/>
      <c r="N51" s="21"/>
      <c r="O51" s="21"/>
      <c r="P51" s="64"/>
      <c r="Q51" s="18"/>
      <c r="R51" s="18"/>
      <c r="S51" s="18"/>
      <c r="T51" s="18"/>
      <c r="U51" s="18"/>
      <c r="V51" s="18"/>
      <c r="W51" s="18"/>
      <c r="X51" s="18"/>
      <c r="Y51" s="18"/>
      <c r="Z51" s="18"/>
      <c r="AA51" s="18"/>
      <c r="AB51" s="18"/>
    </row>
    <row r="52" spans="1:29">
      <c r="B52" s="10" t="s">
        <v>406</v>
      </c>
      <c r="C52" s="387">
        <f>'WACC Forecast'!E98</f>
        <v>8.4153209337216039E-2</v>
      </c>
      <c r="D52" s="387">
        <f>'WACC Forecast'!F98</f>
        <v>8.4837531026891302E-2</v>
      </c>
      <c r="E52" s="387">
        <f>'WACC Forecast'!G98</f>
        <v>8.5719675018101751E-2</v>
      </c>
      <c r="F52" s="387">
        <f>'WACC Forecast'!H98</f>
        <v>8.6500857266587086E-2</v>
      </c>
      <c r="G52" s="387">
        <f>'WACC Forecast'!I98</f>
        <v>8.7163837734718599E-2</v>
      </c>
      <c r="H52" s="387">
        <f>'WACC Forecast'!J98</f>
        <v>8.7654376894712407E-2</v>
      </c>
      <c r="I52" s="127" t="s">
        <v>407</v>
      </c>
      <c r="J52" s="21"/>
      <c r="K52" s="21"/>
      <c r="L52" s="21"/>
      <c r="M52" s="21"/>
      <c r="N52" s="21"/>
      <c r="O52" s="21"/>
      <c r="P52" s="64"/>
      <c r="Q52" s="18"/>
      <c r="R52" s="18"/>
      <c r="S52" s="18"/>
      <c r="T52" s="18"/>
      <c r="U52" s="18"/>
      <c r="V52" s="18"/>
      <c r="W52" s="18"/>
      <c r="X52" s="18"/>
      <c r="Y52" s="18"/>
      <c r="Z52" s="18"/>
      <c r="AA52" s="18"/>
      <c r="AB52" s="18"/>
    </row>
    <row r="53" spans="1:29">
      <c r="B53" s="10" t="s">
        <v>408</v>
      </c>
      <c r="C53" s="452">
        <f>'WACC Forecast'!E99</f>
        <v>9.0049876003882701E-2</v>
      </c>
      <c r="D53" s="452">
        <f>'WACC Forecast'!F99</f>
        <v>9.0734197693557977E-2</v>
      </c>
      <c r="E53" s="452">
        <f>'WACC Forecast'!G99</f>
        <v>9.1616341684768426E-2</v>
      </c>
      <c r="F53" s="452">
        <f>'WACC Forecast'!H99</f>
        <v>9.2397523933253761E-2</v>
      </c>
      <c r="G53" s="452">
        <f>'WACC Forecast'!I99</f>
        <v>9.3060504401385274E-2</v>
      </c>
      <c r="H53" s="452">
        <f>'WACC Forecast'!J99</f>
        <v>9.3551043561379083E-2</v>
      </c>
      <c r="I53" s="127" t="s">
        <v>407</v>
      </c>
      <c r="J53" s="21"/>
      <c r="K53" s="21"/>
      <c r="L53" s="21"/>
      <c r="M53" s="21"/>
      <c r="N53" s="21"/>
      <c r="O53" s="21"/>
      <c r="P53" s="64"/>
      <c r="Q53" s="18"/>
      <c r="R53" s="18"/>
      <c r="S53" s="18"/>
      <c r="T53" s="18"/>
      <c r="U53" s="18"/>
      <c r="V53" s="18"/>
      <c r="W53" s="18"/>
      <c r="X53" s="18"/>
      <c r="Y53" s="18"/>
      <c r="Z53" s="18"/>
      <c r="AA53" s="18"/>
      <c r="AB53" s="18"/>
    </row>
    <row r="54" spans="1:29">
      <c r="B54" s="10" t="s">
        <v>409</v>
      </c>
      <c r="C54" s="387">
        <f>'WACC Forecast'!E100</f>
        <v>9.6762812511819202E-2</v>
      </c>
      <c r="D54" s="387">
        <f>'WACC Forecast'!F100</f>
        <v>9.7447134201494479E-2</v>
      </c>
      <c r="E54" s="387">
        <f>'WACC Forecast'!G100</f>
        <v>9.8329278192704928E-2</v>
      </c>
      <c r="F54" s="387">
        <f>'WACC Forecast'!H100</f>
        <v>9.9110460441190248E-2</v>
      </c>
      <c r="G54" s="387">
        <f>'WACC Forecast'!I100</f>
        <v>9.9773440909321776E-2</v>
      </c>
      <c r="H54" s="387">
        <f>'WACC Forecast'!J100</f>
        <v>0.10026398006931558</v>
      </c>
      <c r="I54" s="127" t="s">
        <v>407</v>
      </c>
      <c r="J54" s="21"/>
      <c r="K54" s="21"/>
      <c r="L54" s="21"/>
      <c r="M54" s="21"/>
      <c r="N54" s="21"/>
      <c r="O54" s="21"/>
      <c r="P54" s="64"/>
      <c r="Q54" s="18"/>
      <c r="R54" s="18"/>
      <c r="S54" s="18"/>
      <c r="T54" s="18"/>
      <c r="U54" s="18"/>
      <c r="V54" s="18"/>
      <c r="W54" s="18"/>
      <c r="X54" s="18"/>
      <c r="Y54" s="18"/>
      <c r="Z54" s="18"/>
      <c r="AA54" s="18"/>
      <c r="AB54" s="18"/>
    </row>
    <row r="55" spans="1:29">
      <c r="B55" s="10" t="s">
        <v>410</v>
      </c>
      <c r="C55" s="387">
        <f>'WACC Forecast'!E101</f>
        <v>0.11186253473404144</v>
      </c>
      <c r="D55" s="387">
        <f>'WACC Forecast'!F101</f>
        <v>0.1125468564237167</v>
      </c>
      <c r="E55" s="387">
        <f>'WACC Forecast'!G101</f>
        <v>0.11342900041492715</v>
      </c>
      <c r="F55" s="387">
        <f>'WACC Forecast'!H101</f>
        <v>0.11421018266341249</v>
      </c>
      <c r="G55" s="387">
        <f>'WACC Forecast'!I101</f>
        <v>0.114873163131544</v>
      </c>
      <c r="H55" s="387">
        <f>'WACC Forecast'!J101</f>
        <v>0.11536370229153781</v>
      </c>
      <c r="I55" s="127" t="s">
        <v>407</v>
      </c>
      <c r="J55" s="21"/>
      <c r="K55" s="21"/>
      <c r="L55" s="21"/>
      <c r="M55" s="21"/>
      <c r="N55" s="21"/>
      <c r="O55" s="21"/>
      <c r="P55" s="64"/>
      <c r="Q55" s="18"/>
      <c r="R55" s="18"/>
      <c r="S55" s="18"/>
      <c r="T55" s="18"/>
      <c r="U55" s="18"/>
      <c r="V55" s="18"/>
      <c r="W55" s="18"/>
      <c r="X55" s="18"/>
      <c r="Y55" s="18"/>
      <c r="Z55" s="18"/>
      <c r="AA55" s="18"/>
      <c r="AB55" s="18"/>
    </row>
    <row r="56" spans="1:29">
      <c r="B56" s="10" t="s">
        <v>411</v>
      </c>
      <c r="C56" s="391">
        <v>0.05</v>
      </c>
      <c r="D56" s="391">
        <f>($H$56-$C$56)/5+C56</f>
        <v>0.04</v>
      </c>
      <c r="E56" s="391">
        <f>($H$56-$C$56)/5+D56</f>
        <v>0.03</v>
      </c>
      <c r="F56" s="391">
        <f>($H$56-$C$56)/5+E56</f>
        <v>1.9999999999999997E-2</v>
      </c>
      <c r="G56" s="391">
        <f>($H$56-$C$56)/5+F56</f>
        <v>9.9999999999999967E-3</v>
      </c>
      <c r="H56" s="391">
        <v>0</v>
      </c>
      <c r="I56" s="127" t="s">
        <v>398</v>
      </c>
      <c r="J56" s="21"/>
      <c r="K56" s="21"/>
      <c r="L56" s="21"/>
      <c r="M56" s="21"/>
      <c r="N56" s="21"/>
      <c r="O56" s="21"/>
      <c r="P56" s="64"/>
      <c r="Q56" s="18"/>
      <c r="R56" s="18"/>
      <c r="S56" s="18"/>
      <c r="T56" s="18"/>
      <c r="U56" s="18"/>
      <c r="V56" s="18"/>
      <c r="W56" s="18"/>
      <c r="X56" s="18"/>
      <c r="Y56" s="18"/>
      <c r="Z56" s="18"/>
      <c r="AA56" s="18"/>
      <c r="AB56" s="18"/>
    </row>
    <row r="57" spans="1:29">
      <c r="B57" s="268" t="s">
        <v>76</v>
      </c>
      <c r="C57" s="223">
        <f>'Price cap Scalar'!E4</f>
        <v>2.6177655171715335</v>
      </c>
      <c r="D57" s="223">
        <f>'Price cap Scalar'!F4</f>
        <v>3.040136316285337</v>
      </c>
      <c r="E57" s="223">
        <f>'Price cap Scalar'!G4</f>
        <v>2.5227663425321984</v>
      </c>
      <c r="F57" s="223">
        <f>'Price cap Scalar'!H4</f>
        <v>2.3402395550748274</v>
      </c>
      <c r="G57" s="223">
        <f>'Price cap Scalar'!I4</f>
        <v>2.3402395550748274</v>
      </c>
      <c r="H57" s="223">
        <f>'Price cap Scalar'!J4</f>
        <v>2.3402395550748274</v>
      </c>
      <c r="I57" s="127" t="s">
        <v>412</v>
      </c>
      <c r="J57" s="21"/>
      <c r="K57" s="21"/>
      <c r="L57" s="21"/>
      <c r="M57" s="21"/>
      <c r="N57" s="21"/>
      <c r="O57" s="21"/>
      <c r="P57" s="64"/>
      <c r="Q57" s="18"/>
      <c r="R57" s="18"/>
      <c r="S57" s="18"/>
      <c r="T57" s="18"/>
      <c r="U57" s="18"/>
      <c r="V57" s="18"/>
      <c r="W57" s="18"/>
      <c r="X57" s="18"/>
      <c r="Y57" s="18"/>
      <c r="Z57" s="18"/>
      <c r="AA57" s="18"/>
      <c r="AB57" s="18"/>
    </row>
    <row r="58" spans="1:29">
      <c r="B58" s="10" t="s">
        <v>413</v>
      </c>
      <c r="C58" s="22">
        <v>29225996.635739438</v>
      </c>
      <c r="D58" s="22">
        <v>29225996.635739438</v>
      </c>
      <c r="E58" s="22">
        <v>29225996.635739438</v>
      </c>
      <c r="F58" s="22">
        <v>29225996.635739438</v>
      </c>
      <c r="G58" s="22">
        <v>29225996.635739438</v>
      </c>
      <c r="H58" s="22">
        <v>29225996.635739438</v>
      </c>
      <c r="I58" s="127" t="s">
        <v>368</v>
      </c>
      <c r="J58" s="21"/>
      <c r="K58" s="21"/>
      <c r="L58" s="21"/>
      <c r="M58" s="21"/>
      <c r="N58" s="21"/>
      <c r="O58" s="21"/>
      <c r="P58" s="64"/>
      <c r="Q58" s="18"/>
      <c r="R58" s="18"/>
      <c r="S58" s="18"/>
      <c r="T58" s="18"/>
      <c r="U58" s="18"/>
      <c r="V58" s="18"/>
      <c r="W58" s="18"/>
      <c r="X58" s="18"/>
      <c r="Y58" s="18"/>
      <c r="Z58" s="18"/>
      <c r="AA58" s="18"/>
      <c r="AB58" s="18"/>
    </row>
    <row r="59" spans="1:29">
      <c r="B59" s="268" t="s">
        <v>414</v>
      </c>
      <c r="C59" s="686">
        <f t="shared" ref="C59:H59" si="0">1-SUM(C60:C61)</f>
        <v>0.58513626692969289</v>
      </c>
      <c r="D59" s="686">
        <f t="shared" si="0"/>
        <v>0.58513626692969289</v>
      </c>
      <c r="E59" s="686">
        <f t="shared" si="0"/>
        <v>0.58513626692969289</v>
      </c>
      <c r="F59" s="686">
        <f t="shared" si="0"/>
        <v>0.58513626692969289</v>
      </c>
      <c r="G59" s="686">
        <f t="shared" si="0"/>
        <v>0.58513626692969289</v>
      </c>
      <c r="H59" s="686">
        <f t="shared" si="0"/>
        <v>0.58513626692969289</v>
      </c>
      <c r="I59" s="127" t="s">
        <v>415</v>
      </c>
      <c r="J59" s="21"/>
      <c r="K59" s="21"/>
      <c r="L59" s="21"/>
      <c r="M59" s="21"/>
      <c r="N59" s="21"/>
      <c r="O59" s="21"/>
      <c r="P59" s="64"/>
      <c r="Q59" s="18"/>
      <c r="R59" s="18"/>
      <c r="S59" s="18"/>
      <c r="T59" s="18"/>
      <c r="U59" s="18"/>
      <c r="V59" s="18"/>
      <c r="W59" s="18"/>
      <c r="X59" s="18"/>
      <c r="Y59" s="18"/>
      <c r="Z59" s="18"/>
      <c r="AA59" s="18"/>
      <c r="AB59" s="18"/>
    </row>
    <row r="60" spans="1:29">
      <c r="B60" s="90" t="s">
        <v>416</v>
      </c>
      <c r="C60" s="438">
        <v>0.28486373307030716</v>
      </c>
      <c r="D60" s="438">
        <v>0.28486373307030716</v>
      </c>
      <c r="E60" s="438">
        <v>0.28486373307030716</v>
      </c>
      <c r="F60" s="438">
        <v>0.28486373307030716</v>
      </c>
      <c r="G60" s="438">
        <v>0.28486373307030716</v>
      </c>
      <c r="H60" s="438">
        <v>0.28486373307030716</v>
      </c>
      <c r="I60" s="127" t="s">
        <v>415</v>
      </c>
      <c r="J60" s="21"/>
      <c r="K60" s="21"/>
      <c r="L60" s="21"/>
      <c r="M60" s="21"/>
      <c r="N60" s="21"/>
      <c r="O60" s="21"/>
      <c r="P60" s="64"/>
      <c r="Q60" s="18"/>
      <c r="R60" s="18"/>
      <c r="S60" s="18"/>
      <c r="T60" s="18"/>
      <c r="U60" s="18"/>
      <c r="V60" s="18"/>
      <c r="W60" s="18"/>
      <c r="X60" s="18"/>
      <c r="Y60" s="18"/>
      <c r="Z60" s="18"/>
      <c r="AA60" s="18"/>
      <c r="AB60" s="18"/>
    </row>
    <row r="61" spans="1:29">
      <c r="B61" s="10" t="s">
        <v>417</v>
      </c>
      <c r="C61" s="438">
        <v>0.13</v>
      </c>
      <c r="D61" s="438">
        <v>0.13</v>
      </c>
      <c r="E61" s="438">
        <v>0.13</v>
      </c>
      <c r="F61" s="438">
        <v>0.13</v>
      </c>
      <c r="G61" s="438">
        <v>0.13</v>
      </c>
      <c r="H61" s="438">
        <v>0.13</v>
      </c>
      <c r="I61" s="127" t="s">
        <v>415</v>
      </c>
      <c r="J61" s="21"/>
      <c r="K61" s="21"/>
      <c r="L61" s="21"/>
      <c r="M61" s="21"/>
      <c r="N61" s="21"/>
      <c r="O61" s="21"/>
      <c r="P61" s="64"/>
      <c r="Q61" s="18"/>
      <c r="R61" s="18"/>
      <c r="S61" s="18"/>
      <c r="T61" s="18"/>
      <c r="U61" s="18"/>
      <c r="V61" s="18"/>
      <c r="W61" s="18"/>
      <c r="X61" s="18"/>
      <c r="Y61" s="18"/>
      <c r="Z61" s="18"/>
      <c r="AA61" s="18"/>
      <c r="AB61" s="18"/>
    </row>
    <row r="62" spans="1:29">
      <c r="B62" s="10" t="s">
        <v>418</v>
      </c>
      <c r="C62" s="236">
        <v>0.08</v>
      </c>
      <c r="D62" s="236">
        <v>0.08</v>
      </c>
      <c r="E62" s="236">
        <v>0.08</v>
      </c>
      <c r="F62" s="236">
        <v>0.08</v>
      </c>
      <c r="G62" s="236">
        <v>0.08</v>
      </c>
      <c r="H62" s="236">
        <v>0.08</v>
      </c>
      <c r="I62" s="103" t="s">
        <v>419</v>
      </c>
      <c r="J62" s="21"/>
      <c r="K62" s="21"/>
      <c r="L62" s="21"/>
      <c r="M62" s="21"/>
      <c r="N62" s="21"/>
      <c r="O62" s="21"/>
      <c r="P62" s="64"/>
      <c r="Q62" s="18"/>
      <c r="R62" s="18"/>
      <c r="S62" s="18"/>
      <c r="T62" s="18"/>
      <c r="U62" s="18"/>
      <c r="V62" s="18"/>
      <c r="W62" s="18"/>
      <c r="X62" s="18"/>
      <c r="Y62" s="18"/>
      <c r="Z62" s="18"/>
      <c r="AA62" s="18"/>
      <c r="AB62" s="18"/>
    </row>
    <row r="63" spans="1:29" s="85" customFormat="1">
      <c r="A63" s="10"/>
      <c r="B63" s="359" t="s">
        <v>420</v>
      </c>
      <c r="C63" s="599">
        <f>'SVT% Transition'!C10</f>
        <v>0.75269980636994116</v>
      </c>
      <c r="D63" s="599">
        <f>'SVT% Transition'!D10</f>
        <v>0.73346463112055171</v>
      </c>
      <c r="E63" s="599">
        <f>'SVT% Transition'!E10</f>
        <v>0.71472100902919888</v>
      </c>
      <c r="F63" s="599">
        <f>'SVT% Transition'!F10</f>
        <v>0.67865849894566399</v>
      </c>
      <c r="G63" s="599">
        <f>'SVT% Transition'!G10</f>
        <v>0.64441558646328478</v>
      </c>
      <c r="H63" s="599">
        <f>'SVT% Transition'!H10</f>
        <v>0.61190046057327496</v>
      </c>
      <c r="I63" s="695" t="s">
        <v>421</v>
      </c>
      <c r="J63" s="340"/>
      <c r="K63" s="340"/>
      <c r="L63" s="340"/>
      <c r="M63" s="340"/>
      <c r="N63" s="340"/>
      <c r="O63" s="340"/>
      <c r="P63" s="340"/>
    </row>
    <row r="64" spans="1:29" s="85" customFormat="1">
      <c r="A64" s="10"/>
      <c r="B64" s="10" t="s">
        <v>422</v>
      </c>
      <c r="C64" s="236">
        <f>'SVT% Transition'!C11</f>
        <v>0.7935589063906342</v>
      </c>
      <c r="D64" s="236">
        <f>'SVT% Transition'!D11</f>
        <v>0.73659502795672027</v>
      </c>
      <c r="E64" s="236">
        <f>'SVT% Transition'!E11</f>
        <v>0.68372017608416469</v>
      </c>
      <c r="F64" s="236">
        <f>'SVT% Transition'!F11</f>
        <v>0.58908453477106415</v>
      </c>
      <c r="G64" s="236">
        <f>'SVT% Transition'!G11</f>
        <v>0.50754767994987982</v>
      </c>
      <c r="H64" s="236">
        <f>'SVT% Transition'!H11</f>
        <v>0.43729657157375296</v>
      </c>
      <c r="I64" s="695" t="s">
        <v>421</v>
      </c>
      <c r="J64" s="340"/>
      <c r="K64" s="340"/>
      <c r="L64" s="340"/>
      <c r="M64" s="340"/>
      <c r="N64" s="340"/>
      <c r="O64" s="340"/>
      <c r="P64" s="340"/>
    </row>
    <row r="65" spans="1:29" s="85" customFormat="1">
      <c r="A65" s="10"/>
      <c r="B65" s="10" t="s">
        <v>423</v>
      </c>
      <c r="C65" s="236">
        <f>'SVT% Transition'!C12</f>
        <v>0.8653272143179267</v>
      </c>
      <c r="D65" s="236">
        <f>'SVT% Transition'!D12</f>
        <v>0.81630099329019024</v>
      </c>
      <c r="E65" s="236">
        <f>'SVT% Transition'!E12</f>
        <v>0.7700524155729731</v>
      </c>
      <c r="F65" s="236">
        <f>'SVT% Transition'!F12</f>
        <v>0.68526762237239192</v>
      </c>
      <c r="G65" s="236">
        <f>'SVT% Transition'!G12</f>
        <v>0.60981785755778961</v>
      </c>
      <c r="H65" s="236">
        <f>'SVT% Transition'!H12</f>
        <v>0.54267530998901425</v>
      </c>
      <c r="I65" s="695" t="s">
        <v>421</v>
      </c>
      <c r="J65" s="340"/>
      <c r="K65" s="340"/>
      <c r="L65" s="340"/>
      <c r="M65" s="340"/>
      <c r="N65" s="340"/>
      <c r="O65" s="340"/>
      <c r="P65" s="340"/>
    </row>
    <row r="66" spans="1:29" s="85" customFormat="1">
      <c r="A66" s="10"/>
      <c r="B66" s="360" t="s">
        <v>424</v>
      </c>
      <c r="C66" s="236">
        <f>'SVT% Transition'!C13</f>
        <v>0.99907109476106826</v>
      </c>
      <c r="D66" s="236">
        <f>'SVT% Transition'!D13</f>
        <v>0.97097030600816714</v>
      </c>
      <c r="E66" s="236">
        <f>'SVT% Transition'!E13</f>
        <v>0.94365990577984249</v>
      </c>
      <c r="F66" s="236">
        <f>'SVT% Transition'!F13</f>
        <v>0.89132197142525305</v>
      </c>
      <c r="G66" s="236">
        <f>'SVT% Transition'!G13</f>
        <v>0.84188684067154518</v>
      </c>
      <c r="H66" s="236">
        <f>'SVT% Transition'!H13</f>
        <v>0.79519351616853307</v>
      </c>
      <c r="I66" s="695" t="s">
        <v>421</v>
      </c>
      <c r="J66" s="340"/>
      <c r="K66" s="340"/>
      <c r="L66" s="340"/>
      <c r="M66" s="340"/>
      <c r="N66" s="340"/>
      <c r="O66" s="340"/>
      <c r="P66" s="340"/>
    </row>
    <row r="67" spans="1:29">
      <c r="B67" s="288" t="s">
        <v>425</v>
      </c>
      <c r="C67" s="388">
        <f t="shared" ref="C67:H67" si="1">(0.8*3.1)+(0.2*4.2)</f>
        <v>3.3200000000000003</v>
      </c>
      <c r="D67" s="388">
        <f>(0.8*3.1)+(0.2*4.2)</f>
        <v>3.3200000000000003</v>
      </c>
      <c r="E67" s="388">
        <f t="shared" si="1"/>
        <v>3.3200000000000003</v>
      </c>
      <c r="F67" s="388">
        <f t="shared" si="1"/>
        <v>3.3200000000000003</v>
      </c>
      <c r="G67" s="388">
        <f t="shared" si="1"/>
        <v>3.3200000000000003</v>
      </c>
      <c r="H67" s="388">
        <f t="shared" si="1"/>
        <v>3.3200000000000003</v>
      </c>
      <c r="I67" s="127" t="s">
        <v>426</v>
      </c>
      <c r="J67" s="21"/>
      <c r="K67" s="21"/>
      <c r="L67" s="21"/>
      <c r="M67" s="21"/>
      <c r="N67" s="21"/>
      <c r="O67" s="21"/>
      <c r="P67" s="64"/>
      <c r="Q67" s="18"/>
      <c r="R67" s="18"/>
      <c r="S67" s="18"/>
      <c r="T67" s="18"/>
      <c r="U67" s="18"/>
      <c r="V67" s="18"/>
      <c r="W67" s="18"/>
      <c r="X67" s="18"/>
      <c r="Y67" s="18"/>
      <c r="Z67" s="18"/>
      <c r="AA67" s="18"/>
      <c r="AB67" s="18"/>
    </row>
    <row r="68" spans="1:29">
      <c r="B68" s="10" t="s">
        <v>160</v>
      </c>
      <c r="C68" s="21">
        <f>'RO obligation rate'!$E$22</f>
        <v>0.46479999999999999</v>
      </c>
      <c r="D68" s="21">
        <f>'RO obligation rate'!$E$22</f>
        <v>0.46479999999999999</v>
      </c>
      <c r="E68" s="21">
        <f>'RO obligation rate'!$E$22</f>
        <v>0.46479999999999999</v>
      </c>
      <c r="F68" s="21">
        <f>'RO obligation rate'!$E$22</f>
        <v>0.46479999999999999</v>
      </c>
      <c r="G68" s="21">
        <f>'RO obligation rate'!$E$22</f>
        <v>0.46479999999999999</v>
      </c>
      <c r="H68" s="21">
        <f>'RO obligation rate'!$E$22</f>
        <v>0.46479999999999999</v>
      </c>
      <c r="I68" s="127" t="s">
        <v>427</v>
      </c>
      <c r="J68" s="21"/>
      <c r="K68" s="21"/>
      <c r="L68" s="21"/>
      <c r="M68" s="21"/>
      <c r="N68" s="21"/>
      <c r="O68" s="21"/>
      <c r="P68" s="64"/>
      <c r="Q68" s="18"/>
      <c r="R68" s="18"/>
      <c r="S68" s="18"/>
      <c r="T68" s="18"/>
      <c r="U68" s="18"/>
      <c r="V68" s="18"/>
      <c r="W68" s="18"/>
      <c r="X68" s="18"/>
      <c r="Y68" s="18"/>
      <c r="Z68" s="18"/>
      <c r="AA68" s="18"/>
      <c r="AB68" s="18"/>
    </row>
    <row r="69" spans="1:29" ht="39.6">
      <c r="B69" s="10" t="s">
        <v>164</v>
      </c>
      <c r="C69" s="21">
        <v>52.88</v>
      </c>
      <c r="D69" s="21">
        <v>52.88</v>
      </c>
      <c r="E69" s="21">
        <v>52.88</v>
      </c>
      <c r="F69" s="21">
        <v>52.88</v>
      </c>
      <c r="G69" s="21">
        <v>52.88</v>
      </c>
      <c r="H69" s="21">
        <v>52.88</v>
      </c>
      <c r="I69" s="696" t="s">
        <v>428</v>
      </c>
      <c r="J69" s="21"/>
      <c r="K69" s="21"/>
      <c r="L69" s="21"/>
      <c r="M69" s="21"/>
      <c r="N69" s="21"/>
      <c r="O69" s="21"/>
      <c r="P69" s="64"/>
      <c r="Q69" s="18"/>
      <c r="R69" s="18"/>
      <c r="S69" s="18"/>
      <c r="T69" s="18"/>
      <c r="U69" s="18"/>
      <c r="V69" s="18"/>
      <c r="W69" s="18"/>
      <c r="X69" s="18"/>
      <c r="Y69" s="18"/>
      <c r="Z69" s="18"/>
      <c r="AA69" s="18"/>
      <c r="AB69" s="18"/>
    </row>
    <row r="70" spans="1:29">
      <c r="B70" s="10" t="s">
        <v>429</v>
      </c>
      <c r="C70" s="20">
        <v>19</v>
      </c>
      <c r="D70" s="20">
        <v>19</v>
      </c>
      <c r="E70" s="20">
        <v>19</v>
      </c>
      <c r="F70" s="20">
        <v>19</v>
      </c>
      <c r="G70" s="20">
        <v>19</v>
      </c>
      <c r="H70" s="20">
        <v>19</v>
      </c>
      <c r="I70" s="127" t="s">
        <v>398</v>
      </c>
      <c r="J70" s="21"/>
      <c r="K70" s="21"/>
      <c r="L70" s="21"/>
      <c r="M70" s="21"/>
      <c r="N70" s="21"/>
      <c r="O70" s="21"/>
      <c r="P70" s="64"/>
      <c r="Q70" s="18"/>
      <c r="R70" s="18"/>
      <c r="S70" s="18"/>
      <c r="T70" s="18"/>
      <c r="U70" s="18"/>
      <c r="V70" s="18"/>
      <c r="W70" s="18"/>
      <c r="X70" s="18"/>
      <c r="Y70" s="18"/>
      <c r="Z70" s="18"/>
      <c r="AA70" s="18"/>
      <c r="AB70" s="18"/>
    </row>
    <row r="71" spans="1:29">
      <c r="I71" s="21"/>
    </row>
    <row r="72" spans="1:29">
      <c r="B72" s="103"/>
      <c r="C72" s="294"/>
      <c r="D72" s="294"/>
      <c r="E72" s="294"/>
      <c r="F72" s="294"/>
      <c r="G72" s="294"/>
      <c r="H72" s="294"/>
      <c r="I72" s="21"/>
    </row>
    <row r="73" spans="1:29">
      <c r="I73" s="21"/>
    </row>
    <row r="74" spans="1:29">
      <c r="I74" s="21"/>
    </row>
    <row r="75" spans="1:29">
      <c r="B75" s="14" t="s">
        <v>362</v>
      </c>
      <c r="C75" s="15"/>
      <c r="D75" s="17"/>
      <c r="E75" s="15"/>
      <c r="F75" s="16"/>
      <c r="G75" s="14"/>
      <c r="H75" s="15"/>
      <c r="I75" s="21"/>
      <c r="J75" s="15"/>
      <c r="L75" s="16"/>
      <c r="M75" s="14"/>
      <c r="N75" s="15"/>
      <c r="O75" s="15"/>
      <c r="P75" s="15"/>
      <c r="Q75" s="18"/>
      <c r="R75" s="18"/>
      <c r="S75" s="18"/>
      <c r="T75" s="18"/>
      <c r="U75" s="18"/>
      <c r="V75" s="18"/>
      <c r="W75" s="18"/>
      <c r="X75" s="18"/>
      <c r="Y75" s="18"/>
      <c r="Z75" s="18"/>
      <c r="AA75" s="18"/>
      <c r="AB75" s="18"/>
      <c r="AC75" s="18"/>
    </row>
    <row r="76" spans="1:29"/>
  </sheetData>
  <mergeCells count="1">
    <mergeCell ref="B49:H49"/>
  </mergeCells>
  <dataValidations count="1">
    <dataValidation type="list" allowBlank="1" showInputMessage="1" showErrorMessage="1" sqref="I50" xr:uid="{A92E8CF1-74E5-42B5-95E9-EFC4658704E0}">
      <formula1>$I$74:$I$75</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D8EC-4428-4BA7-8FA0-626A4E5AB303}">
  <sheetPr codeName="Sheet79">
    <tabColor rgb="FFA9D18E"/>
  </sheetPr>
  <dimension ref="A1:XFC74"/>
  <sheetViews>
    <sheetView showGridLines="0" zoomScale="85" zoomScaleNormal="85" workbookViewId="0"/>
  </sheetViews>
  <sheetFormatPr defaultColWidth="8.6640625" defaultRowHeight="13.2" zeroHeight="1"/>
  <cols>
    <col min="1" max="1" width="31.33203125" style="10" customWidth="1"/>
    <col min="2" max="2" width="32.6640625" style="57" customWidth="1"/>
    <col min="3" max="3" width="8.6640625" style="10" customWidth="1"/>
    <col min="4" max="4" width="13.5546875" style="10" customWidth="1"/>
    <col min="5" max="11" width="8.6640625" style="10" customWidth="1"/>
    <col min="12" max="12" width="8.5546875" style="10" hidden="1" customWidth="1"/>
    <col min="13" max="16383" width="0" style="10" hidden="1" customWidth="1"/>
    <col min="16384" max="16384" width="8.5546875" style="10" hidden="1" customWidth="1"/>
  </cols>
  <sheetData>
    <row r="1" spans="1:15" ht="17.399999999999999">
      <c r="A1" s="43" t="s">
        <v>40</v>
      </c>
      <c r="B1" s="10"/>
    </row>
    <row r="2" spans="1:15" ht="17.399999999999999">
      <c r="A2" s="43"/>
      <c r="B2" s="10"/>
    </row>
    <row r="3" spans="1:15"/>
    <row r="4" spans="1:15">
      <c r="A4" s="219" t="s">
        <v>430</v>
      </c>
      <c r="B4" s="219"/>
      <c r="C4" s="219"/>
      <c r="D4" s="219"/>
      <c r="E4" s="219"/>
      <c r="F4" s="219"/>
      <c r="G4" s="219"/>
      <c r="H4" s="219"/>
      <c r="I4" s="219"/>
      <c r="J4" s="219"/>
    </row>
    <row r="5" spans="1:15">
      <c r="B5" s="224"/>
    </row>
    <row r="6" spans="1:15" ht="13.8" thickBot="1">
      <c r="B6" s="522" t="s">
        <v>431</v>
      </c>
      <c r="C6" s="523"/>
      <c r="D6" s="523"/>
      <c r="E6" s="523"/>
      <c r="F6" s="523"/>
      <c r="G6" s="523"/>
      <c r="H6" s="523"/>
      <c r="I6" s="523"/>
      <c r="J6" s="523"/>
      <c r="K6" s="220"/>
      <c r="L6" s="220"/>
      <c r="M6" s="220"/>
      <c r="N6" s="220"/>
      <c r="O6" s="220"/>
    </row>
    <row r="7" spans="1:15"/>
    <row r="8" spans="1:15">
      <c r="A8" s="235" t="s">
        <v>432</v>
      </c>
      <c r="B8" s="235" t="s">
        <v>433</v>
      </c>
      <c r="C8" s="228">
        <v>2022</v>
      </c>
      <c r="D8" s="228">
        <v>2023</v>
      </c>
      <c r="E8" s="228">
        <v>2024</v>
      </c>
      <c r="F8" s="228">
        <v>2025</v>
      </c>
      <c r="G8" s="228">
        <v>2026</v>
      </c>
      <c r="H8" s="228">
        <v>2027</v>
      </c>
      <c r="I8" s="228">
        <v>2028</v>
      </c>
    </row>
    <row r="9" spans="1:15">
      <c r="A9" s="231" t="s">
        <v>434</v>
      </c>
      <c r="B9" s="57">
        <v>1</v>
      </c>
      <c r="C9" s="233">
        <v>0</v>
      </c>
      <c r="D9" s="233">
        <v>0.3</v>
      </c>
      <c r="E9" s="233">
        <v>0.3</v>
      </c>
      <c r="F9" s="233">
        <v>0.3</v>
      </c>
      <c r="G9" s="233">
        <v>0.3</v>
      </c>
      <c r="H9" s="233">
        <v>0.3</v>
      </c>
      <c r="I9" s="233">
        <v>0.3</v>
      </c>
    </row>
    <row r="10" spans="1:15">
      <c r="A10" s="231" t="s">
        <v>435</v>
      </c>
      <c r="B10" s="57">
        <v>2</v>
      </c>
      <c r="C10" s="233">
        <v>0</v>
      </c>
      <c r="D10" s="233">
        <v>0</v>
      </c>
      <c r="E10" s="233">
        <v>0</v>
      </c>
      <c r="F10" s="233">
        <v>0</v>
      </c>
      <c r="G10" s="233">
        <v>0</v>
      </c>
      <c r="H10" s="233">
        <v>0</v>
      </c>
      <c r="I10" s="233">
        <v>0</v>
      </c>
    </row>
    <row r="11" spans="1:15">
      <c r="A11" s="231" t="s">
        <v>436</v>
      </c>
      <c r="B11" s="57">
        <v>3</v>
      </c>
      <c r="C11" s="233">
        <v>0</v>
      </c>
      <c r="D11" s="233">
        <v>0</v>
      </c>
      <c r="E11" s="233">
        <v>0</v>
      </c>
      <c r="F11" s="233">
        <v>0</v>
      </c>
      <c r="G11" s="233">
        <v>0</v>
      </c>
      <c r="H11" s="233">
        <v>0</v>
      </c>
      <c r="I11" s="233">
        <v>0</v>
      </c>
    </row>
    <row r="12" spans="1:15">
      <c r="A12" s="231" t="s">
        <v>437</v>
      </c>
      <c r="B12" s="57">
        <v>4</v>
      </c>
      <c r="C12" s="233">
        <v>0</v>
      </c>
      <c r="D12" s="233">
        <v>0</v>
      </c>
      <c r="E12" s="233">
        <v>0</v>
      </c>
      <c r="F12" s="233">
        <v>0</v>
      </c>
      <c r="G12" s="233">
        <v>0</v>
      </c>
      <c r="H12" s="233">
        <v>0</v>
      </c>
      <c r="I12" s="233">
        <v>0</v>
      </c>
    </row>
    <row r="13" spans="1:15">
      <c r="A13" s="231" t="s">
        <v>438</v>
      </c>
      <c r="B13" s="57">
        <v>5</v>
      </c>
      <c r="C13" s="233">
        <v>0</v>
      </c>
      <c r="D13" s="233">
        <v>0</v>
      </c>
      <c r="E13" s="233">
        <v>0</v>
      </c>
      <c r="F13" s="233">
        <v>0</v>
      </c>
      <c r="G13" s="233">
        <v>0</v>
      </c>
      <c r="H13" s="233">
        <v>0</v>
      </c>
      <c r="I13" s="233">
        <v>0</v>
      </c>
      <c r="J13" s="229"/>
    </row>
    <row r="14" spans="1:15">
      <c r="A14" s="231" t="s">
        <v>439</v>
      </c>
      <c r="B14" s="57">
        <v>6</v>
      </c>
      <c r="C14" s="233">
        <v>0</v>
      </c>
      <c r="D14" s="233">
        <v>0</v>
      </c>
      <c r="E14" s="233">
        <v>0</v>
      </c>
      <c r="F14" s="233">
        <v>0</v>
      </c>
      <c r="G14" s="233">
        <v>0</v>
      </c>
      <c r="H14" s="233">
        <v>0</v>
      </c>
      <c r="I14" s="233">
        <v>0</v>
      </c>
    </row>
    <row r="15" spans="1:15">
      <c r="A15" s="246" t="s">
        <v>440</v>
      </c>
      <c r="B15" s="57">
        <v>7</v>
      </c>
      <c r="C15" s="233">
        <v>0</v>
      </c>
      <c r="D15" s="233">
        <v>0</v>
      </c>
      <c r="E15" s="233">
        <v>0</v>
      </c>
      <c r="F15" s="233">
        <v>0</v>
      </c>
      <c r="G15" s="233">
        <v>0</v>
      </c>
      <c r="H15" s="233">
        <v>0</v>
      </c>
      <c r="I15" s="233">
        <v>0</v>
      </c>
    </row>
    <row r="16" spans="1:15">
      <c r="A16" s="231" t="s">
        <v>441</v>
      </c>
      <c r="B16" s="57">
        <v>8</v>
      </c>
      <c r="C16" s="233">
        <v>0</v>
      </c>
      <c r="D16" s="233">
        <v>0</v>
      </c>
      <c r="E16" s="233">
        <v>0</v>
      </c>
      <c r="F16" s="233">
        <v>0</v>
      </c>
      <c r="G16" s="233">
        <v>0</v>
      </c>
      <c r="H16" s="233">
        <v>0</v>
      </c>
      <c r="I16" s="233">
        <v>0</v>
      </c>
    </row>
    <row r="17" spans="1:15"/>
    <row r="18" spans="1:15" ht="13.8" thickBot="1">
      <c r="B18" s="522" t="s">
        <v>442</v>
      </c>
      <c r="C18" s="523"/>
      <c r="D18" s="523"/>
      <c r="E18" s="523"/>
      <c r="F18" s="523"/>
      <c r="G18" s="523"/>
      <c r="H18" s="523"/>
      <c r="I18" s="523"/>
      <c r="J18" s="523"/>
      <c r="K18" s="220"/>
      <c r="L18" s="220"/>
      <c r="M18" s="220"/>
      <c r="N18" s="220"/>
      <c r="O18" s="220"/>
    </row>
    <row r="19" spans="1:15"/>
    <row r="20" spans="1:15">
      <c r="A20" s="235" t="s">
        <v>432</v>
      </c>
      <c r="B20" s="235" t="s">
        <v>433</v>
      </c>
      <c r="C20" s="228">
        <v>2022</v>
      </c>
      <c r="D20" s="228">
        <v>2023</v>
      </c>
      <c r="E20" s="228">
        <v>2024</v>
      </c>
      <c r="F20" s="228">
        <v>2025</v>
      </c>
      <c r="G20" s="228">
        <v>2026</v>
      </c>
      <c r="H20" s="228">
        <v>2027</v>
      </c>
      <c r="I20" s="228">
        <v>2028</v>
      </c>
    </row>
    <row r="21" spans="1:15">
      <c r="A21" s="10" t="str">
        <f>A9</f>
        <v>1. RO + CCB RF</v>
      </c>
      <c r="B21" s="57">
        <v>1</v>
      </c>
      <c r="C21" s="233">
        <v>0</v>
      </c>
      <c r="D21" s="233">
        <v>0.4</v>
      </c>
      <c r="E21" s="233">
        <v>1</v>
      </c>
      <c r="F21" s="233">
        <v>1</v>
      </c>
      <c r="G21" s="233">
        <v>1</v>
      </c>
      <c r="H21" s="233">
        <v>1</v>
      </c>
      <c r="I21" s="233">
        <v>1</v>
      </c>
    </row>
    <row r="22" spans="1:15">
      <c r="A22" s="10" t="str">
        <f>A10</f>
        <v>2. RO RF</v>
      </c>
      <c r="B22" s="57">
        <v>2</v>
      </c>
      <c r="C22" s="233">
        <v>0</v>
      </c>
      <c r="D22" s="233">
        <v>0.4</v>
      </c>
      <c r="E22" s="233">
        <v>1</v>
      </c>
      <c r="F22" s="233">
        <v>1</v>
      </c>
      <c r="G22" s="233">
        <v>1</v>
      </c>
      <c r="H22" s="233">
        <v>1</v>
      </c>
      <c r="I22" s="233">
        <v>1</v>
      </c>
    </row>
    <row r="23" spans="1:15">
      <c r="A23" s="10" t="str">
        <f>A11</f>
        <v>3. CA</v>
      </c>
      <c r="B23" s="57">
        <v>3</v>
      </c>
      <c r="C23" s="232">
        <v>0</v>
      </c>
      <c r="D23" s="232">
        <v>0</v>
      </c>
      <c r="E23" s="232">
        <v>0</v>
      </c>
      <c r="F23" s="232">
        <v>0</v>
      </c>
      <c r="G23" s="232">
        <v>0</v>
      </c>
      <c r="H23" s="232">
        <v>0</v>
      </c>
      <c r="I23" s="232">
        <v>0</v>
      </c>
    </row>
    <row r="24" spans="1:15">
      <c r="A24" s="10" t="str">
        <f>A12</f>
        <v>4. CA + RO RF</v>
      </c>
      <c r="B24" s="57">
        <v>4</v>
      </c>
      <c r="C24" s="233">
        <v>0</v>
      </c>
      <c r="D24" s="233">
        <v>0.4</v>
      </c>
      <c r="E24" s="233">
        <v>1</v>
      </c>
      <c r="F24" s="233">
        <v>1</v>
      </c>
      <c r="G24" s="233">
        <v>1</v>
      </c>
      <c r="H24" s="233">
        <v>1</v>
      </c>
      <c r="I24" s="233">
        <v>1</v>
      </c>
    </row>
    <row r="25" spans="1:15">
      <c r="A25" s="10" t="str">
        <f>A13</f>
        <v>Do nothing</v>
      </c>
      <c r="B25" s="57">
        <v>5</v>
      </c>
      <c r="C25" s="232">
        <v>0</v>
      </c>
      <c r="D25" s="232">
        <v>0</v>
      </c>
      <c r="E25" s="232">
        <v>0</v>
      </c>
      <c r="F25" s="232">
        <v>0</v>
      </c>
      <c r="G25" s="232">
        <v>0</v>
      </c>
      <c r="H25" s="232">
        <v>0</v>
      </c>
      <c r="I25" s="232">
        <v>0</v>
      </c>
      <c r="J25" s="229"/>
    </row>
    <row r="26" spans="1:15">
      <c r="A26" s="10" t="str">
        <f t="shared" ref="A26:A28" si="0">A14</f>
        <v>Spare 1</v>
      </c>
      <c r="B26" s="57">
        <v>6</v>
      </c>
      <c r="C26" s="232">
        <v>0</v>
      </c>
      <c r="D26" s="232">
        <v>0</v>
      </c>
      <c r="E26" s="232">
        <v>0</v>
      </c>
      <c r="F26" s="232">
        <v>0</v>
      </c>
      <c r="G26" s="232">
        <v>0</v>
      </c>
      <c r="H26" s="232">
        <v>0</v>
      </c>
      <c r="I26" s="232">
        <v>0</v>
      </c>
    </row>
    <row r="27" spans="1:15">
      <c r="A27" s="10" t="str">
        <f t="shared" si="0"/>
        <v>Spare 2</v>
      </c>
      <c r="B27" s="57">
        <v>7</v>
      </c>
      <c r="C27" s="232">
        <v>0</v>
      </c>
      <c r="D27" s="232">
        <v>0</v>
      </c>
      <c r="E27" s="232">
        <v>0</v>
      </c>
      <c r="F27" s="232">
        <v>0</v>
      </c>
      <c r="G27" s="232">
        <v>0</v>
      </c>
      <c r="H27" s="232">
        <v>0</v>
      </c>
      <c r="I27" s="232">
        <v>0</v>
      </c>
    </row>
    <row r="28" spans="1:15">
      <c r="A28" s="10" t="str">
        <f t="shared" si="0"/>
        <v>Spare 3</v>
      </c>
      <c r="B28" s="57">
        <v>8</v>
      </c>
      <c r="C28" s="232">
        <v>0</v>
      </c>
      <c r="D28" s="232">
        <v>0</v>
      </c>
      <c r="E28" s="232">
        <v>0</v>
      </c>
      <c r="F28" s="233">
        <f t="shared" ref="F28:H28" si="1">E28+($I28-$D28)/5</f>
        <v>0</v>
      </c>
      <c r="G28" s="233">
        <f t="shared" si="1"/>
        <v>0</v>
      </c>
      <c r="H28" s="233">
        <f t="shared" si="1"/>
        <v>0</v>
      </c>
      <c r="I28" s="232">
        <v>0</v>
      </c>
    </row>
    <row r="29" spans="1:15"/>
    <row r="30" spans="1:15" ht="13.8" thickBot="1">
      <c r="B30" s="522" t="s">
        <v>443</v>
      </c>
      <c r="C30" s="523"/>
      <c r="D30" s="523"/>
      <c r="E30" s="523"/>
      <c r="F30" s="523"/>
      <c r="G30" s="523"/>
      <c r="H30" s="523"/>
      <c r="I30" s="523"/>
      <c r="J30" s="523"/>
      <c r="K30" s="220"/>
      <c r="L30" s="220"/>
      <c r="M30" s="220"/>
      <c r="N30" s="220"/>
      <c r="O30" s="220"/>
    </row>
    <row r="31" spans="1:15">
      <c r="B31" s="396"/>
      <c r="C31" s="220"/>
      <c r="D31" s="220"/>
      <c r="E31" s="220"/>
      <c r="F31" s="220"/>
      <c r="G31" s="220"/>
      <c r="H31" s="220"/>
      <c r="I31" s="220"/>
      <c r="J31" s="220"/>
      <c r="K31" s="220"/>
      <c r="L31" s="220"/>
      <c r="M31" s="220"/>
      <c r="N31" s="220"/>
      <c r="O31" s="220"/>
    </row>
    <row r="32" spans="1:15">
      <c r="B32" s="397" t="s">
        <v>444</v>
      </c>
      <c r="C32" s="249">
        <v>220</v>
      </c>
      <c r="D32" s="127" t="s">
        <v>169</v>
      </c>
      <c r="E32" s="220"/>
      <c r="F32" s="220"/>
      <c r="G32" s="220"/>
      <c r="H32" s="220"/>
      <c r="I32" s="220"/>
      <c r="J32" s="220"/>
      <c r="K32" s="220"/>
      <c r="L32" s="220"/>
      <c r="M32" s="220"/>
      <c r="N32" s="220"/>
      <c r="O32" s="220"/>
    </row>
    <row r="33" spans="1:11"/>
    <row r="34" spans="1:11">
      <c r="A34" s="235" t="s">
        <v>432</v>
      </c>
      <c r="B34" s="235" t="s">
        <v>433</v>
      </c>
      <c r="C34" s="228">
        <v>2022</v>
      </c>
      <c r="D34" s="228">
        <v>2023</v>
      </c>
      <c r="E34" s="228">
        <v>2024</v>
      </c>
      <c r="F34" s="228">
        <v>2025</v>
      </c>
      <c r="G34" s="228">
        <v>2026</v>
      </c>
      <c r="H34" s="228">
        <v>2027</v>
      </c>
      <c r="I34" s="228">
        <v>2028</v>
      </c>
      <c r="K34" s="103"/>
    </row>
    <row r="35" spans="1:11">
      <c r="A35" s="10" t="str">
        <f t="shared" ref="A35:A42" si="2">A9</f>
        <v>1. RO + CCB RF</v>
      </c>
      <c r="B35" s="57">
        <v>1</v>
      </c>
      <c r="C35" s="233">
        <v>0</v>
      </c>
      <c r="D35" s="233">
        <v>0</v>
      </c>
      <c r="E35" s="233">
        <f>D35+($I35-$D35)/5</f>
        <v>0</v>
      </c>
      <c r="F35" s="233">
        <f t="shared" ref="F35:H35" si="3">E35+($I35-$D35)/5</f>
        <v>0</v>
      </c>
      <c r="G35" s="233">
        <f t="shared" si="3"/>
        <v>0</v>
      </c>
      <c r="H35" s="233">
        <f t="shared" si="3"/>
        <v>0</v>
      </c>
      <c r="I35" s="233">
        <v>0</v>
      </c>
      <c r="K35" s="234"/>
    </row>
    <row r="36" spans="1:11">
      <c r="A36" s="10" t="str">
        <f t="shared" si="2"/>
        <v>2. RO RF</v>
      </c>
      <c r="B36" s="57">
        <v>2</v>
      </c>
      <c r="C36" s="233">
        <v>0</v>
      </c>
      <c r="D36" s="233">
        <v>0</v>
      </c>
      <c r="E36" s="233">
        <f t="shared" ref="E36:H36" si="4">D36+($I36-$D36)/5</f>
        <v>0</v>
      </c>
      <c r="F36" s="233">
        <f t="shared" si="4"/>
        <v>0</v>
      </c>
      <c r="G36" s="233">
        <f t="shared" si="4"/>
        <v>0</v>
      </c>
      <c r="H36" s="233">
        <f t="shared" si="4"/>
        <v>0</v>
      </c>
      <c r="I36" s="233">
        <v>0</v>
      </c>
      <c r="K36" s="234"/>
    </row>
    <row r="37" spans="1:11">
      <c r="A37" s="10" t="str">
        <f t="shared" si="2"/>
        <v>3. CA</v>
      </c>
      <c r="B37" s="57">
        <v>3</v>
      </c>
      <c r="C37" s="233">
        <v>0</v>
      </c>
      <c r="D37" s="233">
        <f>E37*50%</f>
        <v>0.20315093782763818</v>
      </c>
      <c r="E37" s="233">
        <f>$C$32/'Consolidated Model'!M179</f>
        <v>0.40630187565527637</v>
      </c>
      <c r="F37" s="233">
        <f>$C$32/'Consolidated Model'!N179</f>
        <v>0.48962643378007953</v>
      </c>
      <c r="G37" s="233">
        <f>$C$32/'Consolidated Model'!O179</f>
        <v>0.52781480634146438</v>
      </c>
      <c r="H37" s="233">
        <f>$C$32/'Consolidated Model'!P179</f>
        <v>0.52781480634146438</v>
      </c>
      <c r="I37" s="233">
        <f>$C$32/'Consolidated Model'!Q179</f>
        <v>0.52781480634146438</v>
      </c>
      <c r="K37" s="234"/>
    </row>
    <row r="38" spans="1:11">
      <c r="A38" s="10" t="str">
        <f t="shared" si="2"/>
        <v>4. CA + RO RF</v>
      </c>
      <c r="B38" s="57">
        <v>4</v>
      </c>
      <c r="C38" s="233">
        <v>0</v>
      </c>
      <c r="D38" s="233">
        <f>D37</f>
        <v>0.20315093782763818</v>
      </c>
      <c r="E38" s="233">
        <f t="shared" ref="E38:I38" si="5">E37</f>
        <v>0.40630187565527637</v>
      </c>
      <c r="F38" s="233">
        <f>F37</f>
        <v>0.48962643378007953</v>
      </c>
      <c r="G38" s="233">
        <f t="shared" si="5"/>
        <v>0.52781480634146438</v>
      </c>
      <c r="H38" s="233">
        <f t="shared" si="5"/>
        <v>0.52781480634146438</v>
      </c>
      <c r="I38" s="233">
        <f t="shared" si="5"/>
        <v>0.52781480634146438</v>
      </c>
      <c r="K38" s="234"/>
    </row>
    <row r="39" spans="1:11">
      <c r="A39" s="10" t="str">
        <f t="shared" si="2"/>
        <v>Do nothing</v>
      </c>
      <c r="B39" s="57">
        <v>5</v>
      </c>
      <c r="C39" s="232">
        <v>0</v>
      </c>
      <c r="D39" s="232">
        <v>0</v>
      </c>
      <c r="E39" s="232">
        <v>0</v>
      </c>
      <c r="F39" s="232">
        <v>0</v>
      </c>
      <c r="G39" s="232">
        <v>0</v>
      </c>
      <c r="H39" s="232">
        <v>0</v>
      </c>
      <c r="I39" s="232">
        <v>0</v>
      </c>
      <c r="J39" s="229"/>
      <c r="K39" s="234"/>
    </row>
    <row r="40" spans="1:11">
      <c r="A40" s="10" t="str">
        <f t="shared" si="2"/>
        <v>Spare 1</v>
      </c>
      <c r="B40" s="57">
        <v>6</v>
      </c>
      <c r="C40" s="232">
        <v>0</v>
      </c>
      <c r="D40" s="232">
        <v>0</v>
      </c>
      <c r="E40" s="232">
        <v>0</v>
      </c>
      <c r="F40" s="232">
        <v>0</v>
      </c>
      <c r="G40" s="232">
        <v>0</v>
      </c>
      <c r="H40" s="232">
        <v>0</v>
      </c>
      <c r="I40" s="232">
        <v>0</v>
      </c>
      <c r="K40" s="234"/>
    </row>
    <row r="41" spans="1:11">
      <c r="A41" s="10" t="str">
        <f t="shared" si="2"/>
        <v>Spare 2</v>
      </c>
      <c r="B41" s="57">
        <v>7</v>
      </c>
      <c r="C41" s="232">
        <v>0</v>
      </c>
      <c r="D41" s="232">
        <v>0</v>
      </c>
      <c r="E41" s="232">
        <v>0</v>
      </c>
      <c r="F41" s="232">
        <v>0</v>
      </c>
      <c r="G41" s="232">
        <v>0</v>
      </c>
      <c r="H41" s="232">
        <v>0</v>
      </c>
      <c r="I41" s="232">
        <v>0</v>
      </c>
      <c r="K41" s="234"/>
    </row>
    <row r="42" spans="1:11">
      <c r="A42" s="10" t="str">
        <f t="shared" si="2"/>
        <v>Spare 3</v>
      </c>
      <c r="B42" s="57">
        <v>8</v>
      </c>
      <c r="C42" s="232">
        <v>0</v>
      </c>
      <c r="D42" s="232">
        <v>0</v>
      </c>
      <c r="E42" s="232">
        <v>0</v>
      </c>
      <c r="F42" s="232">
        <v>0</v>
      </c>
      <c r="G42" s="232">
        <v>0</v>
      </c>
      <c r="H42" s="232">
        <v>0</v>
      </c>
      <c r="I42" s="232">
        <v>0</v>
      </c>
      <c r="K42" s="234"/>
    </row>
    <row r="43" spans="1:11">
      <c r="C43" s="221"/>
      <c r="D43" s="221"/>
      <c r="E43" s="222"/>
      <c r="F43" s="222"/>
      <c r="G43" s="222"/>
      <c r="H43" s="222"/>
      <c r="I43" s="221"/>
    </row>
    <row r="44" spans="1:11"/>
    <row r="45" spans="1:11" ht="13.8" thickBot="1">
      <c r="B45" s="522" t="s">
        <v>445</v>
      </c>
      <c r="C45" s="523"/>
      <c r="D45" s="523"/>
      <c r="E45" s="523"/>
      <c r="F45" s="523"/>
      <c r="G45" s="523"/>
      <c r="H45" s="523"/>
      <c r="I45" s="523"/>
      <c r="J45" s="523"/>
    </row>
    <row r="46" spans="1:11"/>
    <row r="47" spans="1:11">
      <c r="C47" s="27">
        <v>2022</v>
      </c>
      <c r="D47" s="27">
        <v>2023</v>
      </c>
      <c r="E47" s="27">
        <v>2024</v>
      </c>
      <c r="F47" s="27">
        <v>2025</v>
      </c>
      <c r="G47" s="27">
        <v>2026</v>
      </c>
      <c r="H47" s="27">
        <v>2027</v>
      </c>
      <c r="I47" s="27">
        <v>2028</v>
      </c>
    </row>
    <row r="48" spans="1:11">
      <c r="B48" s="225" t="s">
        <v>446</v>
      </c>
      <c r="C48" s="91">
        <f>D48</f>
        <v>0.26687132277498998</v>
      </c>
      <c r="D48" s="91">
        <f>'Credit Rating Analysis'!K61/SUM('Credit Rating Analysis'!K$61:K$63)</f>
        <v>0.26687132277498998</v>
      </c>
      <c r="E48" s="91">
        <f>'Credit Rating Analysis'!L61/SUM('Credit Rating Analysis'!L$61:L$63)</f>
        <v>0.27290269447065779</v>
      </c>
      <c r="F48" s="91">
        <f>'Credit Rating Analysis'!M61/SUM('Credit Rating Analysis'!M$61:M$63)</f>
        <v>0.26528219671033471</v>
      </c>
      <c r="G48" s="91">
        <f>'Credit Rating Analysis'!N61/SUM('Credit Rating Analysis'!N$61:N$63)</f>
        <v>0.2619300808207905</v>
      </c>
      <c r="H48" s="91">
        <f>'Credit Rating Analysis'!O61/SUM('Credit Rating Analysis'!O$61:O$63)</f>
        <v>0.2619300808207905</v>
      </c>
      <c r="I48" s="91">
        <f>'Credit Rating Analysis'!P61/SUM('Credit Rating Analysis'!P$61:P$63)</f>
        <v>0.2619300808207905</v>
      </c>
    </row>
    <row r="49" spans="1:10">
      <c r="B49" s="225" t="s">
        <v>447</v>
      </c>
      <c r="C49" s="91">
        <f t="shared" ref="C49:C50" si="6">D49</f>
        <v>0.15907701824641912</v>
      </c>
      <c r="D49" s="91">
        <f>'Credit Rating Analysis'!K62/SUM('Credit Rating Analysis'!K$61:K$63)</f>
        <v>0.15907701824641912</v>
      </c>
      <c r="E49" s="91">
        <f>'Credit Rating Analysis'!L62/SUM('Credit Rating Analysis'!L$61:L$63)</f>
        <v>0.14007190740256301</v>
      </c>
      <c r="F49" s="91">
        <f>'Credit Rating Analysis'!M62/SUM('Credit Rating Analysis'!M$61:M$63)</f>
        <v>0.16408442261934592</v>
      </c>
      <c r="G49" s="91">
        <f>'Credit Rating Analysis'!N62/SUM('Credit Rating Analysis'!N$61:N$63)</f>
        <v>0.17464708352913494</v>
      </c>
      <c r="H49" s="91">
        <f>'Credit Rating Analysis'!O62/SUM('Credit Rating Analysis'!O$61:O$63)</f>
        <v>0.17464708352913494</v>
      </c>
      <c r="I49" s="91">
        <f>'Credit Rating Analysis'!P62/SUM('Credit Rating Analysis'!P$61:P$63)</f>
        <v>0.17464708352913494</v>
      </c>
    </row>
    <row r="50" spans="1:10">
      <c r="B50" s="225" t="s">
        <v>448</v>
      </c>
      <c r="C50" s="91">
        <f t="shared" si="6"/>
        <v>0.57405165897859101</v>
      </c>
      <c r="D50" s="91">
        <f>'Credit Rating Analysis'!K63/SUM('Credit Rating Analysis'!K$61:K$63)</f>
        <v>0.57405165897859101</v>
      </c>
      <c r="E50" s="91">
        <f>'Credit Rating Analysis'!L63/SUM('Credit Rating Analysis'!L$61:L$63)</f>
        <v>0.58702539812677912</v>
      </c>
      <c r="F50" s="91">
        <f>'Credit Rating Analysis'!M63/SUM('Credit Rating Analysis'!M$61:M$63)</f>
        <v>0.57063338067031943</v>
      </c>
      <c r="G50" s="91">
        <f>'Credit Rating Analysis'!N63/SUM('Credit Rating Analysis'!N$61:N$63)</f>
        <v>0.56342283565007467</v>
      </c>
      <c r="H50" s="91">
        <f>'Credit Rating Analysis'!O63/SUM('Credit Rating Analysis'!O$61:O$63)</f>
        <v>0.56342283565007467</v>
      </c>
      <c r="I50" s="91">
        <f>'Credit Rating Analysis'!P63/SUM('Credit Rating Analysis'!P$61:P$63)</f>
        <v>0.56342283565007467</v>
      </c>
    </row>
    <row r="51" spans="1:10" ht="13.8" thickBot="1"/>
    <row r="52" spans="1:10">
      <c r="A52" s="262" t="s">
        <v>432</v>
      </c>
      <c r="B52" s="263" t="s">
        <v>433</v>
      </c>
      <c r="C52" s="264">
        <v>2022</v>
      </c>
      <c r="D52" s="264">
        <v>2023</v>
      </c>
      <c r="E52" s="264">
        <v>2024</v>
      </c>
      <c r="F52" s="264">
        <v>2025</v>
      </c>
      <c r="G52" s="264">
        <v>2026</v>
      </c>
      <c r="H52" s="264">
        <v>2027</v>
      </c>
      <c r="I52" s="265">
        <v>2028</v>
      </c>
    </row>
    <row r="53" spans="1:10">
      <c r="A53" s="75" t="str">
        <f>A9</f>
        <v>1. RO + CCB RF</v>
      </c>
      <c r="B53" s="57">
        <v>1</v>
      </c>
      <c r="C53" s="345">
        <f>(C9*C$48)+(C21*C$49)+(C35*C$50)</f>
        <v>0</v>
      </c>
      <c r="D53" s="233">
        <f>(D9*D$48)+(D21*D$49)+(D35*D$50)</f>
        <v>0.14369220413106465</v>
      </c>
      <c r="E53" s="233">
        <f>(E9*E$48)+(E21*E$49)+(E35*E$50)</f>
        <v>0.22194271574376034</v>
      </c>
      <c r="F53" s="233">
        <f t="shared" ref="F53:H53" si="7">(F9*F$48)+(F21*F$49)+(F35*F$50)</f>
        <v>0.24366908163244633</v>
      </c>
      <c r="G53" s="233">
        <f t="shared" si="7"/>
        <v>0.25322610777537208</v>
      </c>
      <c r="H53" s="233">
        <f t="shared" si="7"/>
        <v>0.25322610777537208</v>
      </c>
      <c r="I53" s="266">
        <f>(I9*I$48)+(I21*I$49)+(I35*I$50)</f>
        <v>0.25322610777537208</v>
      </c>
    </row>
    <row r="54" spans="1:10">
      <c r="A54" s="75" t="str">
        <f>A10</f>
        <v>2. RO RF</v>
      </c>
      <c r="B54" s="57">
        <v>2</v>
      </c>
      <c r="C54" s="345">
        <f t="shared" ref="C54:I54" si="8">(C10*C$48)+(C22*C$49)+(C36*C$50)</f>
        <v>0</v>
      </c>
      <c r="D54" s="233">
        <f t="shared" si="8"/>
        <v>6.3630807298567654E-2</v>
      </c>
      <c r="E54" s="233">
        <f t="shared" si="8"/>
        <v>0.14007190740256301</v>
      </c>
      <c r="F54" s="233">
        <f t="shared" si="8"/>
        <v>0.16408442261934592</v>
      </c>
      <c r="G54" s="233">
        <f t="shared" si="8"/>
        <v>0.17464708352913494</v>
      </c>
      <c r="H54" s="233">
        <f t="shared" si="8"/>
        <v>0.17464708352913494</v>
      </c>
      <c r="I54" s="266">
        <f t="shared" si="8"/>
        <v>0.17464708352913494</v>
      </c>
    </row>
    <row r="55" spans="1:10">
      <c r="A55" s="75" t="str">
        <f>A11</f>
        <v>3. CA</v>
      </c>
      <c r="B55" s="57">
        <v>3</v>
      </c>
      <c r="C55" s="345">
        <f t="shared" ref="C55:I55" si="9">(C11*C$48)+(C23*C$49)+(C37*C$50)</f>
        <v>0</v>
      </c>
      <c r="D55" s="233">
        <f t="shared" si="9"/>
        <v>0.1166191328830123</v>
      </c>
      <c r="E55" s="233">
        <f t="shared" si="9"/>
        <v>0.23850952031619571</v>
      </c>
      <c r="F55" s="233">
        <f t="shared" si="9"/>
        <v>0.27939718717347906</v>
      </c>
      <c r="G55" s="233">
        <f t="shared" si="9"/>
        <v>0.29738291488700286</v>
      </c>
      <c r="H55" s="233">
        <f t="shared" si="9"/>
        <v>0.29738291488700286</v>
      </c>
      <c r="I55" s="266">
        <f t="shared" si="9"/>
        <v>0.29738291488700286</v>
      </c>
    </row>
    <row r="56" spans="1:10">
      <c r="A56" s="75" t="str">
        <f>A12</f>
        <v>4. CA + RO RF</v>
      </c>
      <c r="B56" s="57">
        <v>4</v>
      </c>
      <c r="C56" s="345">
        <f t="shared" ref="C56:I56" si="10">(C12*C$48)+(C24*C$49)+(C38*C$50)</f>
        <v>0</v>
      </c>
      <c r="D56" s="233">
        <f t="shared" si="10"/>
        <v>0.18024994018157997</v>
      </c>
      <c r="E56" s="233">
        <f t="shared" si="10"/>
        <v>0.37858142771875869</v>
      </c>
      <c r="F56" s="233">
        <f t="shared" si="10"/>
        <v>0.44348160979282497</v>
      </c>
      <c r="G56" s="233">
        <f t="shared" si="10"/>
        <v>0.4720299984161378</v>
      </c>
      <c r="H56" s="233">
        <f t="shared" si="10"/>
        <v>0.4720299984161378</v>
      </c>
      <c r="I56" s="266">
        <f t="shared" si="10"/>
        <v>0.4720299984161378</v>
      </c>
    </row>
    <row r="57" spans="1:10">
      <c r="A57" s="75" t="str">
        <f>A13</f>
        <v>Do nothing</v>
      </c>
      <c r="B57" s="57">
        <v>5</v>
      </c>
      <c r="C57" s="345">
        <f t="shared" ref="C57:I57" si="11">(C13*C$48)+(C25*C$49)+(C39*C$50)</f>
        <v>0</v>
      </c>
      <c r="D57" s="233">
        <f t="shared" si="11"/>
        <v>0</v>
      </c>
      <c r="E57" s="233">
        <f t="shared" si="11"/>
        <v>0</v>
      </c>
      <c r="F57" s="233">
        <f t="shared" si="11"/>
        <v>0</v>
      </c>
      <c r="G57" s="233">
        <f t="shared" si="11"/>
        <v>0</v>
      </c>
      <c r="H57" s="233">
        <f t="shared" si="11"/>
        <v>0</v>
      </c>
      <c r="I57" s="266">
        <f t="shared" si="11"/>
        <v>0</v>
      </c>
    </row>
    <row r="58" spans="1:10">
      <c r="A58" s="75" t="str">
        <f t="shared" ref="A58:A60" si="12">A14</f>
        <v>Spare 1</v>
      </c>
      <c r="B58" s="57">
        <v>6</v>
      </c>
      <c r="C58" s="345">
        <f t="shared" ref="C58:I58" si="13">(C14*C$48)+(C26*C$49)+(C40*C$50)</f>
        <v>0</v>
      </c>
      <c r="D58" s="233">
        <f t="shared" si="13"/>
        <v>0</v>
      </c>
      <c r="E58" s="233">
        <f t="shared" si="13"/>
        <v>0</v>
      </c>
      <c r="F58" s="233">
        <f t="shared" si="13"/>
        <v>0</v>
      </c>
      <c r="G58" s="233">
        <f t="shared" si="13"/>
        <v>0</v>
      </c>
      <c r="H58" s="233">
        <f t="shared" si="13"/>
        <v>0</v>
      </c>
      <c r="I58" s="266">
        <f t="shared" si="13"/>
        <v>0</v>
      </c>
    </row>
    <row r="59" spans="1:10">
      <c r="A59" s="75" t="str">
        <f t="shared" si="12"/>
        <v>Spare 2</v>
      </c>
      <c r="B59" s="57">
        <v>7</v>
      </c>
      <c r="C59" s="345">
        <f t="shared" ref="C59:I59" si="14">(C15*C$48)+(C27*C$49)+(C41*C$50)</f>
        <v>0</v>
      </c>
      <c r="D59" s="233">
        <f t="shared" si="14"/>
        <v>0</v>
      </c>
      <c r="E59" s="233">
        <f t="shared" si="14"/>
        <v>0</v>
      </c>
      <c r="F59" s="233">
        <f t="shared" si="14"/>
        <v>0</v>
      </c>
      <c r="G59" s="233">
        <f t="shared" si="14"/>
        <v>0</v>
      </c>
      <c r="H59" s="233">
        <f t="shared" si="14"/>
        <v>0</v>
      </c>
      <c r="I59" s="266">
        <f t="shared" si="14"/>
        <v>0</v>
      </c>
    </row>
    <row r="60" spans="1:10" ht="13.8" thickBot="1">
      <c r="A60" s="77" t="str">
        <f t="shared" si="12"/>
        <v>Spare 3</v>
      </c>
      <c r="B60" s="395">
        <v>8</v>
      </c>
      <c r="C60" s="392">
        <f t="shared" ref="C60:I60" si="15">(C16*C$48)+(C28*C$49)+(C42*C$50)</f>
        <v>0</v>
      </c>
      <c r="D60" s="393">
        <f t="shared" si="15"/>
        <v>0</v>
      </c>
      <c r="E60" s="393">
        <f t="shared" si="15"/>
        <v>0</v>
      </c>
      <c r="F60" s="393">
        <f t="shared" si="15"/>
        <v>0</v>
      </c>
      <c r="G60" s="393">
        <f t="shared" si="15"/>
        <v>0</v>
      </c>
      <c r="H60" s="393">
        <f t="shared" si="15"/>
        <v>0</v>
      </c>
      <c r="I60" s="639">
        <f t="shared" si="15"/>
        <v>0</v>
      </c>
    </row>
    <row r="61" spans="1:10">
      <c r="B61" s="279"/>
      <c r="C61" s="233"/>
      <c r="D61" s="233"/>
      <c r="E61" s="233"/>
      <c r="F61" s="233"/>
      <c r="G61" s="233"/>
      <c r="H61" s="233"/>
      <c r="I61" s="233"/>
    </row>
    <row r="62" spans="1:10">
      <c r="B62" s="279"/>
      <c r="C62" s="233"/>
      <c r="D62" s="233"/>
      <c r="E62" s="233"/>
      <c r="F62" s="233"/>
      <c r="G62" s="233"/>
      <c r="H62" s="233"/>
      <c r="I62" s="233"/>
    </row>
    <row r="63" spans="1:10">
      <c r="A63" s="14" t="s">
        <v>362</v>
      </c>
      <c r="B63" s="15"/>
      <c r="C63" s="17"/>
      <c r="D63" s="15"/>
      <c r="E63" s="16"/>
      <c r="F63" s="14"/>
      <c r="G63" s="15"/>
      <c r="H63" s="15"/>
      <c r="I63" s="15"/>
      <c r="J63" s="15"/>
    </row>
    <row r="64" spans="1:10">
      <c r="B64" s="279"/>
      <c r="C64" s="233"/>
      <c r="D64" s="233"/>
      <c r="E64" s="233"/>
      <c r="F64" s="233"/>
      <c r="G64" s="233"/>
      <c r="H64" s="233"/>
      <c r="I64" s="233"/>
    </row>
    <row r="65" spans="2:15" hidden="1">
      <c r="B65" s="279"/>
      <c r="C65" s="233"/>
      <c r="D65" s="233"/>
      <c r="E65" s="233"/>
      <c r="F65" s="233"/>
      <c r="G65" s="233"/>
      <c r="H65" s="233"/>
      <c r="I65" s="233"/>
    </row>
    <row r="66" spans="2:15" hidden="1">
      <c r="B66" s="279"/>
      <c r="C66" s="233"/>
      <c r="D66" s="233"/>
      <c r="E66" s="233"/>
      <c r="F66" s="233"/>
      <c r="G66" s="233"/>
      <c r="H66" s="233"/>
      <c r="I66" s="233"/>
    </row>
    <row r="67" spans="2:15" hidden="1">
      <c r="B67" s="682"/>
      <c r="C67" s="221"/>
      <c r="D67" s="221"/>
      <c r="E67" s="221"/>
      <c r="F67" s="221"/>
      <c r="G67" s="221"/>
      <c r="H67" s="221"/>
      <c r="I67" s="221"/>
    </row>
    <row r="68" spans="2:15" hidden="1">
      <c r="C68" s="221"/>
      <c r="D68" s="221"/>
      <c r="E68" s="221"/>
      <c r="F68" s="221"/>
      <c r="G68" s="221"/>
      <c r="H68" s="221"/>
      <c r="I68" s="221"/>
    </row>
    <row r="69" spans="2:15" hidden="1">
      <c r="B69" s="10"/>
      <c r="K69" s="220"/>
      <c r="L69" s="220"/>
      <c r="M69" s="220"/>
      <c r="N69" s="220"/>
      <c r="O69" s="220"/>
    </row>
    <row r="70" spans="2:15" hidden="1">
      <c r="B70" s="10"/>
    </row>
    <row r="71" spans="2:15" hidden="1">
      <c r="B71" s="10"/>
    </row>
    <row r="72" spans="2:15" hidden="1">
      <c r="B72" s="10"/>
    </row>
    <row r="73" spans="2:15" hidden="1">
      <c r="B73" s="10"/>
      <c r="C73" s="84"/>
      <c r="D73" s="84"/>
      <c r="E73" s="84"/>
      <c r="F73" s="84"/>
      <c r="G73" s="84"/>
      <c r="H73" s="84"/>
      <c r="I73" s="84"/>
    </row>
    <row r="74" spans="2:15" hidden="1">
      <c r="B74" s="10"/>
      <c r="C74" s="84"/>
      <c r="D74" s="84"/>
      <c r="E74" s="84"/>
      <c r="F74" s="84"/>
      <c r="G74" s="84"/>
      <c r="H74" s="84"/>
    </row>
  </sheetData>
  <conditionalFormatting sqref="D92:I99">
    <cfRule type="colorScale" priority="10">
      <colorScale>
        <cfvo type="min"/>
        <cfvo type="percentile" val="50"/>
        <cfvo type="max"/>
        <color rgb="FF63BE7B"/>
        <color rgb="FFFFEB84"/>
        <color rgb="FFF8696B"/>
      </colorScale>
    </cfRule>
  </conditionalFormatting>
  <conditionalFormatting sqref="C235:J240">
    <cfRule type="colorScale" priority="9">
      <colorScale>
        <cfvo type="min"/>
        <cfvo type="percentile" val="50"/>
        <cfvo type="max"/>
        <color rgb="FFF8696B"/>
        <color rgb="FFFFEB84"/>
        <color rgb="FF63BE7B"/>
      </colorScale>
    </cfRule>
  </conditionalFormatting>
  <conditionalFormatting sqref="C247:J252">
    <cfRule type="colorScale" priority="7">
      <colorScale>
        <cfvo type="min"/>
        <cfvo type="percentile" val="50"/>
        <cfvo type="max"/>
        <color rgb="FFF8696B"/>
        <color rgb="FFFFEB84"/>
        <color rgb="FF63BE7B"/>
      </colorScale>
    </cfRule>
  </conditionalFormatting>
  <conditionalFormatting sqref="C211:J219">
    <cfRule type="colorScale" priority="6">
      <colorScale>
        <cfvo type="min"/>
        <cfvo type="percentile" val="50"/>
        <cfvo type="max"/>
        <color rgb="FFF8696B"/>
        <color rgb="FFFFEB84"/>
        <color rgb="FF63BE7B"/>
      </colorScale>
    </cfRule>
  </conditionalFormatting>
  <conditionalFormatting sqref="C259:J264">
    <cfRule type="colorScale" priority="5">
      <colorScale>
        <cfvo type="min"/>
        <cfvo type="percentile" val="50"/>
        <cfvo type="max"/>
        <color rgb="FFF8696B"/>
        <color rgb="FFFFEB84"/>
        <color rgb="FF63BE7B"/>
      </colorScale>
    </cfRule>
  </conditionalFormatting>
  <conditionalFormatting sqref="C267:J269">
    <cfRule type="colorScale" priority="4">
      <colorScale>
        <cfvo type="min"/>
        <cfvo type="percentile" val="50"/>
        <cfvo type="max"/>
        <color rgb="FFF8696B"/>
        <color rgb="FFFFEB84"/>
        <color rgb="FF63BE7B"/>
      </colorScale>
    </cfRule>
  </conditionalFormatting>
  <conditionalFormatting sqref="C365:J369">
    <cfRule type="colorScale" priority="3">
      <colorScale>
        <cfvo type="min"/>
        <cfvo type="percentile" val="50"/>
        <cfvo type="max"/>
        <color rgb="FF63BE7B"/>
        <color rgb="FFFFEB84"/>
        <color rgb="FFF8696B"/>
      </colorScale>
    </cfRule>
  </conditionalFormatting>
  <conditionalFormatting sqref="C279:J284">
    <cfRule type="colorScale" priority="2">
      <colorScale>
        <cfvo type="min"/>
        <cfvo type="percentile" val="50"/>
        <cfvo type="max"/>
        <color rgb="FFF8696B"/>
        <color rgb="FFFFEB84"/>
        <color rgb="FF63BE7B"/>
      </colorScale>
    </cfRule>
  </conditionalFormatting>
  <conditionalFormatting sqref="C293:J29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C32" xr:uid="{3A3944CC-A649-456D-A056-9631250E0759}">
      <formula1>"110, 220"</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3531-835A-4898-9CC7-21E68D91D2A0}">
  <sheetPr codeName="Sheet17">
    <tabColor theme="3"/>
  </sheetPr>
  <dimension ref="A1"/>
  <sheetViews>
    <sheetView showGridLines="0" workbookViewId="0"/>
  </sheetViews>
  <sheetFormatPr defaultRowHeight="14.4"/>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FA250-BF79-4C8C-8FF4-267DF60F1990}">
  <sheetPr>
    <tabColor theme="9"/>
  </sheetPr>
  <dimension ref="A1:Q34"/>
  <sheetViews>
    <sheetView showGridLines="0" zoomScale="70" zoomScaleNormal="70" workbookViewId="0"/>
  </sheetViews>
  <sheetFormatPr defaultColWidth="0" defaultRowHeight="14.4" zeroHeight="1"/>
  <cols>
    <col min="1" max="1" width="4.5546875" customWidth="1"/>
    <col min="2" max="2" width="27" customWidth="1"/>
    <col min="3" max="3" width="10.88671875" bestFit="1" customWidth="1"/>
    <col min="4" max="4" width="8.6640625" customWidth="1"/>
    <col min="5" max="5" width="9.109375" bestFit="1" customWidth="1"/>
    <col min="6" max="6" width="8.5546875" customWidth="1"/>
    <col min="7" max="18" width="8.6640625" customWidth="1"/>
  </cols>
  <sheetData>
    <row r="1" spans="1:17" ht="17.399999999999999">
      <c r="A1" s="43" t="s">
        <v>43</v>
      </c>
    </row>
    <row r="2" spans="1:17"/>
    <row r="3" spans="1:17"/>
    <row r="4" spans="1:17">
      <c r="B4" s="453" t="s">
        <v>449</v>
      </c>
      <c r="C4" s="454"/>
      <c r="D4" s="93"/>
      <c r="E4" s="455"/>
      <c r="F4" s="455"/>
      <c r="G4" s="455"/>
      <c r="H4" s="455"/>
      <c r="I4" s="455"/>
      <c r="J4" s="455"/>
      <c r="K4" s="455"/>
      <c r="L4" s="455"/>
      <c r="M4" s="455"/>
      <c r="N4" s="455"/>
      <c r="O4" s="455"/>
      <c r="P4" s="455"/>
      <c r="Q4" s="455"/>
    </row>
    <row r="5" spans="1:17">
      <c r="B5" s="745"/>
      <c r="C5" s="746"/>
      <c r="D5" s="107"/>
    </row>
    <row r="6" spans="1:17">
      <c r="B6" s="748" t="s">
        <v>450</v>
      </c>
      <c r="C6" s="747"/>
      <c r="D6" s="10"/>
    </row>
    <row r="7" spans="1:17"/>
    <row r="8" spans="1:17">
      <c r="B8" s="341" t="s">
        <v>451</v>
      </c>
      <c r="C8" s="341">
        <v>0</v>
      </c>
      <c r="D8" s="341">
        <f>C8+1</f>
        <v>1</v>
      </c>
      <c r="E8" s="341">
        <f>D8+1</f>
        <v>2</v>
      </c>
      <c r="F8" s="341">
        <f>E8+1</f>
        <v>3</v>
      </c>
      <c r="G8" s="341">
        <f>F8+1</f>
        <v>4</v>
      </c>
      <c r="H8" s="341">
        <f>G8+1</f>
        <v>5</v>
      </c>
    </row>
    <row r="9" spans="1:17" ht="15" thickBot="1">
      <c r="C9" s="28">
        <v>2023</v>
      </c>
      <c r="D9" s="28">
        <v>2024</v>
      </c>
      <c r="E9" s="28">
        <v>2025</v>
      </c>
      <c r="F9" s="28">
        <v>2026</v>
      </c>
      <c r="G9" s="28">
        <v>2027</v>
      </c>
      <c r="H9" s="28">
        <v>2028</v>
      </c>
      <c r="I9" s="463" t="s">
        <v>452</v>
      </c>
      <c r="J9" s="463" t="s">
        <v>453</v>
      </c>
      <c r="K9" s="308"/>
    </row>
    <row r="10" spans="1:17">
      <c r="B10" s="466" t="s">
        <v>420</v>
      </c>
      <c r="C10" s="467">
        <f>E25</f>
        <v>0.75269980636994116</v>
      </c>
      <c r="D10" s="620">
        <f>IF(D$8&lt;=$C$16,C10*(1+$J10),C10*(1+$J10)^$C$18)</f>
        <v>0.73346463112055171</v>
      </c>
      <c r="E10" s="620">
        <f t="shared" ref="D10:H13" si="0">IF(E$8&lt;=$C$16,D10*(1+$J10),D10*(1+$J10)^$C$18)</f>
        <v>0.71472100902919888</v>
      </c>
      <c r="F10" s="620">
        <f t="shared" si="0"/>
        <v>0.67865849894566399</v>
      </c>
      <c r="G10" s="620">
        <f t="shared" si="0"/>
        <v>0.64441558646328478</v>
      </c>
      <c r="H10" s="620">
        <f t="shared" si="0"/>
        <v>0.61190046057327496</v>
      </c>
      <c r="I10" s="468">
        <f>'Central Inputs'!$C$32</f>
        <v>0.61190046057327496</v>
      </c>
      <c r="J10" s="469">
        <f>($I10/$C10)^(1/$C$19)-1</f>
        <v>-2.5554909256792935E-2</v>
      </c>
    </row>
    <row r="11" spans="1:17">
      <c r="B11" s="8" t="s">
        <v>422</v>
      </c>
      <c r="C11" s="464">
        <f t="shared" ref="C11:C13" si="1">E26</f>
        <v>0.7935589063906342</v>
      </c>
      <c r="D11" s="307">
        <f t="shared" si="0"/>
        <v>0.73659502795672027</v>
      </c>
      <c r="E11" s="307">
        <f t="shared" si="0"/>
        <v>0.68372017608416469</v>
      </c>
      <c r="F11" s="307">
        <f t="shared" si="0"/>
        <v>0.58908453477106415</v>
      </c>
      <c r="G11" s="307">
        <f t="shared" si="0"/>
        <v>0.50754767994987982</v>
      </c>
      <c r="H11" s="307">
        <f t="shared" si="0"/>
        <v>0.43729657157375296</v>
      </c>
      <c r="I11" s="465">
        <f>'Central Inputs'!$C$33</f>
        <v>0.43729657157375285</v>
      </c>
      <c r="J11">
        <f>($I11/$C11)^(1/$C$19)-1</f>
        <v>-7.1782797691735678E-2</v>
      </c>
    </row>
    <row r="12" spans="1:17">
      <c r="B12" s="8" t="s">
        <v>423</v>
      </c>
      <c r="C12" s="464">
        <f t="shared" si="1"/>
        <v>0.8653272143179267</v>
      </c>
      <c r="D12" s="307">
        <f t="shared" si="0"/>
        <v>0.81630099329019024</v>
      </c>
      <c r="E12" s="307">
        <f t="shared" si="0"/>
        <v>0.7700524155729731</v>
      </c>
      <c r="F12" s="307">
        <f t="shared" si="0"/>
        <v>0.68526762237239192</v>
      </c>
      <c r="G12" s="307">
        <f t="shared" si="0"/>
        <v>0.60981785755778961</v>
      </c>
      <c r="H12" s="307">
        <f t="shared" si="0"/>
        <v>0.54267530998901425</v>
      </c>
      <c r="I12" s="465">
        <f>'Central Inputs'!$C$34</f>
        <v>0.54267530998901414</v>
      </c>
      <c r="J12">
        <f>($I12/$C12)^(1/$C$19)-1</f>
        <v>-5.6656280094438238E-2</v>
      </c>
    </row>
    <row r="13" spans="1:17" ht="15" thickBot="1">
      <c r="B13" s="470" t="s">
        <v>424</v>
      </c>
      <c r="C13" s="471">
        <f t="shared" si="1"/>
        <v>0.99907109476106826</v>
      </c>
      <c r="D13" s="595">
        <f t="shared" si="0"/>
        <v>0.97097030600816714</v>
      </c>
      <c r="E13" s="595">
        <f t="shared" si="0"/>
        <v>0.94365990577984249</v>
      </c>
      <c r="F13" s="595">
        <f t="shared" si="0"/>
        <v>0.89132197142525305</v>
      </c>
      <c r="G13" s="595">
        <f t="shared" si="0"/>
        <v>0.84188684067154518</v>
      </c>
      <c r="H13" s="595">
        <f t="shared" si="0"/>
        <v>0.79519351616853307</v>
      </c>
      <c r="I13" s="472">
        <f>'Central Inputs'!C35</f>
        <v>0.79519351616853262</v>
      </c>
      <c r="J13" s="473">
        <f>($I13/$C13)^(1/$C$19)-1</f>
        <v>-2.8126915992521595E-2</v>
      </c>
    </row>
    <row r="14" spans="1:17"/>
    <row r="15" spans="1:17" ht="15" thickBot="1"/>
    <row r="16" spans="1:17">
      <c r="B16" s="466" t="s">
        <v>454</v>
      </c>
      <c r="C16" s="475">
        <v>2</v>
      </c>
    </row>
    <row r="17" spans="2:17">
      <c r="B17" s="8" t="s">
        <v>455</v>
      </c>
      <c r="C17" s="474">
        <v>3</v>
      </c>
      <c r="E17" s="308" t="s">
        <v>456</v>
      </c>
      <c r="F17" s="308" t="s">
        <v>457</v>
      </c>
      <c r="G17" s="308"/>
      <c r="H17" s="308"/>
      <c r="I17" s="308"/>
      <c r="J17" s="308"/>
      <c r="K17" s="308"/>
      <c r="L17" s="308"/>
    </row>
    <row r="18" spans="2:17">
      <c r="B18" s="8" t="s">
        <v>458</v>
      </c>
      <c r="C18" s="474">
        <v>2</v>
      </c>
    </row>
    <row r="19" spans="2:17" ht="15" thickBot="1">
      <c r="B19" s="470" t="s">
        <v>459</v>
      </c>
      <c r="C19" s="476">
        <f>$C$16+($C$17*$C$18)</f>
        <v>8</v>
      </c>
    </row>
    <row r="20" spans="2:17"/>
    <row r="21" spans="2:17"/>
    <row r="22" spans="2:17">
      <c r="B22" s="453" t="s">
        <v>460</v>
      </c>
      <c r="C22" s="453"/>
      <c r="D22" s="453"/>
      <c r="E22" s="453"/>
      <c r="F22" s="453"/>
      <c r="G22" s="453"/>
      <c r="H22" s="453"/>
      <c r="I22" s="453"/>
      <c r="J22" s="453"/>
      <c r="K22" s="453"/>
      <c r="L22" s="453"/>
      <c r="M22" s="453"/>
      <c r="N22" s="453"/>
      <c r="O22" s="453"/>
      <c r="P22" s="453"/>
      <c r="Q22" s="453"/>
    </row>
    <row r="23" spans="2:17"/>
    <row r="24" spans="2:17" ht="15" thickBot="1">
      <c r="B24" s="2" t="s">
        <v>461</v>
      </c>
      <c r="C24" s="2" t="s">
        <v>462</v>
      </c>
      <c r="E24" s="8"/>
    </row>
    <row r="25" spans="2:17">
      <c r="B25" s="469" t="s">
        <v>463</v>
      </c>
      <c r="C25" s="469" t="s">
        <v>179</v>
      </c>
      <c r="D25" s="469"/>
      <c r="E25" s="466">
        <v>0.75269980636994116</v>
      </c>
      <c r="K25" s="8"/>
    </row>
    <row r="26" spans="2:17">
      <c r="B26" t="s">
        <v>463</v>
      </c>
      <c r="C26" t="s">
        <v>189</v>
      </c>
      <c r="E26" s="8">
        <v>0.7935589063906342</v>
      </c>
      <c r="K26" s="8"/>
    </row>
    <row r="27" spans="2:17">
      <c r="B27" t="s">
        <v>463</v>
      </c>
      <c r="C27" t="s">
        <v>190</v>
      </c>
      <c r="E27" s="8">
        <v>0.8653272143179267</v>
      </c>
      <c r="K27" s="8"/>
    </row>
    <row r="28" spans="2:17" ht="15" thickBot="1">
      <c r="B28" s="473" t="s">
        <v>463</v>
      </c>
      <c r="C28" s="473" t="s">
        <v>345</v>
      </c>
      <c r="D28" s="473"/>
      <c r="E28" s="470">
        <v>0.99907109476106826</v>
      </c>
      <c r="K28" s="8"/>
    </row>
    <row r="29" spans="2:17"/>
    <row r="30" spans="2:17"/>
    <row r="31" spans="2:17">
      <c r="B31" s="226" t="s">
        <v>10</v>
      </c>
      <c r="C31" s="15"/>
      <c r="D31" s="17"/>
      <c r="E31" s="15"/>
      <c r="F31" s="16"/>
      <c r="G31" s="14"/>
      <c r="H31" s="15"/>
      <c r="I31" s="15"/>
      <c r="J31" s="15"/>
      <c r="K31" s="15"/>
      <c r="L31" s="15"/>
      <c r="M31" s="226"/>
      <c r="N31" s="15"/>
      <c r="O31" s="17"/>
      <c r="P31" s="15"/>
      <c r="Q31" s="16"/>
    </row>
    <row r="32" spans="2:17"/>
    <row r="33"/>
    <row r="34"/>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7F87-464A-4405-9C2F-B4EFFA3CD4DA}">
  <sheetPr codeName="Sheet4">
    <tabColor theme="9"/>
  </sheetPr>
  <dimension ref="A1:AC99"/>
  <sheetViews>
    <sheetView showGridLines="0" zoomScale="63" zoomScaleNormal="100" workbookViewId="0"/>
  </sheetViews>
  <sheetFormatPr defaultColWidth="0" defaultRowHeight="13.2" zeroHeight="1"/>
  <cols>
    <col min="1" max="1" width="13.6640625" style="10" customWidth="1"/>
    <col min="2" max="2" width="35.6640625" style="10" customWidth="1"/>
    <col min="3" max="3" width="12.5546875" style="10" bestFit="1" customWidth="1"/>
    <col min="4" max="5" width="9.33203125" style="10" bestFit="1" customWidth="1"/>
    <col min="6" max="8" width="10.33203125" style="10" bestFit="1" customWidth="1"/>
    <col min="9" max="9" width="9" style="10" customWidth="1"/>
    <col min="10" max="10" width="20.33203125" style="10" customWidth="1"/>
    <col min="11" max="11" width="9" style="10" customWidth="1"/>
    <col min="12" max="12" width="16.5546875" style="10" customWidth="1"/>
    <col min="13" max="15" width="9" style="10" customWidth="1"/>
    <col min="16" max="16" width="17.33203125" style="10" customWidth="1"/>
    <col min="17" max="17" width="9" style="10" customWidth="1"/>
    <col min="18" max="18" width="13.5546875" style="10" customWidth="1"/>
    <col min="19" max="24" width="10" style="10" bestFit="1" customWidth="1"/>
    <col min="25" max="29" width="9" style="10" customWidth="1"/>
    <col min="30" max="16384" width="9" style="10" hidden="1"/>
  </cols>
  <sheetData>
    <row r="1" spans="1:29" ht="17.399999999999999">
      <c r="A1" s="43" t="s">
        <v>464</v>
      </c>
    </row>
    <row r="2" spans="1:29"/>
    <row r="3" spans="1:29">
      <c r="B3" s="103" t="s">
        <v>465</v>
      </c>
    </row>
    <row r="4" spans="1:29"/>
    <row r="5" spans="1:29">
      <c r="B5" s="46" t="s">
        <v>466</v>
      </c>
      <c r="C5" s="46"/>
      <c r="D5" s="46"/>
      <c r="E5" s="46"/>
      <c r="F5" s="46"/>
      <c r="G5" s="46"/>
      <c r="H5" s="46"/>
      <c r="I5" s="46"/>
      <c r="J5" s="46"/>
      <c r="K5" s="46"/>
      <c r="L5" s="46"/>
      <c r="M5" s="46"/>
      <c r="N5" s="46"/>
      <c r="O5" s="46"/>
      <c r="P5" s="46"/>
      <c r="Q5" s="46"/>
      <c r="R5" s="46"/>
      <c r="S5" s="46"/>
      <c r="T5" s="46"/>
      <c r="U5" s="46"/>
      <c r="V5" s="46"/>
      <c r="W5" s="46"/>
      <c r="X5" s="46"/>
      <c r="Y5" s="46"/>
      <c r="Z5" s="46"/>
      <c r="AA5" s="46"/>
      <c r="AB5" s="46"/>
      <c r="AC5" s="46"/>
    </row>
    <row r="6" spans="1:29" ht="13.8" thickBot="1"/>
    <row r="7" spans="1:29">
      <c r="B7" s="134" t="s">
        <v>467</v>
      </c>
      <c r="C7" s="886">
        <f>'Consolidated Model'!$G$337</f>
        <v>1</v>
      </c>
      <c r="D7" s="883"/>
      <c r="E7" s="883"/>
      <c r="F7" s="883"/>
      <c r="G7" s="883"/>
      <c r="H7" s="884"/>
    </row>
    <row r="8" spans="1:29">
      <c r="B8" s="135" t="s">
        <v>405</v>
      </c>
      <c r="C8" s="244">
        <v>2023</v>
      </c>
      <c r="D8" s="786">
        <v>2024</v>
      </c>
      <c r="E8" s="317">
        <v>2025</v>
      </c>
      <c r="F8" s="317">
        <v>2026</v>
      </c>
      <c r="G8" s="317">
        <v>2027</v>
      </c>
      <c r="H8" s="245">
        <v>2028</v>
      </c>
      <c r="I8" s="27"/>
    </row>
    <row r="9" spans="1:29">
      <c r="B9" s="162" t="s">
        <v>468</v>
      </c>
      <c r="C9" s="239">
        <v>0</v>
      </c>
      <c r="D9" s="829">
        <v>0</v>
      </c>
      <c r="E9" s="829">
        <v>0</v>
      </c>
      <c r="F9" s="829">
        <v>0</v>
      </c>
      <c r="G9" s="829">
        <v>0</v>
      </c>
      <c r="H9" s="640">
        <v>0</v>
      </c>
      <c r="I9" s="240"/>
    </row>
    <row r="10" spans="1:29">
      <c r="B10" s="162" t="s">
        <v>469</v>
      </c>
      <c r="C10" s="239">
        <v>0</v>
      </c>
      <c r="D10" s="240">
        <v>0</v>
      </c>
      <c r="E10" s="240">
        <v>0</v>
      </c>
      <c r="F10" s="240">
        <v>0</v>
      </c>
      <c r="G10" s="240">
        <v>0</v>
      </c>
      <c r="H10" s="241">
        <v>0</v>
      </c>
      <c r="I10" s="240"/>
    </row>
    <row r="11" spans="1:29" ht="14.4">
      <c r="B11" s="138" t="s">
        <v>470</v>
      </c>
      <c r="C11" s="242" cm="1">
        <f t="array" ref="C11">IFERROR(_xlfn.IFS(AND(C9&lt;&gt;0,C10&lt;&gt;0),0,AND(C9=0,C10&lt;&gt;0),1-($H38-C$27)/($H38-$H37),AND(C9=0,C10=0),(_xlfn.IFS(($H39-C$27)/($H39-$H38)&lt;0,0,($H39-C$27)/($H39-$H38)&gt;1,0,AND(($H39-C$27)/($H39-$H38)&gt;=0,($H39-C$27)/($H39-$H38)&lt;=1),($H39-C$27)/($H39-$H38)))),0)</f>
        <v>0</v>
      </c>
      <c r="D11" s="242" cm="1">
        <f t="array" ref="D11">IFERROR(_xlfn.IFS(AND(D9&lt;&gt;0,D10&lt;&gt;0),0,AND(D9=0,D10&lt;&gt;0),1-($H38-D$27)/($H38-$H37),AND(D9=0,D10=0),(_xlfn.IFS(($H39-D$27)/($H39-$H38)&lt;0,0,($H39-D$27)/($H39-$H38)&gt;1,0,AND(($H39-D$27)/($H39-$H38)&gt;=0,($H39-D$27)/($H39-$H38)&lt;=1),($H39-D$27)/($H39-$H38)))),0)</f>
        <v>0</v>
      </c>
      <c r="E11" s="242" cm="1">
        <f t="array" ref="E11">IFERROR(_xlfn.IFS(AND(E9&lt;&gt;0,E10&lt;&gt;0),0,AND(E9=0,E10&lt;&gt;0),1-($H38-E$27)/($H38-$H37),AND(E9=0,E10=0),(_xlfn.IFS(($H39-E$27)/($H39-$H38)&lt;0,0,($H39-E$27)/($H39-$H38)&gt;1,0,AND(($H39-E$27)/($H39-$H38)&gt;=0,($H39-E$27)/($H39-$H38)&lt;=1),($H39-E$27)/($H39-$H38)))),0)</f>
        <v>0</v>
      </c>
      <c r="F11" s="242" cm="1">
        <f t="array" ref="F11">IFERROR(_xlfn.IFS(AND(F9&lt;&gt;0,F10&lt;&gt;0),0,AND(F9=0,F10&lt;&gt;0),1-($H38-F$27)/($H38-$H37),AND(F9=0,F10=0),(_xlfn.IFS(($H39-F$27)/($H39-$H38)&lt;0,0,($H39-F$27)/($H39-$H38)&gt;1,0,AND(($H39-F$27)/($H39-$H38)&gt;=0,($H39-F$27)/($H39-$H38)&lt;=1),($H39-F$27)/($H39-$H38)))),0)</f>
        <v>0</v>
      </c>
      <c r="G11" s="242" cm="1">
        <f t="array" ref="G11">IFERROR(_xlfn.IFS(AND(G9&lt;&gt;0,G10&lt;&gt;0),0,AND(G9=0,G10&lt;&gt;0),1-($H38-G$27)/($H38-$H37),AND(G9=0,G10=0),(_xlfn.IFS(($H39-G$27)/($H39-$H38)&lt;0,0,($H39-G$27)/($H39-$H38)&gt;1,0,AND(($H39-G$27)/($H39-$H38)&gt;=0,($H39-G$27)/($H39-$H38)&lt;=1),($H39-G$27)/($H39-$H38)))),0)</f>
        <v>0</v>
      </c>
      <c r="H11" s="243" cm="1">
        <f t="array" ref="H11">IFERROR(_xlfn.IFS(AND(H9&lt;&gt;0,H10&lt;&gt;0),0,AND(H9=0,H10&lt;&gt;0),1-($H38-H$27)/($H38-$H37),AND(H9=0,H10=0),(_xlfn.IFS(($H39-H$27)/($H39-$H38)&lt;0,0,($H39-H$27)/($H39-$H38)&gt;1,0,AND(($H39-H$27)/($H39-$H38)&gt;=0,($H39-H$27)/($H39-$H38)&lt;=1),($H39-H$27)/($H39-$H38)))),0)</f>
        <v>0</v>
      </c>
      <c r="I11" s="242"/>
      <c r="K11"/>
      <c r="L11"/>
      <c r="N11"/>
      <c r="O11"/>
      <c r="P11"/>
      <c r="Q11"/>
      <c r="R11"/>
      <c r="S11"/>
      <c r="T11"/>
      <c r="U11"/>
      <c r="V11"/>
      <c r="W11"/>
      <c r="X11"/>
      <c r="Y11"/>
    </row>
    <row r="12" spans="1:29" ht="14.4">
      <c r="B12" s="138" t="s">
        <v>471</v>
      </c>
      <c r="C12" s="242" cm="1">
        <f t="array" ref="C12">IFERROR(_xlfn.IFS(AND(C10&lt;&gt;0,C11&lt;&gt;0),0,AND(C10=0,C11&lt;&gt;0),1-($H39-C$27)/($H39-$H38),AND(C10=0,C11=0),(_xlfn.IFS(($H40-C$27)/($H40-$H39)&lt;0,0,($H40-C$27)/($H40-$H39)&gt;1,0,AND(($H40-C$27)/($H40-$H39)&gt;=0,($H40-C$27)/($H40-$H39)&lt;=1),($H40-C$27)/($H40-$H39)))),0)</f>
        <v>0</v>
      </c>
      <c r="D12" s="242" cm="1">
        <f t="array" ref="D12">IFERROR(_xlfn.IFS(AND(D10&lt;&gt;0,D11&lt;&gt;0),0,AND(D10=0,D11&lt;&gt;0),1-($H39-D$27)/($H39-$H38),AND(D10=0,D11=0),(_xlfn.IFS(($H40-D$27)/($H40-$H39)&lt;0,0,($H40-D$27)/($H40-$H39)&gt;1,0,AND(($H40-D$27)/($H40-$H39)&gt;=0,($H40-D$27)/($H40-$H39)&lt;=1),($H40-D$27)/($H40-$H39)))),0)</f>
        <v>0</v>
      </c>
      <c r="E12" s="242" cm="1">
        <f t="array" ref="E12">IFERROR(_xlfn.IFS(AND(E10&lt;&gt;0,E11&lt;&gt;0),0,AND(E10=0,E11&lt;&gt;0),1-($H39-E$27)/($H39-$H38),AND(E10=0,E11=0),(_xlfn.IFS(($H40-E$27)/($H40-$H39)&lt;0,0,($H40-E$27)/($H40-$H39)&gt;1,0,AND(($H40-E$27)/($H40-$H39)&gt;=0,($H40-E$27)/($H40-$H39)&lt;=1),($H40-E$27)/($H40-$H39)))),0)</f>
        <v>0</v>
      </c>
      <c r="F12" s="242" cm="1">
        <f t="array" ref="F12">IFERROR(_xlfn.IFS(AND(F10&lt;&gt;0,F11&lt;&gt;0),0,AND(F10=0,F11&lt;&gt;0),1-($H39-F$27)/($H39-$H38),AND(F10=0,F11=0),(_xlfn.IFS(($H40-F$27)/($H40-$H39)&lt;0,0,($H40-F$27)/($H40-$H39)&gt;1,0,AND(($H40-F$27)/($H40-$H39)&gt;=0,($H40-F$27)/($H40-$H39)&lt;=1),($H40-F$27)/($H40-$H39)))),0)</f>
        <v>0</v>
      </c>
      <c r="G12" s="242" cm="1">
        <f t="array" ref="G12">IFERROR(_xlfn.IFS(AND(G10&lt;&gt;0,G11&lt;&gt;0),0,AND(G10=0,G11&lt;&gt;0),1-($H39-G$27)/($H39-$H38),AND(G10=0,G11=0),(_xlfn.IFS(($H40-G$27)/($H40-$H39)&lt;0,0,($H40-G$27)/($H40-$H39)&gt;1,0,AND(($H40-G$27)/($H40-$H39)&gt;=0,($H40-G$27)/($H40-$H39)&lt;=1),($H40-G$27)/($H40-$H39)))),0)</f>
        <v>0</v>
      </c>
      <c r="H12" s="243" cm="1">
        <f t="array" ref="H12">IFERROR(_xlfn.IFS(AND(H10&lt;&gt;0,H11&lt;&gt;0),0,AND(H10=0,H11&lt;&gt;0),1-($H39-H$27)/($H39-$H38),AND(H10=0,H11=0),(_xlfn.IFS(($H40-H$27)/($H40-$H39)&lt;0,0,($H40-H$27)/($H40-$H39)&gt;1,0,AND(($H40-H$27)/($H40-$H39)&gt;=0,($H40-H$27)/($H40-$H39)&lt;=1),($H40-H$27)/($H40-$H39)))),0)</f>
        <v>0</v>
      </c>
      <c r="I12" s="242"/>
      <c r="K12"/>
      <c r="L12"/>
      <c r="N12"/>
      <c r="O12"/>
      <c r="P12"/>
      <c r="Q12"/>
      <c r="R12"/>
      <c r="S12"/>
      <c r="T12"/>
      <c r="U12"/>
      <c r="V12"/>
      <c r="W12"/>
      <c r="X12"/>
      <c r="Y12"/>
    </row>
    <row r="13" spans="1:29" ht="14.4">
      <c r="B13" s="138" t="s">
        <v>472</v>
      </c>
      <c r="C13" s="242" cm="1">
        <f t="array" ref="C13">IFERROR(_xlfn.IFS(AND(C11&lt;&gt;0,C12&lt;&gt;0),0,AND(C11=0,C12&lt;&gt;0),1-($H40-C$27)/($H40-$H39),AND(C11=0,C12=0),(_xlfn.IFS(($H41-C$27)/($H41-$H40)&lt;0,0,($H41-C$27)/($H41-$H40)&gt;1,0,AND(($H41-C$27)/($H41-$H40)&gt;=0,($H41-C$27)/($H41-$H40)&lt;=1),($H41-C$27)/($H41-$H40)))),0)</f>
        <v>0.80408524993590491</v>
      </c>
      <c r="D13" s="242" cm="1">
        <f t="array" ref="D13">IFERROR(_xlfn.IFS(AND(D11&lt;&gt;0,D12&lt;&gt;0),0,AND(D11=0,D12&lt;&gt;0),1-($H40-D$27)/($H40-$H39),AND(D11=0,D12=0),(_xlfn.IFS(($H41-D$27)/($H41-$H40)&lt;0,0,($H41-D$27)/($H41-$H40)&gt;1,0,AND(($H41-D$27)/($H41-$H40)&gt;=0,($H41-D$27)/($H41-$H40)&lt;=1),($H41-D$27)/($H41-$H40)))),0)</f>
        <v>0.95046806910984982</v>
      </c>
      <c r="E13" s="242" cm="1">
        <f t="array" ref="E13">IFERROR(_xlfn.IFS(AND(E11&lt;&gt;0,E12&lt;&gt;0),0,AND(E11=0,E12&lt;&gt;0),1-($H40-E$27)/($H40-$H39),AND(E11=0,E12=0),(_xlfn.IFS(($H41-E$27)/($H41-$H40)&lt;0,0,($H41-E$27)/($H41-$H40)&gt;1,0,AND(($H41-E$27)/($H41-$H40)&gt;=0,($H41-E$27)/($H41-$H40)&lt;=1),($H41-E$27)/($H41-$H40)))),0)</f>
        <v>0.95583905890294218</v>
      </c>
      <c r="F13" s="242" cm="1">
        <f t="array" ref="F13">IFERROR(_xlfn.IFS(AND(F11&lt;&gt;0,F12&lt;&gt;0),0,AND(F11=0,F12&lt;&gt;0),1-($H40-F$27)/($H40-$H39),AND(F11=0,F12=0),(_xlfn.IFS(($H41-F$27)/($H41-$H40)&lt;0,0,($H41-F$27)/($H41-$H40)&gt;1,0,AND(($H41-F$27)/($H41-$H40)&gt;=0,($H41-F$27)/($H41-$H40)&lt;=1),($H41-F$27)/($H41-$H40)))),0)</f>
        <v>0.95915294557269881</v>
      </c>
      <c r="G13" s="242" cm="1">
        <f t="array" ref="G13">IFERROR(_xlfn.IFS(AND(G11&lt;&gt;0,G12&lt;&gt;0),0,AND(G11=0,G12&lt;&gt;0),1-($H40-G$27)/($H40-$H39),AND(G11=0,G12=0),(_xlfn.IFS(($H41-G$27)/($H41-$H40)&lt;0,0,($H41-G$27)/($H41-$H40)&gt;1,0,AND(($H41-G$27)/($H41-$H40)&gt;=0,($H41-G$27)/($H41-$H40)&lt;=1),($H41-G$27)/($H41-$H40)))),0)</f>
        <v>0.95915294557269881</v>
      </c>
      <c r="H13" s="243" cm="1">
        <f t="array" ref="H13">IFERROR(_xlfn.IFS(AND(H11&lt;&gt;0,H12&lt;&gt;0),0,AND(H11=0,H12&lt;&gt;0),1-($H40-H$27)/($H40-$H39),AND(H11=0,H12=0),(_xlfn.IFS(($H41-H$27)/($H41-$H40)&lt;0,0,($H41-H$27)/($H41-$H40)&gt;1,0,AND(($H41-H$27)/($H41-$H40)&gt;=0,($H41-H$27)/($H41-$H40)&lt;=1),($H41-H$27)/($H41-$H40)))),0)</f>
        <v>0.95915294557269881</v>
      </c>
      <c r="I13" s="242"/>
      <c r="K13"/>
      <c r="L13"/>
      <c r="N13"/>
      <c r="O13"/>
      <c r="P13"/>
      <c r="Q13"/>
      <c r="R13"/>
      <c r="S13"/>
      <c r="T13"/>
      <c r="U13"/>
      <c r="V13"/>
      <c r="W13"/>
      <c r="X13"/>
      <c r="Y13"/>
    </row>
    <row r="14" spans="1:29" ht="15" thickBot="1">
      <c r="B14" s="139" t="s">
        <v>473</v>
      </c>
      <c r="C14" s="641" cm="1">
        <f t="array" ref="C14">IFERROR(_xlfn.IFS(AND(C12&lt;&gt;0,C13&lt;&gt;0),0,AND(C12=0,C13&lt;&gt;0),1-($H41-C$27)/($H41-$H40),AND(C12=0,C13=0),(_xlfn.IFS(($H42-C$27)/($H42-$H41)&lt;0,0,($H42-C$27)/($H42-$H41)&gt;1,0,AND(($H42-C$27)/($H42-$H41)&gt;=0,($H42-C$27)/($H42-$H41)&lt;=1),($H42-C$27)/($H42-$H41)))),0)</f>
        <v>0.19591475006409509</v>
      </c>
      <c r="D14" s="641" cm="1">
        <f t="array" ref="D14">IFERROR(_xlfn.IFS(AND(D12&lt;&gt;0,D13&lt;&gt;0),0,AND(D12=0,D13&lt;&gt;0),1-($H41-D$27)/($H41-$H40),AND(D12=0,D13=0),(_xlfn.IFS(($H42-D$27)/($H42-$H41)&lt;0,0,($H42-D$27)/($H42-$H41)&gt;1,0,AND(($H42-D$27)/($H42-$H41)&gt;=0,($H42-D$27)/($H42-$H41)&lt;=1),($H42-D$27)/($H42-$H41)))),0)</f>
        <v>4.9531930890150178E-2</v>
      </c>
      <c r="E14" s="641" cm="1">
        <f t="array" ref="E14">IFERROR(_xlfn.IFS(AND(E12&lt;&gt;0,E13&lt;&gt;0),0,AND(E12=0,E13&lt;&gt;0),1-($H41-E$27)/($H41-$H40),AND(E12=0,E13=0),(_xlfn.IFS(($H42-E$27)/($H42-$H41)&lt;0,0,($H42-E$27)/($H42-$H41)&gt;1,0,AND(($H42-E$27)/($H42-$H41)&gt;=0,($H42-E$27)/($H42-$H41)&lt;=1),($H42-E$27)/($H42-$H41)))),0)</f>
        <v>4.4160941097057815E-2</v>
      </c>
      <c r="F14" s="641" cm="1">
        <f t="array" ref="F14">IFERROR(_xlfn.IFS(AND(F12&lt;&gt;0,F13&lt;&gt;0),0,AND(F12=0,F13&lt;&gt;0),1-($H41-F$27)/($H41-$H40),AND(F12=0,F13=0),(_xlfn.IFS(($H42-F$27)/($H42-$H41)&lt;0,0,($H42-F$27)/($H42-$H41)&gt;1,0,AND(($H42-F$27)/($H42-$H41)&gt;=0,($H42-F$27)/($H42-$H41)&lt;=1),($H42-F$27)/($H42-$H41)))),0)</f>
        <v>4.0847054427301188E-2</v>
      </c>
      <c r="G14" s="641" cm="1">
        <f t="array" ref="G14">IFERROR(_xlfn.IFS(AND(G12&lt;&gt;0,G13&lt;&gt;0),0,AND(G12=0,G13&lt;&gt;0),1-($H41-G$27)/($H41-$H40),AND(G12=0,G13=0),(_xlfn.IFS(($H42-G$27)/($H42-$H41)&lt;0,0,($H42-G$27)/($H42-$H41)&gt;1,0,AND(($H42-G$27)/($H42-$H41)&gt;=0,($H42-G$27)/($H42-$H41)&lt;=1),($H42-G$27)/($H42-$H41)))),0)</f>
        <v>4.0847054427301188E-2</v>
      </c>
      <c r="H14" s="642" cm="1">
        <f t="array" ref="H14">IFERROR(_xlfn.IFS(AND(H12&lt;&gt;0,H13&lt;&gt;0),0,AND(H12=0,H13&lt;&gt;0),1-($H41-H$27)/($H41-$H40),AND(H12=0,H13=0),(_xlfn.IFS(($H42-H$27)/($H42-$H41)&lt;0,0,($H42-H$27)/($H42-$H41)&gt;1,0,AND(($H42-H$27)/($H42-$H41)&gt;=0,($H42-H$27)/($H42-$H41)&lt;=1),($H42-H$27)/($H42-$H41)))),0)</f>
        <v>4.0847054427301188E-2</v>
      </c>
      <c r="I14" s="242"/>
      <c r="K14"/>
      <c r="L14"/>
      <c r="N14"/>
      <c r="O14"/>
      <c r="P14"/>
      <c r="Q14"/>
      <c r="R14"/>
      <c r="S14"/>
      <c r="T14"/>
      <c r="U14"/>
      <c r="V14"/>
      <c r="W14"/>
      <c r="X14"/>
      <c r="Y14"/>
    </row>
    <row r="15" spans="1:29" ht="15" thickBot="1">
      <c r="K15"/>
      <c r="L15"/>
      <c r="M15"/>
      <c r="N15"/>
      <c r="O15"/>
      <c r="P15"/>
      <c r="Q15"/>
      <c r="R15"/>
      <c r="S15"/>
      <c r="T15"/>
      <c r="U15"/>
      <c r="V15"/>
      <c r="W15"/>
      <c r="X15"/>
      <c r="Y15"/>
    </row>
    <row r="16" spans="1:29" ht="14.4">
      <c r="B16" s="140" t="s">
        <v>467</v>
      </c>
      <c r="C16" s="883">
        <f>C7</f>
        <v>1</v>
      </c>
      <c r="D16" s="883"/>
      <c r="E16" s="883"/>
      <c r="F16" s="883"/>
      <c r="G16" s="883"/>
      <c r="H16" s="883"/>
      <c r="I16" s="884"/>
      <c r="K16"/>
      <c r="L16"/>
      <c r="M16"/>
      <c r="N16"/>
      <c r="O16"/>
      <c r="P16"/>
      <c r="Q16"/>
      <c r="R16"/>
      <c r="S16"/>
      <c r="T16"/>
      <c r="U16"/>
      <c r="V16"/>
      <c r="W16"/>
      <c r="X16"/>
      <c r="Y16"/>
    </row>
    <row r="17" spans="1:29" ht="14.4">
      <c r="B17" s="141" t="s">
        <v>405</v>
      </c>
      <c r="C17" s="317">
        <v>2023</v>
      </c>
      <c r="D17" s="317">
        <v>2024</v>
      </c>
      <c r="E17" s="317">
        <v>2025</v>
      </c>
      <c r="F17" s="317">
        <v>2026</v>
      </c>
      <c r="G17" s="317">
        <v>2027</v>
      </c>
      <c r="H17" s="317">
        <v>2028</v>
      </c>
      <c r="I17" s="142" t="s">
        <v>474</v>
      </c>
      <c r="K17"/>
      <c r="L17" s="27"/>
      <c r="M17" s="293"/>
      <c r="N17"/>
      <c r="O17"/>
      <c r="P17"/>
      <c r="Q17"/>
      <c r="R17"/>
      <c r="S17"/>
      <c r="T17"/>
      <c r="U17"/>
      <c r="V17"/>
      <c r="W17"/>
      <c r="X17"/>
      <c r="Y17"/>
    </row>
    <row r="18" spans="1:29" ht="14.4">
      <c r="A18" s="887" t="s">
        <v>475</v>
      </c>
      <c r="B18" s="143" t="s">
        <v>476</v>
      </c>
      <c r="C18" s="84">
        <f>INDEX($C$35:$C$42, MATCH(C48,$B$35:$B$42,0))</f>
        <v>18</v>
      </c>
      <c r="D18" s="84">
        <f t="shared" ref="D18:H19" si="0">INDEX($C$35:$C$42, MATCH(D48,$B$35:$B$42,0))</f>
        <v>18</v>
      </c>
      <c r="E18" s="84">
        <f t="shared" si="0"/>
        <v>18</v>
      </c>
      <c r="F18" s="84">
        <f t="shared" si="0"/>
        <v>18</v>
      </c>
      <c r="G18" s="84">
        <f t="shared" si="0"/>
        <v>18</v>
      </c>
      <c r="H18" s="84">
        <f t="shared" si="0"/>
        <v>18</v>
      </c>
      <c r="I18" s="144">
        <v>0.1</v>
      </c>
      <c r="K18"/>
      <c r="L18" s="458"/>
      <c r="M18" s="459"/>
      <c r="N18" s="460"/>
      <c r="O18"/>
      <c r="P18"/>
      <c r="Q18"/>
      <c r="R18"/>
      <c r="S18"/>
      <c r="T18"/>
      <c r="U18"/>
      <c r="V18"/>
      <c r="W18"/>
      <c r="X18"/>
      <c r="Y18"/>
    </row>
    <row r="19" spans="1:29" ht="14.4">
      <c r="A19" s="887"/>
      <c r="B19" s="143" t="s">
        <v>477</v>
      </c>
      <c r="C19" s="84">
        <f>INDEX($C$35:$C$42, MATCH(C49,$B$35:$B$42,0))</f>
        <v>12</v>
      </c>
      <c r="D19" s="84">
        <f t="shared" si="0"/>
        <v>12</v>
      </c>
      <c r="E19" s="84">
        <f t="shared" si="0"/>
        <v>12</v>
      </c>
      <c r="F19" s="84">
        <f t="shared" si="0"/>
        <v>12</v>
      </c>
      <c r="G19" s="84">
        <f t="shared" si="0"/>
        <v>12</v>
      </c>
      <c r="H19" s="84">
        <f t="shared" si="0"/>
        <v>12</v>
      </c>
      <c r="I19" s="144">
        <v>0.05</v>
      </c>
      <c r="K19"/>
      <c r="L19" s="458"/>
      <c r="M19" s="459"/>
      <c r="N19"/>
      <c r="O19"/>
      <c r="P19"/>
      <c r="Q19"/>
      <c r="R19"/>
      <c r="S19"/>
      <c r="T19"/>
      <c r="U19"/>
      <c r="V19"/>
      <c r="W19"/>
      <c r="X19"/>
      <c r="Y19"/>
    </row>
    <row r="20" spans="1:29" ht="14.4">
      <c r="A20" s="887"/>
      <c r="B20" s="143" t="s">
        <v>248</v>
      </c>
      <c r="C20" s="346">
        <f>INDEX($K$48:$P$55, MATCH($C$16, $J$48:$J$55,0), MATCH(C$17,$K$47:$P$47,0))</f>
        <v>16.706770162820419</v>
      </c>
      <c r="D20" s="346">
        <f t="shared" ref="D20:H20" si="1">INDEX($K$48:$P$55, MATCH($C$16, $J$48:$J$55,0), MATCH(D$17,$K$47:$P$47,0))</f>
        <v>16.002515558306158</v>
      </c>
      <c r="E20" s="346">
        <f t="shared" si="1"/>
        <v>15.806978265307983</v>
      </c>
      <c r="F20" s="346">
        <f t="shared" si="1"/>
        <v>15.720965030021652</v>
      </c>
      <c r="G20" s="346">
        <f t="shared" si="1"/>
        <v>15.720965030021652</v>
      </c>
      <c r="H20" s="346">
        <f t="shared" si="1"/>
        <v>15.720965030021652</v>
      </c>
      <c r="I20" s="366">
        <v>0.1</v>
      </c>
      <c r="J20" s="230"/>
      <c r="K20"/>
      <c r="L20" s="458"/>
      <c r="M20" s="459"/>
      <c r="N20"/>
      <c r="O20"/>
      <c r="P20"/>
      <c r="Q20"/>
      <c r="R20"/>
      <c r="S20"/>
      <c r="T20"/>
      <c r="U20"/>
      <c r="V20"/>
      <c r="W20"/>
      <c r="X20"/>
      <c r="Y20"/>
    </row>
    <row r="21" spans="1:29" ht="14.4">
      <c r="A21" s="887"/>
      <c r="B21" s="143" t="s">
        <v>478</v>
      </c>
      <c r="C21" s="84">
        <f>INDEX($C$35:$C$42, MATCH(C50,$B$35:$B$42,0))</f>
        <v>15</v>
      </c>
      <c r="D21" s="84">
        <f>INDEX($C$35:$C$42, MATCH(D50,$B$35:$B$42,0))</f>
        <v>15</v>
      </c>
      <c r="E21" s="84">
        <f t="shared" ref="E21:H22" si="2">INDEX($C$35:$C$42, MATCH(E50,$B$35:$B$42,0))</f>
        <v>15</v>
      </c>
      <c r="F21" s="84">
        <f t="shared" si="2"/>
        <v>15</v>
      </c>
      <c r="G21" s="84">
        <f t="shared" si="2"/>
        <v>15</v>
      </c>
      <c r="H21" s="84">
        <f t="shared" si="2"/>
        <v>15</v>
      </c>
      <c r="I21" s="144">
        <v>0.15</v>
      </c>
      <c r="J21" s="230"/>
      <c r="K21"/>
      <c r="L21" s="458"/>
      <c r="M21" s="459"/>
      <c r="N21"/>
      <c r="O21"/>
      <c r="P21"/>
      <c r="Q21"/>
      <c r="R21"/>
      <c r="S21"/>
      <c r="T21"/>
      <c r="U21"/>
      <c r="V21"/>
      <c r="W21"/>
      <c r="X21"/>
      <c r="Y21"/>
    </row>
    <row r="22" spans="1:29" ht="14.4">
      <c r="A22" s="887"/>
      <c r="B22" s="143" t="s">
        <v>479</v>
      </c>
      <c r="C22" s="84">
        <f>INDEX($C$35:$C$42, MATCH(C51,$B$35:$B$42,0))</f>
        <v>12</v>
      </c>
      <c r="D22" s="84">
        <f>INDEX($C$35:$C$42, MATCH(D51,$B$35:$B$42,0))</f>
        <v>12</v>
      </c>
      <c r="E22" s="84">
        <f t="shared" si="2"/>
        <v>12</v>
      </c>
      <c r="F22" s="84">
        <f t="shared" si="2"/>
        <v>12</v>
      </c>
      <c r="G22" s="84">
        <f t="shared" si="2"/>
        <v>12</v>
      </c>
      <c r="H22" s="84">
        <f t="shared" si="2"/>
        <v>12</v>
      </c>
      <c r="I22" s="144">
        <v>0.05</v>
      </c>
      <c r="J22" s="230"/>
      <c r="K22"/>
      <c r="L22" s="458"/>
      <c r="M22" s="459"/>
      <c r="N22"/>
      <c r="O22"/>
      <c r="P22"/>
      <c r="Q22"/>
      <c r="R22"/>
      <c r="S22"/>
      <c r="T22"/>
      <c r="U22"/>
      <c r="V22"/>
      <c r="W22"/>
      <c r="X22"/>
      <c r="Y22"/>
    </row>
    <row r="23" spans="1:29" ht="14.4">
      <c r="A23" s="887"/>
      <c r="B23" s="143" t="s">
        <v>480</v>
      </c>
      <c r="C23" s="346">
        <f>INDEX($S$48:$X$55, MATCH($C$16, $R$48:$R$55,0), MATCH(C17,$S$47:$X$47,0))</f>
        <v>16.706770162820419</v>
      </c>
      <c r="D23" s="346">
        <f t="shared" ref="D23:H23" si="3">INDEX($S$48:$X$55, MATCH($C$16, $R$48:$R$55,0), MATCH(D17,$S$47:$X$47,0))</f>
        <v>16.002515558306158</v>
      </c>
      <c r="E23" s="346">
        <f t="shared" si="3"/>
        <v>15.806978265307983</v>
      </c>
      <c r="F23" s="346">
        <f t="shared" si="3"/>
        <v>15.720965030021652</v>
      </c>
      <c r="G23" s="346">
        <f t="shared" si="3"/>
        <v>15.720965030021652</v>
      </c>
      <c r="H23" s="346">
        <f t="shared" si="3"/>
        <v>15.720965030021652</v>
      </c>
      <c r="I23" s="366">
        <v>0.15</v>
      </c>
      <c r="J23" s="230"/>
      <c r="K23"/>
      <c r="L23" s="458"/>
      <c r="M23" s="459"/>
      <c r="N23"/>
      <c r="O23"/>
      <c r="P23"/>
      <c r="Q23"/>
      <c r="R23"/>
      <c r="S23"/>
      <c r="T23"/>
      <c r="U23"/>
      <c r="V23"/>
      <c r="W23"/>
      <c r="X23"/>
      <c r="Y23"/>
    </row>
    <row r="24" spans="1:29" ht="14.4">
      <c r="A24" s="888" t="s">
        <v>481</v>
      </c>
      <c r="B24" s="143" t="s">
        <v>482</v>
      </c>
      <c r="C24" s="365">
        <f t="shared" ref="C24:H24" si="4">C86</f>
        <v>7.6105170948717955</v>
      </c>
      <c r="D24" s="365">
        <f>D86</f>
        <v>4.9796690309391058</v>
      </c>
      <c r="E24" s="365">
        <f t="shared" si="4"/>
        <v>5.3073825696417725</v>
      </c>
      <c r="F24" s="365">
        <f t="shared" si="4"/>
        <v>5.4229990577648879</v>
      </c>
      <c r="G24" s="365">
        <f t="shared" si="4"/>
        <v>5.4229990577648879</v>
      </c>
      <c r="H24" s="365">
        <f t="shared" si="4"/>
        <v>5.4229990577648879</v>
      </c>
      <c r="I24" s="366">
        <v>0.1</v>
      </c>
      <c r="J24" s="230"/>
      <c r="K24"/>
      <c r="L24" s="458"/>
      <c r="M24" s="459"/>
      <c r="N24"/>
      <c r="O24"/>
      <c r="P24"/>
      <c r="Q24"/>
      <c r="R24"/>
      <c r="S24"/>
      <c r="T24"/>
      <c r="U24"/>
      <c r="V24"/>
      <c r="W24"/>
      <c r="X24"/>
      <c r="Y24"/>
    </row>
    <row r="25" spans="1:29">
      <c r="A25" s="888"/>
      <c r="B25" s="143" t="s">
        <v>483</v>
      </c>
      <c r="C25" s="365">
        <f t="shared" ref="C25:H25" si="5">C91</f>
        <v>18</v>
      </c>
      <c r="D25" s="365">
        <f t="shared" si="5"/>
        <v>18</v>
      </c>
      <c r="E25" s="365">
        <f t="shared" si="5"/>
        <v>18</v>
      </c>
      <c r="F25" s="365">
        <f t="shared" si="5"/>
        <v>18</v>
      </c>
      <c r="G25" s="365">
        <f t="shared" si="5"/>
        <v>18</v>
      </c>
      <c r="H25" s="365">
        <f t="shared" si="5"/>
        <v>18</v>
      </c>
      <c r="I25" s="366">
        <v>0.2</v>
      </c>
      <c r="J25" s="230"/>
      <c r="L25" s="458"/>
      <c r="M25" s="459"/>
    </row>
    <row r="26" spans="1:29" ht="13.8" thickBot="1">
      <c r="A26" s="888"/>
      <c r="B26" s="145" t="s">
        <v>484</v>
      </c>
      <c r="C26" s="643">
        <f t="shared" ref="C26:H26" si="6">C96</f>
        <v>18</v>
      </c>
      <c r="D26" s="643">
        <f t="shared" si="6"/>
        <v>18</v>
      </c>
      <c r="E26" s="643">
        <f t="shared" si="6"/>
        <v>18</v>
      </c>
      <c r="F26" s="643">
        <f t="shared" si="6"/>
        <v>18</v>
      </c>
      <c r="G26" s="643">
        <f t="shared" si="6"/>
        <v>18</v>
      </c>
      <c r="H26" s="643">
        <f t="shared" si="6"/>
        <v>18</v>
      </c>
      <c r="I26" s="367">
        <v>0.1</v>
      </c>
      <c r="J26" s="230"/>
      <c r="L26" s="458"/>
      <c r="M26" s="459"/>
    </row>
    <row r="27" spans="1:29">
      <c r="B27" s="527" t="s">
        <v>485</v>
      </c>
      <c r="C27" s="528">
        <f>SUMPRODUCT(C18:C26,$I$18:$I$26)</f>
        <v>15.587744250192285</v>
      </c>
      <c r="D27" s="528">
        <f t="shared" ref="D27:G27" si="7">SUMPRODUCT(D18:D26,$I$18:$I$26)</f>
        <v>15.14859579267045</v>
      </c>
      <c r="E27" s="528">
        <f t="shared" si="7"/>
        <v>15.132482823291173</v>
      </c>
      <c r="F27" s="528">
        <f t="shared" si="7"/>
        <v>15.122541163281904</v>
      </c>
      <c r="G27" s="528">
        <f t="shared" si="7"/>
        <v>15.122541163281904</v>
      </c>
      <c r="H27" s="529">
        <f>SUMPRODUCT(H18:H26,$I$18:$I$26)</f>
        <v>15.122541163281904</v>
      </c>
      <c r="M27" s="102"/>
    </row>
    <row r="28" spans="1:29" ht="13.8" thickBot="1">
      <c r="B28" s="530" t="s">
        <v>486</v>
      </c>
      <c r="C28" s="531" t="str">
        <f>IF(C27&lt;$G$41,IF(C27&lt;$G$40,IF(C27&lt;$G$39,IF(C27&lt;$G$38,IF(C27&lt;$G$37,$E$37,$E$38),$E$39),$E$40),$E$41))</f>
        <v>B</v>
      </c>
      <c r="D28" s="531" t="str">
        <f t="shared" ref="D28:H28" si="8">IF(D27&lt;$G$41,IF(D27&lt;$G$40,IF(D27&lt;$G$39,IF(D27&lt;$G$38,IF(D27&lt;$G$37,$E$37,$E$38),$E$39),$E$40),$E$41))</f>
        <v>B</v>
      </c>
      <c r="E28" s="531" t="str">
        <f t="shared" si="8"/>
        <v>B</v>
      </c>
      <c r="F28" s="531" t="str">
        <f t="shared" si="8"/>
        <v>B</v>
      </c>
      <c r="G28" s="531" t="str">
        <f t="shared" si="8"/>
        <v>B</v>
      </c>
      <c r="H28" s="532" t="str">
        <f t="shared" si="8"/>
        <v>B</v>
      </c>
      <c r="M28" s="163"/>
    </row>
    <row r="29" spans="1:29"/>
    <row r="30" spans="1:29"/>
    <row r="31" spans="1:29"/>
    <row r="32" spans="1:29">
      <c r="B32" s="46" t="s">
        <v>487</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row>
    <row r="33" spans="2:29" ht="13.8" thickBot="1">
      <c r="R33" s="230"/>
      <c r="U33" s="230"/>
    </row>
    <row r="34" spans="2:29" ht="39" customHeight="1">
      <c r="B34" s="147" t="s">
        <v>488</v>
      </c>
      <c r="C34" s="148" t="s">
        <v>489</v>
      </c>
      <c r="E34" s="147" t="s">
        <v>486</v>
      </c>
      <c r="F34" s="149" t="s">
        <v>490</v>
      </c>
      <c r="G34" s="149" t="s">
        <v>491</v>
      </c>
      <c r="H34" s="148" t="s">
        <v>492</v>
      </c>
      <c r="J34" s="880" t="s">
        <v>493</v>
      </c>
      <c r="K34" s="885"/>
      <c r="L34" s="885"/>
      <c r="M34" s="881"/>
      <c r="O34" s="880" t="s">
        <v>494</v>
      </c>
      <c r="P34" s="881"/>
      <c r="R34" s="880" t="s">
        <v>495</v>
      </c>
      <c r="S34" s="881"/>
      <c r="U34" s="880" t="s">
        <v>496</v>
      </c>
      <c r="V34" s="885"/>
      <c r="W34" s="885"/>
      <c r="X34" s="881"/>
    </row>
    <row r="35" spans="2:29" ht="26.4">
      <c r="B35" s="75" t="s">
        <v>497</v>
      </c>
      <c r="C35" s="150">
        <v>1</v>
      </c>
      <c r="E35" s="75" t="s">
        <v>497</v>
      </c>
      <c r="F35" s="10">
        <v>0</v>
      </c>
      <c r="G35" s="108">
        <v>1.5</v>
      </c>
      <c r="H35" s="78">
        <f t="shared" ref="H35:H41" si="9">AVERAGE(F35:G35)</f>
        <v>0.75</v>
      </c>
      <c r="J35" s="151"/>
      <c r="K35" s="329" t="s">
        <v>482</v>
      </c>
      <c r="L35" s="318" t="s">
        <v>498</v>
      </c>
      <c r="M35" s="137" t="s">
        <v>484</v>
      </c>
      <c r="O35" s="75"/>
      <c r="P35" s="152" t="s">
        <v>499</v>
      </c>
      <c r="R35" s="75" t="s">
        <v>500</v>
      </c>
      <c r="S35" s="150">
        <f t="shared" ref="S35:S41" si="10">C36-C35</f>
        <v>2</v>
      </c>
      <c r="U35" s="151"/>
      <c r="V35" s="329" t="s">
        <v>482</v>
      </c>
      <c r="W35" s="318" t="s">
        <v>498</v>
      </c>
      <c r="X35" s="137" t="s">
        <v>484</v>
      </c>
    </row>
    <row r="36" spans="2:29">
      <c r="B36" s="75" t="s">
        <v>501</v>
      </c>
      <c r="C36" s="78">
        <v>3</v>
      </c>
      <c r="E36" s="75" t="s">
        <v>501</v>
      </c>
      <c r="F36" s="10">
        <v>1.5</v>
      </c>
      <c r="G36" s="10">
        <v>4.5</v>
      </c>
      <c r="H36" s="78">
        <f t="shared" si="9"/>
        <v>3</v>
      </c>
      <c r="J36" s="75" t="s">
        <v>497</v>
      </c>
      <c r="K36" s="10">
        <v>18</v>
      </c>
      <c r="L36" s="10">
        <v>0.9</v>
      </c>
      <c r="M36" s="78">
        <v>0.6</v>
      </c>
      <c r="O36" s="75" t="s">
        <v>141</v>
      </c>
      <c r="P36" s="153">
        <v>0.75</v>
      </c>
      <c r="R36" s="75" t="s">
        <v>502</v>
      </c>
      <c r="S36" s="150">
        <f t="shared" si="10"/>
        <v>3</v>
      </c>
      <c r="U36" s="75" t="s">
        <v>500</v>
      </c>
      <c r="V36" s="10">
        <f t="shared" ref="V36:X40" si="11">K36-K37</f>
        <v>5</v>
      </c>
      <c r="W36" s="10">
        <f t="shared" si="11"/>
        <v>0.30000000000000004</v>
      </c>
      <c r="X36" s="78">
        <f t="shared" si="11"/>
        <v>0.14999999999999997</v>
      </c>
    </row>
    <row r="37" spans="2:29">
      <c r="B37" s="75" t="s">
        <v>503</v>
      </c>
      <c r="C37" s="78">
        <v>6</v>
      </c>
      <c r="E37" s="75" t="s">
        <v>503</v>
      </c>
      <c r="F37" s="10">
        <v>4.5</v>
      </c>
      <c r="G37" s="10">
        <v>7.5</v>
      </c>
      <c r="H37" s="78">
        <f t="shared" si="9"/>
        <v>6</v>
      </c>
      <c r="J37" s="75" t="s">
        <v>501</v>
      </c>
      <c r="K37" s="10">
        <v>13</v>
      </c>
      <c r="L37" s="10">
        <v>0.6</v>
      </c>
      <c r="M37" s="78">
        <v>0.45</v>
      </c>
      <c r="O37" s="75" t="s">
        <v>143</v>
      </c>
      <c r="P37" s="153">
        <v>0.5</v>
      </c>
      <c r="R37" s="75" t="s">
        <v>504</v>
      </c>
      <c r="S37" s="150">
        <f t="shared" si="10"/>
        <v>3</v>
      </c>
      <c r="U37" s="75" t="s">
        <v>502</v>
      </c>
      <c r="V37" s="10">
        <f t="shared" si="11"/>
        <v>5</v>
      </c>
      <c r="W37" s="10">
        <f t="shared" si="11"/>
        <v>0.25</v>
      </c>
      <c r="X37" s="78">
        <f t="shared" si="11"/>
        <v>0.2</v>
      </c>
    </row>
    <row r="38" spans="2:29">
      <c r="B38" s="75" t="s">
        <v>141</v>
      </c>
      <c r="C38" s="78">
        <v>9</v>
      </c>
      <c r="E38" s="75" t="s">
        <v>141</v>
      </c>
      <c r="F38" s="10">
        <v>7.5</v>
      </c>
      <c r="G38" s="10">
        <v>10.5</v>
      </c>
      <c r="H38" s="78">
        <f t="shared" si="9"/>
        <v>9</v>
      </c>
      <c r="J38" s="75" t="s">
        <v>503</v>
      </c>
      <c r="K38" s="10">
        <v>8</v>
      </c>
      <c r="L38" s="10">
        <v>0.35</v>
      </c>
      <c r="M38" s="78">
        <v>0.25</v>
      </c>
      <c r="O38" s="75" t="s">
        <v>144</v>
      </c>
      <c r="P38" s="153">
        <v>0.25</v>
      </c>
      <c r="R38" s="75" t="s">
        <v>505</v>
      </c>
      <c r="S38" s="150">
        <f t="shared" si="10"/>
        <v>3</v>
      </c>
      <c r="U38" s="75" t="s">
        <v>504</v>
      </c>
      <c r="V38" s="10">
        <f t="shared" si="11"/>
        <v>3.8</v>
      </c>
      <c r="W38" s="10">
        <f t="shared" si="11"/>
        <v>0.14999999999999997</v>
      </c>
      <c r="X38" s="78">
        <f t="shared" si="11"/>
        <v>0.1</v>
      </c>
    </row>
    <row r="39" spans="2:29" ht="13.8" thickBot="1">
      <c r="B39" s="75" t="s">
        <v>143</v>
      </c>
      <c r="C39" s="78">
        <v>12</v>
      </c>
      <c r="E39" s="75" t="s">
        <v>143</v>
      </c>
      <c r="F39" s="10">
        <v>10.5</v>
      </c>
      <c r="G39" s="10">
        <v>13.5</v>
      </c>
      <c r="H39" s="78">
        <f t="shared" si="9"/>
        <v>12</v>
      </c>
      <c r="J39" s="75" t="s">
        <v>141</v>
      </c>
      <c r="K39" s="10">
        <v>4.2</v>
      </c>
      <c r="L39" s="10">
        <v>0.2</v>
      </c>
      <c r="M39" s="78">
        <v>0.15</v>
      </c>
      <c r="O39" s="77" t="s">
        <v>145</v>
      </c>
      <c r="P39" s="644">
        <v>0</v>
      </c>
      <c r="R39" s="75" t="s">
        <v>506</v>
      </c>
      <c r="S39" s="150">
        <f t="shared" si="10"/>
        <v>3</v>
      </c>
      <c r="U39" s="75" t="s">
        <v>507</v>
      </c>
      <c r="V39" s="10">
        <f t="shared" si="11"/>
        <v>1.4000000000000004</v>
      </c>
      <c r="W39" s="10">
        <f t="shared" si="11"/>
        <v>8.0000000000000016E-2</v>
      </c>
      <c r="X39" s="78">
        <f t="shared" si="11"/>
        <v>6.9999999999999993E-2</v>
      </c>
    </row>
    <row r="40" spans="2:29" ht="13.8" thickBot="1">
      <c r="B40" s="75" t="s">
        <v>144</v>
      </c>
      <c r="C40" s="78">
        <v>15</v>
      </c>
      <c r="E40" s="75" t="s">
        <v>144</v>
      </c>
      <c r="F40" s="10">
        <v>13.5</v>
      </c>
      <c r="G40" s="10">
        <v>16.5</v>
      </c>
      <c r="H40" s="78">
        <f t="shared" si="9"/>
        <v>15</v>
      </c>
      <c r="J40" s="75" t="s">
        <v>143</v>
      </c>
      <c r="K40" s="10">
        <v>2.8</v>
      </c>
      <c r="L40" s="10">
        <v>0.12</v>
      </c>
      <c r="M40" s="78">
        <v>0.08</v>
      </c>
      <c r="R40" s="75" t="s">
        <v>508</v>
      </c>
      <c r="S40" s="150">
        <f t="shared" si="10"/>
        <v>3</v>
      </c>
      <c r="U40" s="77" t="s">
        <v>506</v>
      </c>
      <c r="V40" s="482">
        <f t="shared" si="11"/>
        <v>1.7999999999999998</v>
      </c>
      <c r="W40" s="482">
        <f t="shared" si="11"/>
        <v>6.9999999999999993E-2</v>
      </c>
      <c r="X40" s="645">
        <f t="shared" si="11"/>
        <v>0.05</v>
      </c>
    </row>
    <row r="41" spans="2:29" ht="13.8" thickBot="1">
      <c r="B41" s="75" t="s">
        <v>145</v>
      </c>
      <c r="C41" s="78">
        <v>18</v>
      </c>
      <c r="E41" s="75" t="s">
        <v>145</v>
      </c>
      <c r="F41" s="10">
        <v>16.5</v>
      </c>
      <c r="G41" s="10">
        <v>19.5</v>
      </c>
      <c r="H41" s="78">
        <f t="shared" si="9"/>
        <v>18</v>
      </c>
      <c r="J41" s="75" t="s">
        <v>144</v>
      </c>
      <c r="K41" s="10">
        <v>1</v>
      </c>
      <c r="L41" s="10">
        <v>0.05</v>
      </c>
      <c r="M41" s="78">
        <v>0.03</v>
      </c>
      <c r="R41" s="77" t="s">
        <v>509</v>
      </c>
      <c r="S41" s="646">
        <f t="shared" si="10"/>
        <v>2</v>
      </c>
    </row>
    <row r="42" spans="2:29" ht="13.8" thickBot="1">
      <c r="B42" s="77" t="s">
        <v>510</v>
      </c>
      <c r="C42" s="645">
        <v>20</v>
      </c>
      <c r="E42" s="77" t="s">
        <v>510</v>
      </c>
      <c r="F42" s="482">
        <v>19.5</v>
      </c>
      <c r="G42" s="482"/>
      <c r="H42" s="645"/>
      <c r="J42" s="77" t="s">
        <v>145</v>
      </c>
      <c r="K42" s="482">
        <v>-100</v>
      </c>
      <c r="L42" s="482">
        <v>-100</v>
      </c>
      <c r="M42" s="645">
        <v>-100</v>
      </c>
    </row>
    <row r="43" spans="2:29"/>
    <row r="44" spans="2:29">
      <c r="B44" s="46" t="s">
        <v>511</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row>
    <row r="45" spans="2:29" ht="13.8" thickBot="1"/>
    <row r="46" spans="2:29">
      <c r="B46" s="882" t="s">
        <v>512</v>
      </c>
      <c r="C46" s="883"/>
      <c r="D46" s="883"/>
      <c r="E46" s="883"/>
      <c r="F46" s="883"/>
      <c r="G46" s="883"/>
      <c r="H46" s="884"/>
      <c r="J46" s="882" t="s">
        <v>248</v>
      </c>
      <c r="K46" s="883"/>
      <c r="L46" s="883"/>
      <c r="M46" s="883"/>
      <c r="N46" s="883"/>
      <c r="O46" s="883"/>
      <c r="P46" s="884"/>
      <c r="R46" s="882" t="s">
        <v>480</v>
      </c>
      <c r="S46" s="883"/>
      <c r="T46" s="883"/>
      <c r="U46" s="883"/>
      <c r="V46" s="883"/>
      <c r="W46" s="883"/>
      <c r="X46" s="884"/>
    </row>
    <row r="47" spans="2:29">
      <c r="B47" s="154" t="s">
        <v>405</v>
      </c>
      <c r="C47" s="155">
        <v>2023</v>
      </c>
      <c r="D47" s="62">
        <v>2024</v>
      </c>
      <c r="E47" s="62">
        <v>2025</v>
      </c>
      <c r="F47" s="62">
        <v>2026</v>
      </c>
      <c r="G47" s="62">
        <v>2027</v>
      </c>
      <c r="H47" s="156">
        <v>2028</v>
      </c>
      <c r="J47" s="154" t="s">
        <v>433</v>
      </c>
      <c r="K47" s="155">
        <v>2023</v>
      </c>
      <c r="L47" s="62">
        <v>2024</v>
      </c>
      <c r="M47" s="62">
        <v>2025</v>
      </c>
      <c r="N47" s="62">
        <v>2026</v>
      </c>
      <c r="O47" s="62">
        <v>2027</v>
      </c>
      <c r="P47" s="156">
        <v>2028</v>
      </c>
      <c r="Q47" s="370"/>
      <c r="R47" s="461" t="s">
        <v>433</v>
      </c>
      <c r="S47" s="155">
        <v>2023</v>
      </c>
      <c r="T47" s="62">
        <v>2024</v>
      </c>
      <c r="U47" s="62">
        <v>2025</v>
      </c>
      <c r="V47" s="62">
        <v>2026</v>
      </c>
      <c r="W47" s="62">
        <v>2027</v>
      </c>
      <c r="X47" s="156">
        <v>2028</v>
      </c>
      <c r="Y47" s="167"/>
    </row>
    <row r="48" spans="2:29">
      <c r="B48" s="143" t="s">
        <v>476</v>
      </c>
      <c r="C48" s="13" t="s">
        <v>145</v>
      </c>
      <c r="D48" s="13" t="s">
        <v>145</v>
      </c>
      <c r="E48" s="13" t="s">
        <v>145</v>
      </c>
      <c r="F48" s="13" t="s">
        <v>145</v>
      </c>
      <c r="G48" s="13" t="s">
        <v>145</v>
      </c>
      <c r="H48" s="158" t="s">
        <v>145</v>
      </c>
      <c r="J48" s="157">
        <v>1</v>
      </c>
      <c r="K48" s="260">
        <f>$H$41-INDEX('Policy Requirements'!$D$53:$I$60, MATCH($J48,'Policy Requirements'!$B$53:$B$60,0), MATCH(K$47, 'Policy Requirements'!$D$52:$I$52,0))*($H$41-$H$38)</f>
        <v>16.706770162820419</v>
      </c>
      <c r="L48" s="260">
        <f>$H$41-INDEX('Policy Requirements'!$D$53:$I$60, MATCH($J48,'Policy Requirements'!$B$53:$B$60,0), MATCH(L$47, 'Policy Requirements'!$D$52:$I$52,0))*($H$41-$H$38)</f>
        <v>16.002515558306158</v>
      </c>
      <c r="M48" s="260">
        <f>$H$41-INDEX('Policy Requirements'!$D$53:$I$60, MATCH($J48,'Policy Requirements'!$B$53:$B$60,0), MATCH(M$47, 'Policy Requirements'!$D$52:$I$52,0))*($H$41-$H$38)</f>
        <v>15.806978265307983</v>
      </c>
      <c r="N48" s="260">
        <f>$H$41-INDEX('Policy Requirements'!$D$53:$I$60, MATCH($J48,'Policy Requirements'!$B$53:$B$60,0), MATCH(N$47, 'Policy Requirements'!$D$52:$I$52,0))*($H$41-$H$38)</f>
        <v>15.720965030021652</v>
      </c>
      <c r="O48" s="260">
        <f>$H$41-INDEX('Policy Requirements'!$D$53:$I$60, MATCH($J48,'Policy Requirements'!$B$53:$B$60,0), MATCH(O$47, 'Policy Requirements'!$D$52:$I$52,0))*($H$41-$H$38)</f>
        <v>15.720965030021652</v>
      </c>
      <c r="P48" s="462">
        <f>$H$41-INDEX('Policy Requirements'!$D$53:$I$60, MATCH($J48,'Policy Requirements'!$B$53:$B$60,0), MATCH(P$47, 'Policy Requirements'!$D$52:$I$52,0))*($H$41-$H$38)</f>
        <v>15.720965030021652</v>
      </c>
      <c r="Q48" s="167"/>
      <c r="R48" s="621">
        <v>1</v>
      </c>
      <c r="S48" s="260">
        <f>$H$41-INDEX('Policy Requirements'!$D$53:$I$60, MATCH($R48,'Policy Requirements'!$B$53:$B$60,0), MATCH(S$47, 'Policy Requirements'!$D$52:$I$52,0))*($H$41-$H$38)</f>
        <v>16.706770162820419</v>
      </c>
      <c r="T48" s="260">
        <f>$H$41-INDEX('Policy Requirements'!$D$53:$I$60, MATCH($R48,'Policy Requirements'!$B$53:$B$60,0), MATCH(T$47, 'Policy Requirements'!$D$52:$I$52,0))*($H$41-$H$38)</f>
        <v>16.002515558306158</v>
      </c>
      <c r="U48" s="260">
        <f>$H$41-INDEX('Policy Requirements'!$D$53:$I$60, MATCH($R48,'Policy Requirements'!$B$53:$B$60,0), MATCH(U$47, 'Policy Requirements'!$D$52:$I$52,0))*($H$41-$H$38)</f>
        <v>15.806978265307983</v>
      </c>
      <c r="V48" s="260">
        <f>$H$41-INDEX('Policy Requirements'!$D$53:$I$60, MATCH($R48,'Policy Requirements'!$B$53:$B$60,0), MATCH(V$47, 'Policy Requirements'!$D$52:$I$52,0))*($H$41-$H$38)</f>
        <v>15.720965030021652</v>
      </c>
      <c r="W48" s="260">
        <f>$H$41-INDEX('Policy Requirements'!$D$53:$I$60, MATCH($R48,'Policy Requirements'!$B$53:$B$60,0), MATCH(W$47, 'Policy Requirements'!$D$52:$I$52,0))*($H$41-$H$38)</f>
        <v>15.720965030021652</v>
      </c>
      <c r="X48" s="261">
        <f>$H$41-INDEX('Policy Requirements'!$D$53:$I$60, MATCH($R48,'Policy Requirements'!$B$53:$B$60,0), MATCH(X$47, 'Policy Requirements'!$D$52:$I$52,0))*($H$41-$H$38)</f>
        <v>15.720965030021652</v>
      </c>
      <c r="Y48" s="167"/>
    </row>
    <row r="49" spans="2:29">
      <c r="B49" s="143" t="s">
        <v>477</v>
      </c>
      <c r="C49" s="13" t="s">
        <v>143</v>
      </c>
      <c r="D49" s="13" t="s">
        <v>143</v>
      </c>
      <c r="E49" s="13" t="s">
        <v>143</v>
      </c>
      <c r="F49" s="13" t="s">
        <v>143</v>
      </c>
      <c r="G49" s="13" t="s">
        <v>143</v>
      </c>
      <c r="H49" s="158" t="s">
        <v>143</v>
      </c>
      <c r="J49" s="157">
        <v>2</v>
      </c>
      <c r="K49" s="260">
        <f>$H$41-INDEX('Policy Requirements'!$D$53:$I$60, MATCH($J49,'Policy Requirements'!$B$53:$B$60,0), MATCH(K$47, 'Policy Requirements'!$D$52:$I$52,0))*($H$41-$H$38)</f>
        <v>17.427322734312892</v>
      </c>
      <c r="L49" s="260">
        <f>$H$41-INDEX('Policy Requirements'!$D$53:$I$60, MATCH($J49,'Policy Requirements'!$B$53:$B$60,0), MATCH(L$47, 'Policy Requirements'!$D$52:$I$52,0))*($H$41-$H$38)</f>
        <v>16.739352833376934</v>
      </c>
      <c r="M49" s="260">
        <f>$H$41-INDEX('Policy Requirements'!$D$53:$I$60, MATCH($J49,'Policy Requirements'!$B$53:$B$60,0), MATCH(M$47, 'Policy Requirements'!$D$52:$I$52,0))*($H$41-$H$38)</f>
        <v>16.523240196425888</v>
      </c>
      <c r="N49" s="260">
        <f>$H$41-INDEX('Policy Requirements'!$D$53:$I$60, MATCH($J49,'Policy Requirements'!$B$53:$B$60,0), MATCH(N$47, 'Policy Requirements'!$D$52:$I$52,0))*($H$41-$H$38)</f>
        <v>16.428176248237786</v>
      </c>
      <c r="O49" s="260">
        <f>$H$41-INDEX('Policy Requirements'!$D$53:$I$60, MATCH($J49,'Policy Requirements'!$B$53:$B$60,0), MATCH(O$47, 'Policy Requirements'!$D$52:$I$52,0))*($H$41-$H$38)</f>
        <v>16.428176248237786</v>
      </c>
      <c r="P49" s="261">
        <f>$H$41-INDEX('Policy Requirements'!$D$53:$I$60, MATCH($J49,'Policy Requirements'!$B$53:$B$60,0), MATCH(P$47, 'Policy Requirements'!$D$52:$I$52,0))*($H$41-$H$38)</f>
        <v>16.428176248237786</v>
      </c>
      <c r="Q49" s="168"/>
      <c r="R49" s="157">
        <v>2</v>
      </c>
      <c r="S49" s="260">
        <f>$H$41-INDEX('Policy Requirements'!$D$53:$I$60, MATCH($R49,'Policy Requirements'!$B$53:$B$60,0), MATCH(S$47, 'Policy Requirements'!$D$52:$I$52,0))*($H$41-$H$38)</f>
        <v>17.427322734312892</v>
      </c>
      <c r="T49" s="260">
        <f>$H$41-INDEX('Policy Requirements'!$D$53:$I$60, MATCH($R49,'Policy Requirements'!$B$53:$B$60,0), MATCH(T$47, 'Policy Requirements'!$D$52:$I$52,0))*($H$41-$H$38)</f>
        <v>16.739352833376934</v>
      </c>
      <c r="U49" s="260">
        <f>$H$41-INDEX('Policy Requirements'!$D$53:$I$60, MATCH($R49,'Policy Requirements'!$B$53:$B$60,0), MATCH(U$47, 'Policy Requirements'!$D$52:$I$52,0))*($H$41-$H$38)</f>
        <v>16.523240196425888</v>
      </c>
      <c r="V49" s="260">
        <f>$H$41-INDEX('Policy Requirements'!$D$53:$I$60, MATCH($R49,'Policy Requirements'!$B$53:$B$60,0), MATCH(V$47, 'Policy Requirements'!$D$52:$I$52,0))*($H$41-$H$38)</f>
        <v>16.428176248237786</v>
      </c>
      <c r="W49" s="260">
        <f>$H$41-INDEX('Policy Requirements'!$D$53:$I$60, MATCH($R49,'Policy Requirements'!$B$53:$B$60,0), MATCH(W$47, 'Policy Requirements'!$D$52:$I$52,0))*($H$41-$H$38)</f>
        <v>16.428176248237786</v>
      </c>
      <c r="X49" s="261">
        <f>$H$41-INDEX('Policy Requirements'!$D$53:$I$60, MATCH($R49,'Policy Requirements'!$B$53:$B$60,0), MATCH(X$47, 'Policy Requirements'!$D$52:$I$52,0))*($H$41-$H$38)</f>
        <v>16.428176248237786</v>
      </c>
      <c r="Y49" s="167"/>
    </row>
    <row r="50" spans="2:29">
      <c r="B50" s="143" t="s">
        <v>478</v>
      </c>
      <c r="C50" s="13" t="s">
        <v>144</v>
      </c>
      <c r="D50" s="13" t="s">
        <v>144</v>
      </c>
      <c r="E50" s="13" t="s">
        <v>144</v>
      </c>
      <c r="F50" s="13" t="s">
        <v>144</v>
      </c>
      <c r="G50" s="13" t="s">
        <v>144</v>
      </c>
      <c r="H50" s="158" t="s">
        <v>144</v>
      </c>
      <c r="J50" s="157">
        <v>3</v>
      </c>
      <c r="K50" s="260">
        <f>$H$41-INDEX('Policy Requirements'!$D$53:$I$60, MATCH($J50,'Policy Requirements'!$B$53:$B$60,0), MATCH(K$47, 'Policy Requirements'!$D$52:$I$52,0))*($H$41-$H$38)</f>
        <v>16.95042780405289</v>
      </c>
      <c r="L50" s="260">
        <f>$H$41-INDEX('Policy Requirements'!$D$53:$I$60, MATCH($J50,'Policy Requirements'!$B$53:$B$60,0), MATCH(L$47, 'Policy Requirements'!$D$52:$I$52,0))*($H$41-$H$38)</f>
        <v>15.85341431715424</v>
      </c>
      <c r="M50" s="260">
        <f>$H$41-INDEX('Policy Requirements'!$D$53:$I$60, MATCH($J50,'Policy Requirements'!$B$53:$B$60,0), MATCH(M$47, 'Policy Requirements'!$D$52:$I$52,0))*($H$41-$H$38)</f>
        <v>15.48542531543869</v>
      </c>
      <c r="N50" s="260">
        <f>$H$41-INDEX('Policy Requirements'!$D$53:$I$60, MATCH($J50,'Policy Requirements'!$B$53:$B$60,0), MATCH(N$47, 'Policy Requirements'!$D$52:$I$52,0))*($H$41-$H$38)</f>
        <v>15.323553766016975</v>
      </c>
      <c r="O50" s="260">
        <f>$H$41-INDEX('Policy Requirements'!$D$53:$I$60, MATCH($J50,'Policy Requirements'!$B$53:$B$60,0), MATCH(O$47, 'Policy Requirements'!$D$52:$I$52,0))*($H$41-$H$38)</f>
        <v>15.323553766016975</v>
      </c>
      <c r="P50" s="261">
        <f>$H$41-INDEX('Policy Requirements'!$D$53:$I$60, MATCH($J50,'Policy Requirements'!$B$53:$B$60,0), MATCH(P$47, 'Policy Requirements'!$D$52:$I$52,0))*($H$41-$H$38)</f>
        <v>15.323553766016975</v>
      </c>
      <c r="Q50" s="168"/>
      <c r="R50" s="157">
        <v>3</v>
      </c>
      <c r="S50" s="260">
        <f>$H$41-INDEX('Policy Requirements'!$D$53:$I$60, MATCH($R50,'Policy Requirements'!$B$53:$B$60,0), MATCH(S$47, 'Policy Requirements'!$D$52:$I$52,0))*($H$41-$H$38)</f>
        <v>16.95042780405289</v>
      </c>
      <c r="T50" s="260">
        <f>$H$41-INDEX('Policy Requirements'!$D$53:$I$60, MATCH($R50,'Policy Requirements'!$B$53:$B$60,0), MATCH(T$47, 'Policy Requirements'!$D$52:$I$52,0))*($H$41-$H$38)</f>
        <v>15.85341431715424</v>
      </c>
      <c r="U50" s="260">
        <f>$H$41-INDEX('Policy Requirements'!$D$53:$I$60, MATCH($R50,'Policy Requirements'!$B$53:$B$60,0), MATCH(U$47, 'Policy Requirements'!$D$52:$I$52,0))*($H$41-$H$38)</f>
        <v>15.48542531543869</v>
      </c>
      <c r="V50" s="260">
        <f>$H$41-INDEX('Policy Requirements'!$D$53:$I$60, MATCH($R50,'Policy Requirements'!$B$53:$B$60,0), MATCH(V$47, 'Policy Requirements'!$D$52:$I$52,0))*($H$41-$H$38)</f>
        <v>15.323553766016975</v>
      </c>
      <c r="W50" s="260">
        <f>$H$41-INDEX('Policy Requirements'!$D$53:$I$60, MATCH($R50,'Policy Requirements'!$B$53:$B$60,0), MATCH(W$47, 'Policy Requirements'!$D$52:$I$52,0))*($H$41-$H$38)</f>
        <v>15.323553766016975</v>
      </c>
      <c r="X50" s="261">
        <f>$H$41-INDEX('Policy Requirements'!$D$53:$I$60, MATCH($R50,'Policy Requirements'!$B$53:$B$60,0), MATCH(X$47, 'Policy Requirements'!$D$52:$I$52,0))*($H$41-$H$38)</f>
        <v>15.323553766016975</v>
      </c>
      <c r="Y50" s="167"/>
    </row>
    <row r="51" spans="2:29" ht="13.8" thickBot="1">
      <c r="B51" s="145" t="s">
        <v>479</v>
      </c>
      <c r="C51" s="544" t="s">
        <v>143</v>
      </c>
      <c r="D51" s="544" t="s">
        <v>143</v>
      </c>
      <c r="E51" s="544" t="s">
        <v>143</v>
      </c>
      <c r="F51" s="544" t="s">
        <v>143</v>
      </c>
      <c r="G51" s="544" t="s">
        <v>143</v>
      </c>
      <c r="H51" s="369" t="s">
        <v>143</v>
      </c>
      <c r="J51" s="157">
        <v>4</v>
      </c>
      <c r="K51" s="260">
        <f>$H$41-INDEX('Policy Requirements'!$D$53:$I$60, MATCH($J51,'Policy Requirements'!$B$53:$B$60,0), MATCH(K$47, 'Policy Requirements'!$D$52:$I$52,0))*($H$41-$H$38)</f>
        <v>16.377750538365781</v>
      </c>
      <c r="L51" s="260">
        <f>$H$41-INDEX('Policy Requirements'!$D$53:$I$60, MATCH($J51,'Policy Requirements'!$B$53:$B$60,0), MATCH(L$47, 'Policy Requirements'!$D$52:$I$52,0))*($H$41-$H$38)</f>
        <v>14.592767150531172</v>
      </c>
      <c r="M51" s="260">
        <f>$H$41-INDEX('Policy Requirements'!$D$53:$I$60, MATCH($J51,'Policy Requirements'!$B$53:$B$60,0), MATCH(M$47, 'Policy Requirements'!$D$52:$I$52,0))*($H$41-$H$38)</f>
        <v>14.008665511864574</v>
      </c>
      <c r="N51" s="260">
        <f>$H$41-INDEX('Policy Requirements'!$D$53:$I$60, MATCH($J51,'Policy Requirements'!$B$53:$B$60,0), MATCH(N$47, 'Policy Requirements'!$D$52:$I$52,0))*($H$41-$H$38)</f>
        <v>13.751730014254759</v>
      </c>
      <c r="O51" s="260">
        <f>$H$41-INDEX('Policy Requirements'!$D$53:$I$60, MATCH($J51,'Policy Requirements'!$B$53:$B$60,0), MATCH(O$47, 'Policy Requirements'!$D$52:$I$52,0))*($H$41-$H$38)</f>
        <v>13.751730014254759</v>
      </c>
      <c r="P51" s="261">
        <f>$H$41-INDEX('Policy Requirements'!$D$53:$I$60, MATCH($J51,'Policy Requirements'!$B$53:$B$60,0), MATCH(P$47, 'Policy Requirements'!$D$52:$I$52,0))*($H$41-$H$38)</f>
        <v>13.751730014254759</v>
      </c>
      <c r="Q51" s="168"/>
      <c r="R51" s="157">
        <v>4</v>
      </c>
      <c r="S51" s="260">
        <f>$H$41-INDEX('Policy Requirements'!$D$53:$I$60, MATCH($R51,'Policy Requirements'!$B$53:$B$60,0), MATCH(S$47, 'Policy Requirements'!$D$52:$I$52,0))*($H$41-$H$38)</f>
        <v>16.377750538365781</v>
      </c>
      <c r="T51" s="260">
        <f>$H$41-INDEX('Policy Requirements'!$D$53:$I$60, MATCH($R51,'Policy Requirements'!$B$53:$B$60,0), MATCH(T$47, 'Policy Requirements'!$D$52:$I$52,0))*($H$41-$H$38)</f>
        <v>14.592767150531172</v>
      </c>
      <c r="U51" s="260">
        <f>$H$41-INDEX('Policy Requirements'!$D$53:$I$60, MATCH($R51,'Policy Requirements'!$B$53:$B$60,0), MATCH(U$47, 'Policy Requirements'!$D$52:$I$52,0))*($H$41-$H$38)</f>
        <v>14.008665511864574</v>
      </c>
      <c r="V51" s="260">
        <f>$H$41-INDEX('Policy Requirements'!$D$53:$I$60, MATCH($R51,'Policy Requirements'!$B$53:$B$60,0), MATCH(V$47, 'Policy Requirements'!$D$52:$I$52,0))*($H$41-$H$38)</f>
        <v>13.751730014254759</v>
      </c>
      <c r="W51" s="260">
        <f>$H$41-INDEX('Policy Requirements'!$D$53:$I$60, MATCH($R51,'Policy Requirements'!$B$53:$B$60,0), MATCH(W$47, 'Policy Requirements'!$D$52:$I$52,0))*($H$41-$H$38)</f>
        <v>13.751730014254759</v>
      </c>
      <c r="X51" s="261">
        <f>$H$41-INDEX('Policy Requirements'!$D$53:$I$60, MATCH($R51,'Policy Requirements'!$B$53:$B$60,0), MATCH(X$47, 'Policy Requirements'!$D$52:$I$52,0))*($H$41-$H$38)</f>
        <v>13.751730014254759</v>
      </c>
      <c r="Y51" s="167"/>
    </row>
    <row r="52" spans="2:29">
      <c r="J52" s="157">
        <v>5</v>
      </c>
      <c r="K52" s="260">
        <f>$H$41-INDEX('Policy Requirements'!$D$53:$I$60, MATCH($J52,'Policy Requirements'!$B$53:$B$60,0), MATCH(K$47, 'Policy Requirements'!$D$52:$I$52,0))*($H$41-$H$38)</f>
        <v>18</v>
      </c>
      <c r="L52" s="260">
        <f>$H$41-INDEX('Policy Requirements'!$D$53:$I$60, MATCH($J52,'Policy Requirements'!$B$53:$B$60,0), MATCH(L$47, 'Policy Requirements'!$D$52:$I$52,0))*($H$41-$H$38)</f>
        <v>18</v>
      </c>
      <c r="M52" s="260">
        <f>$H$41-INDEX('Policy Requirements'!$D$53:$I$60, MATCH($J52,'Policy Requirements'!$B$53:$B$60,0), MATCH(M$47, 'Policy Requirements'!$D$52:$I$52,0))*($H$41-$H$38)</f>
        <v>18</v>
      </c>
      <c r="N52" s="260">
        <f>$H$41-INDEX('Policy Requirements'!$D$53:$I$60, MATCH($J52,'Policy Requirements'!$B$53:$B$60,0), MATCH(N$47, 'Policy Requirements'!$D$52:$I$52,0))*($H$41-$H$38)</f>
        <v>18</v>
      </c>
      <c r="O52" s="260">
        <f>$H$41-INDEX('Policy Requirements'!$D$53:$I$60, MATCH($J52,'Policy Requirements'!$B$53:$B$60,0), MATCH(O$47, 'Policy Requirements'!$D$52:$I$52,0))*($H$41-$H$38)</f>
        <v>18</v>
      </c>
      <c r="P52" s="261">
        <f>$H$41-INDEX('Policy Requirements'!$D$53:$I$60, MATCH($J52,'Policy Requirements'!$B$53:$B$60,0), MATCH(P$47, 'Policy Requirements'!$D$52:$I$52,0))*($H$41-$H$38)</f>
        <v>18</v>
      </c>
      <c r="Q52" s="168"/>
      <c r="R52" s="157">
        <v>5</v>
      </c>
      <c r="S52" s="260">
        <f>$H$41-INDEX('Policy Requirements'!$D$53:$I$60, MATCH($R52,'Policy Requirements'!$B$53:$B$60,0), MATCH(S$47, 'Policy Requirements'!$D$52:$I$52,0))*($H$41-$H$38)</f>
        <v>18</v>
      </c>
      <c r="T52" s="260">
        <f>$H$41-INDEX('Policy Requirements'!$D$53:$I$60, MATCH($R52,'Policy Requirements'!$B$53:$B$60,0), MATCH(T$47, 'Policy Requirements'!$D$52:$I$52,0))*($H$41-$H$38)</f>
        <v>18</v>
      </c>
      <c r="U52" s="260">
        <f>$H$41-INDEX('Policy Requirements'!$D$53:$I$60, MATCH($R52,'Policy Requirements'!$B$53:$B$60,0), MATCH(U$47, 'Policy Requirements'!$D$52:$I$52,0))*($H$41-$H$38)</f>
        <v>18</v>
      </c>
      <c r="V52" s="260">
        <f>$H$41-INDEX('Policy Requirements'!$D$53:$I$60, MATCH($R52,'Policy Requirements'!$B$53:$B$60,0), MATCH(V$47, 'Policy Requirements'!$D$52:$I$52,0))*($H$41-$H$38)</f>
        <v>18</v>
      </c>
      <c r="W52" s="260">
        <f>$H$41-INDEX('Policy Requirements'!$D$53:$I$60, MATCH($R52,'Policy Requirements'!$B$53:$B$60,0), MATCH(W$47, 'Policy Requirements'!$D$52:$I$52,0))*($H$41-$H$38)</f>
        <v>18</v>
      </c>
      <c r="X52" s="261">
        <f>$H$41-INDEX('Policy Requirements'!$D$53:$I$60, MATCH($R52,'Policy Requirements'!$B$53:$B$60,0), MATCH(X$47, 'Policy Requirements'!$D$52:$I$52,0))*($H$41-$H$38)</f>
        <v>18</v>
      </c>
      <c r="Y52" s="167"/>
    </row>
    <row r="53" spans="2:29">
      <c r="J53" s="157">
        <v>6</v>
      </c>
      <c r="K53" s="260">
        <f>$H$41-INDEX('Policy Requirements'!$D$53:$I$60, MATCH($J53,'Policy Requirements'!$B$53:$B$60,0), MATCH(K$47, 'Policy Requirements'!$D$52:$I$52,0))*($H$41-$H$38)</f>
        <v>18</v>
      </c>
      <c r="L53" s="260">
        <f>$H$41-INDEX('Policy Requirements'!$D$53:$I$60, MATCH($J53,'Policy Requirements'!$B$53:$B$60,0), MATCH(L$47, 'Policy Requirements'!$D$52:$I$52,0))*($H$41-$H$38)</f>
        <v>18</v>
      </c>
      <c r="M53" s="260">
        <f>$H$41-INDEX('Policy Requirements'!$D$53:$I$60, MATCH($J53,'Policy Requirements'!$B$53:$B$60,0), MATCH(M$47, 'Policy Requirements'!$D$52:$I$52,0))*($H$41-$H$38)</f>
        <v>18</v>
      </c>
      <c r="N53" s="260">
        <f>$H$41-INDEX('Policy Requirements'!$D$53:$I$60, MATCH($J53,'Policy Requirements'!$B$53:$B$60,0), MATCH(N$47, 'Policy Requirements'!$D$52:$I$52,0))*($H$41-$H$38)</f>
        <v>18</v>
      </c>
      <c r="O53" s="260">
        <f>$H$41-INDEX('Policy Requirements'!$D$53:$I$60, MATCH($J53,'Policy Requirements'!$B$53:$B$60,0), MATCH(O$47, 'Policy Requirements'!$D$52:$I$52,0))*($H$41-$H$38)</f>
        <v>18</v>
      </c>
      <c r="P53" s="261">
        <f>$H$41-INDEX('Policy Requirements'!$D$53:$I$60, MATCH($J53,'Policy Requirements'!$B$53:$B$60,0), MATCH(P$47, 'Policy Requirements'!$D$52:$I$52,0))*($H$41-$H$38)</f>
        <v>18</v>
      </c>
      <c r="Q53" s="168"/>
      <c r="R53" s="157">
        <v>6</v>
      </c>
      <c r="S53" s="260">
        <f>$H$41-INDEX('Policy Requirements'!$D$53:$I$60, MATCH($R53,'Policy Requirements'!$B$53:$B$60,0), MATCH(S$47, 'Policy Requirements'!$D$52:$I$52,0))*($H$41-$H$38)</f>
        <v>18</v>
      </c>
      <c r="T53" s="260">
        <f>$H$41-INDEX('Policy Requirements'!$D$53:$I$60, MATCH($R53,'Policy Requirements'!$B$53:$B$60,0), MATCH(T$47, 'Policy Requirements'!$D$52:$I$52,0))*($H$41-$H$38)</f>
        <v>18</v>
      </c>
      <c r="U53" s="260">
        <f>$H$41-INDEX('Policy Requirements'!$D$53:$I$60, MATCH($R53,'Policy Requirements'!$B$53:$B$60,0), MATCH(U$47, 'Policy Requirements'!$D$52:$I$52,0))*($H$41-$H$38)</f>
        <v>18</v>
      </c>
      <c r="V53" s="260">
        <f>$H$41-INDEX('Policy Requirements'!$D$53:$I$60, MATCH($R53,'Policy Requirements'!$B$53:$B$60,0), MATCH(V$47, 'Policy Requirements'!$D$52:$I$52,0))*($H$41-$H$38)</f>
        <v>18</v>
      </c>
      <c r="W53" s="260">
        <f>$H$41-INDEX('Policy Requirements'!$D$53:$I$60, MATCH($R53,'Policy Requirements'!$B$53:$B$60,0), MATCH(W$47, 'Policy Requirements'!$D$52:$I$52,0))*($H$41-$H$38)</f>
        <v>18</v>
      </c>
      <c r="X53" s="261">
        <f>$H$41-INDEX('Policy Requirements'!$D$53:$I$60, MATCH($R53,'Policy Requirements'!$B$53:$B$60,0), MATCH(X$47, 'Policy Requirements'!$D$52:$I$52,0))*($H$41-$H$38)</f>
        <v>18</v>
      </c>
      <c r="Y53" s="167"/>
    </row>
    <row r="54" spans="2:29">
      <c r="J54" s="157">
        <v>7</v>
      </c>
      <c r="K54" s="260">
        <f>$H$41-INDEX('Policy Requirements'!$D$53:$I$60, MATCH($J54,'Policy Requirements'!$B$53:$B$60,0), MATCH(K$47, 'Policy Requirements'!$D$52:$I$52,0))*($H$41-$H$38)</f>
        <v>18</v>
      </c>
      <c r="L54" s="260">
        <f>$H$41-INDEX('Policy Requirements'!$D$53:$I$60, MATCH($J54,'Policy Requirements'!$B$53:$B$60,0), MATCH(L$47, 'Policy Requirements'!$D$52:$I$52,0))*($H$41-$H$38)</f>
        <v>18</v>
      </c>
      <c r="M54" s="260">
        <f>$H$41-INDEX('Policy Requirements'!$D$53:$I$60, MATCH($J54,'Policy Requirements'!$B$53:$B$60,0), MATCH(M$47, 'Policy Requirements'!$D$52:$I$52,0))*($H$41-$H$38)</f>
        <v>18</v>
      </c>
      <c r="N54" s="260">
        <f>$H$41-INDEX('Policy Requirements'!$D$53:$I$60, MATCH($J54,'Policy Requirements'!$B$53:$B$60,0), MATCH(N$47, 'Policy Requirements'!$D$52:$I$52,0))*($H$41-$H$38)</f>
        <v>18</v>
      </c>
      <c r="O54" s="260">
        <f>$H$41-INDEX('Policy Requirements'!$D$53:$I$60, MATCH($J54,'Policy Requirements'!$B$53:$B$60,0), MATCH(O$47, 'Policy Requirements'!$D$52:$I$52,0))*($H$41-$H$38)</f>
        <v>18</v>
      </c>
      <c r="P54" s="261">
        <f>$H$41-INDEX('Policy Requirements'!$D$53:$I$60, MATCH($J54,'Policy Requirements'!$B$53:$B$60,0), MATCH(P$47, 'Policy Requirements'!$D$52:$I$52,0))*($H$41-$H$38)</f>
        <v>18</v>
      </c>
      <c r="Q54" s="168"/>
      <c r="R54" s="157">
        <v>7</v>
      </c>
      <c r="S54" s="260">
        <f>$H$41-INDEX('Policy Requirements'!$D$53:$I$60, MATCH($R54,'Policy Requirements'!$B$53:$B$60,0), MATCH(S$47, 'Policy Requirements'!$D$52:$I$52,0))*($H$41-$H$38)</f>
        <v>18</v>
      </c>
      <c r="T54" s="260">
        <f>$H$41-INDEX('Policy Requirements'!$D$53:$I$60, MATCH($R54,'Policy Requirements'!$B$53:$B$60,0), MATCH(T$47, 'Policy Requirements'!$D$52:$I$52,0))*($H$41-$H$38)</f>
        <v>18</v>
      </c>
      <c r="U54" s="260">
        <f>$H$41-INDEX('Policy Requirements'!$D$53:$I$60, MATCH($R54,'Policy Requirements'!$B$53:$B$60,0), MATCH(U$47, 'Policy Requirements'!$D$52:$I$52,0))*($H$41-$H$38)</f>
        <v>18</v>
      </c>
      <c r="V54" s="260">
        <f>$H$41-INDEX('Policy Requirements'!$D$53:$I$60, MATCH($R54,'Policy Requirements'!$B$53:$B$60,0), MATCH(V$47, 'Policy Requirements'!$D$52:$I$52,0))*($H$41-$H$38)</f>
        <v>18</v>
      </c>
      <c r="W54" s="260">
        <f>$H$41-INDEX('Policy Requirements'!$D$53:$I$60, MATCH($R54,'Policy Requirements'!$B$53:$B$60,0), MATCH(W$47, 'Policy Requirements'!$D$52:$I$52,0))*($H$41-$H$38)</f>
        <v>18</v>
      </c>
      <c r="X54" s="261">
        <f>$H$41-INDEX('Policy Requirements'!$D$53:$I$60, MATCH($R54,'Policy Requirements'!$B$53:$B$60,0), MATCH(X$47, 'Policy Requirements'!$D$52:$I$52,0))*($H$41-$H$38)</f>
        <v>18</v>
      </c>
      <c r="Y54" s="167"/>
    </row>
    <row r="55" spans="2:29" ht="13.8" thickBot="1">
      <c r="J55" s="159">
        <v>8</v>
      </c>
      <c r="K55" s="647">
        <f>$H$41-INDEX('Policy Requirements'!$D$53:$I$60, MATCH($J55,'Policy Requirements'!$B$53:$B$60,0), MATCH(K$47, 'Policy Requirements'!$D$52:$I$52,0))*($H$41-$H$38)</f>
        <v>18</v>
      </c>
      <c r="L55" s="647">
        <f>$H$41-INDEX('Policy Requirements'!$D$53:$I$60, MATCH($J55,'Policy Requirements'!$B$53:$B$60,0), MATCH(L$47, 'Policy Requirements'!$D$52:$I$52,0))*($H$41-$H$38)</f>
        <v>18</v>
      </c>
      <c r="M55" s="647">
        <f>$H$41-INDEX('Policy Requirements'!$D$53:$I$60, MATCH($J55,'Policy Requirements'!$B$53:$B$60,0), MATCH(M$47, 'Policy Requirements'!$D$52:$I$52,0))*($H$41-$H$38)</f>
        <v>18</v>
      </c>
      <c r="N55" s="647">
        <f>$H$41-INDEX('Policy Requirements'!$D$53:$I$60, MATCH($J55,'Policy Requirements'!$B$53:$B$60,0), MATCH(N$47, 'Policy Requirements'!$D$52:$I$52,0))*($H$41-$H$38)</f>
        <v>18</v>
      </c>
      <c r="O55" s="647">
        <f>$H$41-INDEX('Policy Requirements'!$D$53:$I$60, MATCH($J55,'Policy Requirements'!$B$53:$B$60,0), MATCH(O$47, 'Policy Requirements'!$D$52:$I$52,0))*($H$41-$H$38)</f>
        <v>18</v>
      </c>
      <c r="P55" s="648">
        <f>$H$41-INDEX('Policy Requirements'!$D$53:$I$60, MATCH($J55,'Policy Requirements'!$B$53:$B$60,0), MATCH(P$47, 'Policy Requirements'!$D$52:$I$52,0))*($H$41-$H$38)</f>
        <v>18</v>
      </c>
      <c r="Q55" s="168"/>
      <c r="R55" s="159">
        <v>8</v>
      </c>
      <c r="S55" s="647">
        <f>$H$41-INDEX('Policy Requirements'!$D$53:$I$60, MATCH($R55,'Policy Requirements'!$B$53:$B$60,0), MATCH(S$47, 'Policy Requirements'!$D$52:$I$52,0))*($H$41-$H$38)</f>
        <v>18</v>
      </c>
      <c r="T55" s="647">
        <f>$H$41-INDEX('Policy Requirements'!$D$53:$I$60, MATCH($R55,'Policy Requirements'!$B$53:$B$60,0), MATCH(T$47, 'Policy Requirements'!$D$52:$I$52,0))*($H$41-$H$38)</f>
        <v>18</v>
      </c>
      <c r="U55" s="647">
        <f>$H$41-INDEX('Policy Requirements'!$D$53:$I$60, MATCH($R55,'Policy Requirements'!$B$53:$B$60,0), MATCH(U$47, 'Policy Requirements'!$D$52:$I$52,0))*($H$41-$H$38)</f>
        <v>18</v>
      </c>
      <c r="V55" s="647">
        <f>$H$41-INDEX('Policy Requirements'!$D$53:$I$60, MATCH($R55,'Policy Requirements'!$B$53:$B$60,0), MATCH(V$47, 'Policy Requirements'!$D$52:$I$52,0))*($H$41-$H$38)</f>
        <v>18</v>
      </c>
      <c r="W55" s="647">
        <f>$H$41-INDEX('Policy Requirements'!$D$53:$I$60, MATCH($R55,'Policy Requirements'!$B$53:$B$60,0), MATCH(W$47, 'Policy Requirements'!$D$52:$I$52,0))*($H$41-$H$38)</f>
        <v>18</v>
      </c>
      <c r="X55" s="648">
        <f>$H$41-INDEX('Policy Requirements'!$D$53:$I$60, MATCH($R55,'Policy Requirements'!$B$53:$B$60,0), MATCH(X$47, 'Policy Requirements'!$D$52:$I$52,0))*($H$41-$H$38)</f>
        <v>18</v>
      </c>
      <c r="Y55" s="167"/>
    </row>
    <row r="56" spans="2:29">
      <c r="K56" s="230"/>
      <c r="S56" s="230"/>
    </row>
    <row r="57" spans="2:29"/>
    <row r="58" spans="2:29">
      <c r="B58" s="46" t="s">
        <v>511</v>
      </c>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row>
    <row r="59" spans="2:29" ht="13.8" thickBot="1"/>
    <row r="60" spans="2:29" ht="13.8" thickBot="1">
      <c r="B60" s="663" t="s">
        <v>513</v>
      </c>
      <c r="C60" s="664" t="s">
        <v>210</v>
      </c>
      <c r="J60" s="670" t="s">
        <v>514</v>
      </c>
      <c r="K60" s="671">
        <v>2023</v>
      </c>
      <c r="L60" s="671">
        <v>2024</v>
      </c>
      <c r="M60" s="671">
        <v>2025</v>
      </c>
      <c r="N60" s="671">
        <v>2026</v>
      </c>
      <c r="O60" s="671">
        <v>2027</v>
      </c>
      <c r="P60" s="672">
        <v>2028</v>
      </c>
    </row>
    <row r="61" spans="2:29">
      <c r="B61" s="75" t="s">
        <v>147</v>
      </c>
      <c r="C61" s="78">
        <v>1.7</v>
      </c>
      <c r="J61" s="162" t="s">
        <v>515</v>
      </c>
      <c r="K61" s="209">
        <f>('Central Inputs'!$C$12*('Central Inputs'!C$60/SUM('Central Inputs'!C$60:C$61))+'Central Inputs'!$C$13*('Central Inputs'!C$61/SUM('Central Inputs'!C$60:C$61)))*'Consolidated Model'!L7</f>
        <v>216.75167925038394</v>
      </c>
      <c r="L61" s="209">
        <f>('Central Inputs'!$C$12*('Central Inputs'!D$60/SUM('Central Inputs'!D$60:D$61))+'Central Inputs'!$C$13*('Central Inputs'!D$61/SUM('Central Inputs'!D$60:D$61)))*'Consolidated Model'!M7</f>
        <v>251.72409346155507</v>
      </c>
      <c r="M61" s="209">
        <f>('Central Inputs'!$C$12*('Central Inputs'!E$60/SUM('Central Inputs'!E$60:E$61))+'Central Inputs'!$C$13*('Central Inputs'!E$61/SUM('Central Inputs'!E$60:E$61)))*'Consolidated Model'!N7</f>
        <v>208.8857223893107</v>
      </c>
      <c r="N61" s="209">
        <f>('Central Inputs'!$C$12*('Central Inputs'!F$60/SUM('Central Inputs'!F$60:F$61))+'Central Inputs'!$C$13*('Central Inputs'!F$61/SUM('Central Inputs'!F$60:F$61)))*'Consolidated Model'!O7</f>
        <v>193.77245596798875</v>
      </c>
      <c r="O61" s="209">
        <f>('Central Inputs'!$C$12*('Central Inputs'!G$60/SUM('Central Inputs'!G$60:G$61))+'Central Inputs'!$C$13*('Central Inputs'!G$61/SUM('Central Inputs'!G$60:G$61)))*'Consolidated Model'!P7</f>
        <v>193.77245596798875</v>
      </c>
      <c r="P61" s="673">
        <f>('Central Inputs'!$C$12*('Central Inputs'!H$60/SUM('Central Inputs'!H$60:H$61))+'Central Inputs'!$C$13*('Central Inputs'!H$61/SUM('Central Inputs'!H$60:H$61)))*'Consolidated Model'!Q7</f>
        <v>193.77245596798875</v>
      </c>
    </row>
    <row r="62" spans="2:29">
      <c r="B62" s="75" t="s">
        <v>516</v>
      </c>
      <c r="C62" s="78">
        <v>2550</v>
      </c>
      <c r="J62" s="162" t="s">
        <v>517</v>
      </c>
      <c r="K62" s="84">
        <f>PRODUCT('Central Inputs'!C67:C70)/12</f>
        <v>129.20163349333333</v>
      </c>
      <c r="L62" s="84">
        <f>PRODUCT('Central Inputs'!D67:D70)/12</f>
        <v>129.20163349333333</v>
      </c>
      <c r="M62" s="84">
        <f>PRODUCT('Central Inputs'!E67:E70)/12</f>
        <v>129.20163349333333</v>
      </c>
      <c r="N62" s="84">
        <f>PRODUCT('Central Inputs'!F67:F70)/12</f>
        <v>129.20163349333333</v>
      </c>
      <c r="O62" s="84">
        <f>PRODUCT('Central Inputs'!G67:G70)/12</f>
        <v>129.20163349333333</v>
      </c>
      <c r="P62" s="665">
        <f>PRODUCT('Central Inputs'!H67:H70)/12</f>
        <v>129.20163349333333</v>
      </c>
    </row>
    <row r="63" spans="2:29">
      <c r="B63" s="75" t="s">
        <v>518</v>
      </c>
      <c r="C63" s="78">
        <v>0</v>
      </c>
      <c r="J63" s="162" t="s">
        <v>253</v>
      </c>
      <c r="K63" s="51">
        <f>'Consolidated Model'!L179</f>
        <v>466.24215658041123</v>
      </c>
      <c r="L63" s="51">
        <f>'Consolidated Model'!M179</f>
        <v>541.46931919816507</v>
      </c>
      <c r="M63" s="51">
        <f>'Consolidated Model'!N179</f>
        <v>449.32214607272437</v>
      </c>
      <c r="N63" s="51">
        <f>'Consolidated Model'!O179</f>
        <v>416.81286192959362</v>
      </c>
      <c r="O63" s="51">
        <f>'Consolidated Model'!P179</f>
        <v>416.81286192959362</v>
      </c>
      <c r="P63" s="674">
        <f>'Consolidated Model'!Q179</f>
        <v>416.81286192959362</v>
      </c>
    </row>
    <row r="64" spans="2:29">
      <c r="B64" s="75" t="s">
        <v>519</v>
      </c>
      <c r="C64" s="78">
        <v>4</v>
      </c>
      <c r="J64" s="162" t="s">
        <v>520</v>
      </c>
      <c r="K64" s="84">
        <v>30</v>
      </c>
      <c r="L64" s="84">
        <v>30</v>
      </c>
      <c r="M64" s="84">
        <v>30</v>
      </c>
      <c r="N64" s="84">
        <v>30</v>
      </c>
      <c r="O64" s="84">
        <v>30</v>
      </c>
      <c r="P64" s="665">
        <v>30</v>
      </c>
    </row>
    <row r="65" spans="2:16" ht="13.8" thickBot="1">
      <c r="B65" s="75" t="s">
        <v>521</v>
      </c>
      <c r="C65" s="665">
        <v>255</v>
      </c>
      <c r="J65" s="675" t="s">
        <v>522</v>
      </c>
      <c r="K65" s="649">
        <f>SUM(K61:K64)</f>
        <v>842.19546932412845</v>
      </c>
      <c r="L65" s="649">
        <f t="shared" ref="L65:P65" si="12">SUM(L61:L64)</f>
        <v>952.3950461530535</v>
      </c>
      <c r="M65" s="649">
        <f t="shared" si="12"/>
        <v>817.40950195536834</v>
      </c>
      <c r="N65" s="649">
        <f>SUM(N61:N64)</f>
        <v>769.78695139091565</v>
      </c>
      <c r="O65" s="649">
        <f t="shared" si="12"/>
        <v>769.78695139091565</v>
      </c>
      <c r="P65" s="676">
        <f t="shared" si="12"/>
        <v>769.78695139091565</v>
      </c>
    </row>
    <row r="66" spans="2:16" ht="13.8" thickBot="1">
      <c r="B66" s="75" t="s">
        <v>523</v>
      </c>
      <c r="C66" s="78">
        <v>127.5</v>
      </c>
      <c r="J66" s="675" t="s">
        <v>519</v>
      </c>
      <c r="K66" s="677">
        <f>$C$68*$C$67/$C$61</f>
        <v>2.3529411764705883</v>
      </c>
      <c r="L66" s="677">
        <f t="shared" ref="L66:P66" si="13">$C$68*$C$67/$C$61</f>
        <v>2.3529411764705883</v>
      </c>
      <c r="M66" s="677">
        <f t="shared" si="13"/>
        <v>2.3529411764705883</v>
      </c>
      <c r="N66" s="677">
        <f t="shared" si="13"/>
        <v>2.3529411764705883</v>
      </c>
      <c r="O66" s="677">
        <f t="shared" si="13"/>
        <v>2.3529411764705883</v>
      </c>
      <c r="P66" s="678">
        <f t="shared" si="13"/>
        <v>2.3529411764705883</v>
      </c>
    </row>
    <row r="67" spans="2:16">
      <c r="B67" s="75" t="s">
        <v>520</v>
      </c>
      <c r="C67" s="78">
        <f>K64*C61</f>
        <v>51</v>
      </c>
    </row>
    <row r="68" spans="2:16">
      <c r="B68" s="75" t="s">
        <v>524</v>
      </c>
      <c r="C68" s="666">
        <f>C64/C67</f>
        <v>7.8431372549019607E-2</v>
      </c>
    </row>
    <row r="69" spans="2:16" ht="26.4">
      <c r="B69" s="161" t="s">
        <v>525</v>
      </c>
      <c r="C69" s="667">
        <v>0.1</v>
      </c>
    </row>
    <row r="70" spans="2:16">
      <c r="B70" s="161" t="s">
        <v>526</v>
      </c>
      <c r="C70" s="665">
        <v>0</v>
      </c>
    </row>
    <row r="71" spans="2:16" ht="13.8" thickBot="1">
      <c r="B71" s="668" t="s">
        <v>527</v>
      </c>
      <c r="C71" s="669">
        <f>0.5</f>
        <v>0.5</v>
      </c>
    </row>
    <row r="72" spans="2:16" ht="13.8" thickBot="1"/>
    <row r="73" spans="2:16">
      <c r="B73" s="134" t="s">
        <v>467</v>
      </c>
      <c r="C73" s="886">
        <f>C7</f>
        <v>1</v>
      </c>
      <c r="D73" s="883"/>
      <c r="E73" s="883"/>
      <c r="F73" s="883"/>
      <c r="G73" s="883"/>
      <c r="H73" s="884"/>
      <c r="J73" s="108"/>
    </row>
    <row r="74" spans="2:16">
      <c r="B74" s="135" t="s">
        <v>405</v>
      </c>
      <c r="C74" s="136">
        <v>2023</v>
      </c>
      <c r="D74" s="318">
        <v>2024</v>
      </c>
      <c r="E74" s="318">
        <v>2025</v>
      </c>
      <c r="F74" s="318">
        <v>2026</v>
      </c>
      <c r="G74" s="318">
        <v>2027</v>
      </c>
      <c r="H74" s="137">
        <v>2028</v>
      </c>
    </row>
    <row r="75" spans="2:16">
      <c r="B75" s="75" t="s">
        <v>528</v>
      </c>
      <c r="C75" s="164">
        <f>INDEX('Policy Requirements'!$C$9:$I$45, MATCH($C$73,'Policy Requirements'!$B$9:$B$16,0), MATCH(C74, 'Policy Requirements'!$C$8:$I$8,0))</f>
        <v>0.3</v>
      </c>
      <c r="D75" s="164">
        <f>INDEX('Policy Requirements'!$C$9:$I$45, MATCH($C$73,'Policy Requirements'!$B$9:$B$16,0), MATCH(D74, 'Policy Requirements'!$C$8:$I$8,0))</f>
        <v>0.3</v>
      </c>
      <c r="E75" s="164">
        <f>INDEX('Policy Requirements'!$C$9:$I$45, MATCH($C$73,'Policy Requirements'!$B$9:$B$16,0), MATCH(E74, 'Policy Requirements'!$C$8:$I$8,0))</f>
        <v>0.3</v>
      </c>
      <c r="F75" s="164">
        <f>INDEX('Policy Requirements'!$C$9:$I$45, MATCH($C$73,'Policy Requirements'!$B$9:$B$16,0), MATCH(F74, 'Policy Requirements'!$C$8:$I$8,0))</f>
        <v>0.3</v>
      </c>
      <c r="G75" s="164">
        <f>INDEX('Policy Requirements'!$C$9:$I$45, MATCH($C$73,'Policy Requirements'!$B$9:$B$16,0), MATCH(G74, 'Policy Requirements'!$C$8:$I$8,0))</f>
        <v>0.3</v>
      </c>
      <c r="H75" s="650">
        <f>INDEX('Policy Requirements'!$C$9:$I$45, MATCH($C$73,'Policy Requirements'!$B$9:$B$16,0), MATCH(H74, 'Policy Requirements'!$C$8:$I$8,0))</f>
        <v>0.3</v>
      </c>
      <c r="P75" s="27"/>
    </row>
    <row r="76" spans="2:16">
      <c r="B76" s="75" t="s">
        <v>529</v>
      </c>
      <c r="C76" s="164">
        <f>INDEX('Policy Requirements'!$C$21:$I$28, MATCH($C$73,'Policy Requirements'!$B$21:$B$28,0), MATCH(C74,'Policy Requirements'!$C$20:$I$20,0))</f>
        <v>0.4</v>
      </c>
      <c r="D76" s="164">
        <f>INDEX('Policy Requirements'!$C$21:$I$28, MATCH($C$73,'Policy Requirements'!$B$21:$B$28,0), MATCH(D74,'Policy Requirements'!$C$20:$I$20,0))</f>
        <v>1</v>
      </c>
      <c r="E76" s="164">
        <f>INDEX('Policy Requirements'!$C$21:$I$28, MATCH($C$73,'Policy Requirements'!$B$21:$B$28,0), MATCH(E74,'Policy Requirements'!$C$20:$I$20,0))</f>
        <v>1</v>
      </c>
      <c r="F76" s="164">
        <f>INDEX('Policy Requirements'!$C$21:$I$28, MATCH($C$73,'Policy Requirements'!$B$21:$B$28,0), MATCH(F74,'Policy Requirements'!$C$20:$I$20,0))</f>
        <v>1</v>
      </c>
      <c r="G76" s="164">
        <f>INDEX('Policy Requirements'!$C$21:$I$28, MATCH($C$73,'Policy Requirements'!$B$21:$B$28,0), MATCH(G74,'Policy Requirements'!$C$20:$I$20,0))</f>
        <v>1</v>
      </c>
      <c r="H76" s="165">
        <f>INDEX('Policy Requirements'!$C$21:$I$28, MATCH($C$73,'Policy Requirements'!$B$21:$B$28,0), MATCH(H74,'Policy Requirements'!$C$20:$I$20,0))</f>
        <v>1</v>
      </c>
      <c r="P76" s="27"/>
    </row>
    <row r="77" spans="2:16">
      <c r="B77" s="161" t="s">
        <v>530</v>
      </c>
      <c r="C77" s="164">
        <f>INDEX('Policy Requirements'!$C$35:$I$42, MATCH($C$73,'Policy Requirements'!$B$35:$B$42,0), MATCH(C74,'Policy Requirements'!$C$34:$I$34,0))</f>
        <v>0</v>
      </c>
      <c r="D77" s="164">
        <f>INDEX('Policy Requirements'!$C$35:$I$42, MATCH($C$73,'Policy Requirements'!$B$35:$B$42,0), MATCH(D74,'Policy Requirements'!$C$34:$I$34,0))</f>
        <v>0</v>
      </c>
      <c r="E77" s="164">
        <f>INDEX('Policy Requirements'!$C$35:$I$42, MATCH($C$73,'Policy Requirements'!$B$35:$B$42,0), MATCH(E74,'Policy Requirements'!$C$34:$I$34,0))</f>
        <v>0</v>
      </c>
      <c r="F77" s="164">
        <f>INDEX('Policy Requirements'!$C$35:$I$42, MATCH($C$73,'Policy Requirements'!$B$35:$B$42,0), MATCH(F74,'Policy Requirements'!$C$34:$I$34,0))</f>
        <v>0</v>
      </c>
      <c r="G77" s="164">
        <f>INDEX('Policy Requirements'!$C$35:$I$42, MATCH($C$73,'Policy Requirements'!$B$35:$B$42,0), MATCH(G74,'Policy Requirements'!$C$34:$I$34,0))</f>
        <v>0</v>
      </c>
      <c r="H77" s="165">
        <f>INDEX('Policy Requirements'!$C$35:$I$42, MATCH($C$73,'Policy Requirements'!$B$35:$B$42,0), MATCH(H74,'Policy Requirements'!$C$34:$I$34,0))</f>
        <v>0</v>
      </c>
      <c r="J77" s="230"/>
    </row>
    <row r="78" spans="2:16">
      <c r="B78" s="161" t="s">
        <v>531</v>
      </c>
      <c r="C78" s="117">
        <f>K$65-SUMPRODUCT(C75:C77,K$61:K$63)</f>
        <v>725.48931215168</v>
      </c>
      <c r="D78" s="117">
        <f>L$65-SUMPRODUCT(D75:D77,L$61:L$63)</f>
        <v>747.6761846212537</v>
      </c>
      <c r="E78" s="117">
        <f t="shared" ref="E78:G78" si="14">M$65-SUMPRODUCT(E75:E77,M$61:M$63)</f>
        <v>625.54215174524177</v>
      </c>
      <c r="F78" s="117">
        <f>N$65-SUMPRODUCT(F75:F77,N$61:N$63)</f>
        <v>582.45358110718576</v>
      </c>
      <c r="G78" s="117">
        <f t="shared" si="14"/>
        <v>582.45358110718576</v>
      </c>
      <c r="H78" s="166">
        <f>P$65-SUMPRODUCT(H75:H77,P$61:P$63)</f>
        <v>582.45358110718576</v>
      </c>
      <c r="J78" s="230"/>
    </row>
    <row r="79" spans="2:16">
      <c r="B79" s="75" t="s">
        <v>532</v>
      </c>
      <c r="C79" s="167">
        <f>$C$70+K66+$C$69*(K65-C78)</f>
        <v>14.023556893715435</v>
      </c>
      <c r="D79" s="167">
        <f t="shared" ref="D79:H79" si="15">$C$70+L66+$C$69*(L65-D78)</f>
        <v>22.824827329650567</v>
      </c>
      <c r="E79" s="167">
        <f t="shared" si="15"/>
        <v>21.539676197483246</v>
      </c>
      <c r="F79" s="167">
        <f t="shared" si="15"/>
        <v>21.086278204843577</v>
      </c>
      <c r="G79" s="167">
        <f t="shared" si="15"/>
        <v>21.086278204843577</v>
      </c>
      <c r="H79" s="168">
        <f t="shared" si="15"/>
        <v>21.086278204843577</v>
      </c>
      <c r="J79" s="230"/>
    </row>
    <row r="80" spans="2:16">
      <c r="B80" s="75" t="s">
        <v>533</v>
      </c>
      <c r="C80" s="257">
        <f t="shared" ref="C80:H80" si="16">(C79-K66)*$C$71</f>
        <v>5.8353078586224232</v>
      </c>
      <c r="D80" s="167">
        <f t="shared" si="16"/>
        <v>10.23594307658999</v>
      </c>
      <c r="E80" s="167">
        <f t="shared" si="16"/>
        <v>9.5933675105063294</v>
      </c>
      <c r="F80" s="167">
        <f t="shared" si="16"/>
        <v>9.3666685141864949</v>
      </c>
      <c r="G80" s="167">
        <f t="shared" si="16"/>
        <v>9.3666685141864949</v>
      </c>
      <c r="H80" s="168">
        <f t="shared" si="16"/>
        <v>9.3666685141864949</v>
      </c>
      <c r="J80" s="230"/>
    </row>
    <row r="81" spans="2:10">
      <c r="B81" s="75" t="s">
        <v>534</v>
      </c>
      <c r="C81" s="257">
        <f t="shared" ref="C81:H81" si="17">C79-K66</f>
        <v>11.670615717244846</v>
      </c>
      <c r="D81" s="167">
        <f t="shared" si="17"/>
        <v>20.47188615317998</v>
      </c>
      <c r="E81" s="167">
        <f t="shared" si="17"/>
        <v>19.186735021012659</v>
      </c>
      <c r="F81" s="167">
        <f t="shared" si="17"/>
        <v>18.73333702837299</v>
      </c>
      <c r="G81" s="167">
        <f t="shared" si="17"/>
        <v>18.73333702837299</v>
      </c>
      <c r="H81" s="168">
        <f t="shared" si="17"/>
        <v>18.73333702837299</v>
      </c>
      <c r="J81" s="230"/>
    </row>
    <row r="82" spans="2:10">
      <c r="B82" s="75"/>
      <c r="C82" s="13"/>
      <c r="D82" s="13"/>
      <c r="E82" s="13"/>
      <c r="F82" s="13"/>
      <c r="G82" s="13"/>
      <c r="H82" s="158"/>
    </row>
    <row r="83" spans="2:10">
      <c r="B83" s="162" t="s">
        <v>482</v>
      </c>
      <c r="C83" s="13"/>
      <c r="D83" s="13"/>
      <c r="E83" s="13"/>
      <c r="F83" s="13"/>
      <c r="G83" s="13"/>
      <c r="H83" s="158"/>
    </row>
    <row r="84" spans="2:10">
      <c r="B84" s="75" t="s">
        <v>535</v>
      </c>
      <c r="C84" s="167">
        <f t="shared" ref="C84:G84" si="18">C79/K66</f>
        <v>5.9600116798290594</v>
      </c>
      <c r="D84" s="167">
        <f t="shared" si="18"/>
        <v>9.7005516151014906</v>
      </c>
      <c r="E84" s="167">
        <f t="shared" si="18"/>
        <v>9.1543623839303798</v>
      </c>
      <c r="F84" s="167">
        <f t="shared" si="18"/>
        <v>8.9616682370585199</v>
      </c>
      <c r="G84" s="167">
        <f t="shared" si="18"/>
        <v>8.9616682370585199</v>
      </c>
      <c r="H84" s="168">
        <f>H79/P66</f>
        <v>8.9616682370585199</v>
      </c>
    </row>
    <row r="85" spans="2:10">
      <c r="B85" s="75" t="s">
        <v>488</v>
      </c>
      <c r="C85" s="13" t="str">
        <f>IF(C84&lt;$K$36, IF(C84&lt;$K$37, IF(C84&lt;$K$38, IF(C84&lt;$K$39, IF(C84&lt;$K$40, IF(C84&lt;$K$41, "CCC",$J$41), $J$40), $J$39), $J$38), $J$37), $J$36)</f>
        <v>BBB</v>
      </c>
      <c r="D85" s="13" t="str">
        <f t="shared" ref="D85:G85" si="19">IF(D84&lt;$K$36, IF(D84&lt;$K$37, IF(D84&lt;$K$38, IF(D84&lt;$K$39, IF(D84&lt;$K$40, IF(D84&lt;$K$41, "CCC",$J$41), $J$40), $J$39), $J$38), $J$37), $J$36)</f>
        <v>A</v>
      </c>
      <c r="E85" s="13" t="str">
        <f t="shared" si="19"/>
        <v>A</v>
      </c>
      <c r="F85" s="13" t="str">
        <f t="shared" si="19"/>
        <v>A</v>
      </c>
      <c r="G85" s="13" t="str">
        <f t="shared" si="19"/>
        <v>A</v>
      </c>
      <c r="H85" s="158" t="str">
        <f>IF(H84&lt;$K$36, IF(H84&lt;$K$37, IF(H84&lt;$K$38, IF(H84&lt;$K$39, IF(H84&lt;$K$40, IF(H84&lt;$K$41, "CCC",$J$41), $J$40), $J$39), $J$38), $J$37), $J$36)</f>
        <v>A</v>
      </c>
    </row>
    <row r="86" spans="2:10">
      <c r="B86" s="75" t="s">
        <v>489</v>
      </c>
      <c r="C86" s="257">
        <f t="shared" ref="C86:H86" si="20">IF(C84&gt;$K$36, $C$35, IF(C84&gt;$K$37, ($C$36-$S$35*(C84-$K$37)/$V$36), IF(C84&gt;$K$38, ($C$37-$S$36*(C84-$K$38)/$V$37), IF(C84&gt;$K$39, ($C$38-$S$37*(C84-$K$39)/$V$38), IF(C84&gt;$K$40, ($C$39-$S$38*(C84-$K$40)/$V$39), IF(C84&gt;$K$41, ($C$40-$S$39*(C84-$K$41)/$V$40), $C$41))))))</f>
        <v>7.6105170948717955</v>
      </c>
      <c r="D86" s="257">
        <f t="shared" si="20"/>
        <v>4.9796690309391058</v>
      </c>
      <c r="E86" s="257">
        <f t="shared" si="20"/>
        <v>5.3073825696417725</v>
      </c>
      <c r="F86" s="257">
        <f t="shared" si="20"/>
        <v>5.4229990577648879</v>
      </c>
      <c r="G86" s="257">
        <f t="shared" si="20"/>
        <v>5.4229990577648879</v>
      </c>
      <c r="H86" s="368">
        <f t="shared" si="20"/>
        <v>5.4229990577648879</v>
      </c>
      <c r="I86" s="75"/>
      <c r="J86" s="230"/>
    </row>
    <row r="87" spans="2:10">
      <c r="B87" s="75"/>
      <c r="C87" s="13"/>
      <c r="D87" s="13"/>
      <c r="E87" s="13"/>
      <c r="F87" s="13"/>
      <c r="G87" s="13"/>
      <c r="H87" s="158"/>
    </row>
    <row r="88" spans="2:10">
      <c r="B88" s="162" t="s">
        <v>498</v>
      </c>
      <c r="C88" s="13"/>
      <c r="D88" s="13"/>
      <c r="E88" s="13"/>
      <c r="F88" s="13"/>
      <c r="G88" s="13"/>
      <c r="H88" s="158"/>
    </row>
    <row r="89" spans="2:10">
      <c r="B89" s="75" t="s">
        <v>535</v>
      </c>
      <c r="C89" s="167">
        <f t="shared" ref="C89:H89" si="21">C81/C78</f>
        <v>1.6086543966625438E-2</v>
      </c>
      <c r="D89" s="167">
        <f t="shared" si="21"/>
        <v>2.7380685080333693E-2</v>
      </c>
      <c r="E89" s="167">
        <f t="shared" si="21"/>
        <v>3.0672169681103516E-2</v>
      </c>
      <c r="F89" s="167">
        <f>F81/F78</f>
        <v>3.2162798265851153E-2</v>
      </c>
      <c r="G89" s="167">
        <f t="shared" si="21"/>
        <v>3.2162798265851153E-2</v>
      </c>
      <c r="H89" s="168">
        <f t="shared" si="21"/>
        <v>3.2162798265851153E-2</v>
      </c>
    </row>
    <row r="90" spans="2:10">
      <c r="B90" s="75" t="s">
        <v>488</v>
      </c>
      <c r="C90" s="13" t="str">
        <f>IF(C89&lt;$L$36, IF(C89&lt;$L$37, IF(C89&lt;$L$38, IF(C89&lt;$L$39, IF(C89&lt;$L$40, IF(C89&lt;$L$41, "CCC",$J$41), $J$40), $J$39), $J$38), $J$37), $J$36)</f>
        <v>CCC</v>
      </c>
      <c r="D90" s="13" t="str">
        <f t="shared" ref="D90:H90" si="22">IF(D89&lt;$L$36, IF(D89&lt;$L$37, IF(D89&lt;$L$38, IF(D89&lt;$L$39, IF(D89&lt;$L$40, IF(D89&lt;$L$41, "CCC",$J$41), $J$40), $J$39), $J$38), $J$37), $J$36)</f>
        <v>CCC</v>
      </c>
      <c r="E90" s="13" t="str">
        <f t="shared" si="22"/>
        <v>CCC</v>
      </c>
      <c r="F90" s="13" t="str">
        <f t="shared" si="22"/>
        <v>CCC</v>
      </c>
      <c r="G90" s="13" t="str">
        <f t="shared" si="22"/>
        <v>CCC</v>
      </c>
      <c r="H90" s="158" t="str">
        <f t="shared" si="22"/>
        <v>CCC</v>
      </c>
    </row>
    <row r="91" spans="2:10">
      <c r="B91" s="75" t="s">
        <v>489</v>
      </c>
      <c r="C91" s="13">
        <f t="shared" ref="C91:H91" si="23">IF(C89&gt;$L$36, $C$35, IF(C89&gt;$L$37, ($C$36-$S$35*(C89-$L$37)/$W$36), IF(C89&gt;$L$38, ($C$37-$S$36*(C89-$L$38)/$W$37), IF(C89&gt;$L$39, ($C$38-$S$37*(C89-$L$39)/$W$38), IF(C89&gt;$L$40, ($C$39-$S$38*(C89-$L$40)/$W$39), IF(C89&gt;$L$41, ($C$40-$S$39*(C89-$L$41)/$W$40), $C$41))))))</f>
        <v>18</v>
      </c>
      <c r="D91" s="13">
        <f t="shared" si="23"/>
        <v>18</v>
      </c>
      <c r="E91" s="13">
        <f t="shared" si="23"/>
        <v>18</v>
      </c>
      <c r="F91" s="13">
        <f t="shared" si="23"/>
        <v>18</v>
      </c>
      <c r="G91" s="13">
        <f t="shared" si="23"/>
        <v>18</v>
      </c>
      <c r="H91" s="158">
        <f t="shared" si="23"/>
        <v>18</v>
      </c>
      <c r="J91" s="230"/>
    </row>
    <row r="92" spans="2:10">
      <c r="B92" s="75"/>
      <c r="C92" s="13"/>
      <c r="D92" s="13"/>
      <c r="E92" s="13"/>
      <c r="F92" s="13"/>
      <c r="G92" s="13"/>
      <c r="H92" s="158"/>
    </row>
    <row r="93" spans="2:10">
      <c r="B93" s="162" t="s">
        <v>484</v>
      </c>
      <c r="C93" s="13"/>
      <c r="D93" s="13"/>
      <c r="E93" s="13"/>
      <c r="F93" s="13"/>
      <c r="G93" s="13"/>
      <c r="H93" s="158"/>
    </row>
    <row r="94" spans="2:10">
      <c r="B94" s="75" t="s">
        <v>535</v>
      </c>
      <c r="C94" s="167">
        <f>(C81-C80)/C78</f>
        <v>8.0432719833127189E-3</v>
      </c>
      <c r="D94" s="167">
        <f>(D81-D80)/D78</f>
        <v>1.3690342540166846E-2</v>
      </c>
      <c r="E94" s="167">
        <f t="shared" ref="E94:H94" si="24">(E81-E80)/E78</f>
        <v>1.5336084840551758E-2</v>
      </c>
      <c r="F94" s="167">
        <f t="shared" si="24"/>
        <v>1.6081399132925576E-2</v>
      </c>
      <c r="G94" s="167">
        <f t="shared" si="24"/>
        <v>1.6081399132925576E-2</v>
      </c>
      <c r="H94" s="168">
        <f t="shared" si="24"/>
        <v>1.6081399132925576E-2</v>
      </c>
    </row>
    <row r="95" spans="2:10">
      <c r="B95" s="75" t="s">
        <v>488</v>
      </c>
      <c r="C95" s="13" t="str">
        <f>IF(C94&lt;$M$36, IF(C94&lt;$M$37, IF(C94&lt;$M$38, IF(C94&lt;$M$39, IF(C94&lt;$M$40, IF(C94&lt;$M$41, "CCC",$J$41), $J$40), $J$39), $J$38), $J$37), $J$36)</f>
        <v>CCC</v>
      </c>
      <c r="D95" s="13" t="str">
        <f t="shared" ref="D95:H95" si="25">IF(D94&lt;$M$36, IF(D94&lt;$M$37, IF(D94&lt;$M$38, IF(D94&lt;$M$39, IF(D94&lt;$M$40, IF(D94&lt;$M$41, "CCC",$J$41), $J$40), $J$39), $J$38), $J$37), $J$36)</f>
        <v>CCC</v>
      </c>
      <c r="E95" s="13" t="str">
        <f t="shared" si="25"/>
        <v>CCC</v>
      </c>
      <c r="F95" s="13" t="str">
        <f t="shared" si="25"/>
        <v>CCC</v>
      </c>
      <c r="G95" s="13" t="str">
        <f t="shared" si="25"/>
        <v>CCC</v>
      </c>
      <c r="H95" s="158" t="str">
        <f t="shared" si="25"/>
        <v>CCC</v>
      </c>
    </row>
    <row r="96" spans="2:10" ht="13.8" thickBot="1">
      <c r="B96" s="77" t="s">
        <v>489</v>
      </c>
      <c r="C96" s="544">
        <f t="shared" ref="C96:H96" si="26">IF(C94&gt;$M$36, $C$35, IF(C94&gt;$M$37, ($C$36-$S$35*(C94-$M$37)/$X$36), IF(C94&gt;$M$38, ($C$37-$S$36*(C94-$M$38)/$X$37), IF(C94&gt;$M$39, ($C$38-$S$37*(C94-$M$39)/$X$38), IF(C94&gt;$M$40, ($C$39-$S$38*(C94-$M$40)/$X$39), IF(C94&gt;$M$41, ($C$40-$S$39*(C94-$M$41)/$X$40), $C$41))))))</f>
        <v>18</v>
      </c>
      <c r="D96" s="544">
        <f t="shared" si="26"/>
        <v>18</v>
      </c>
      <c r="E96" s="544">
        <f t="shared" si="26"/>
        <v>18</v>
      </c>
      <c r="F96" s="544">
        <f t="shared" si="26"/>
        <v>18</v>
      </c>
      <c r="G96" s="544">
        <f t="shared" si="26"/>
        <v>18</v>
      </c>
      <c r="H96" s="369">
        <f t="shared" si="26"/>
        <v>18</v>
      </c>
      <c r="J96" s="230"/>
    </row>
    <row r="97" spans="2:29"/>
    <row r="98" spans="2:29">
      <c r="B98" s="14" t="s">
        <v>362</v>
      </c>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row>
    <row r="99" spans="2:29"/>
  </sheetData>
  <mergeCells count="12">
    <mergeCell ref="C7:H7"/>
    <mergeCell ref="A18:A23"/>
    <mergeCell ref="A24:A26"/>
    <mergeCell ref="C16:I16"/>
    <mergeCell ref="C73:H73"/>
    <mergeCell ref="O34:P34"/>
    <mergeCell ref="B46:H46"/>
    <mergeCell ref="J46:P46"/>
    <mergeCell ref="R46:X46"/>
    <mergeCell ref="J34:M34"/>
    <mergeCell ref="R34:S34"/>
    <mergeCell ref="U34:X34"/>
  </mergeCells>
  <conditionalFormatting sqref="N1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N18" xr:uid="{49ABBFCA-3932-4D8F-85FC-097C924E45B8}">
      <formula1>$Q$18:$Q$19</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E418-4D74-4FC8-A4B8-39EB9FECC258}">
  <sheetPr codeName="Sheet77">
    <tabColor theme="9"/>
  </sheetPr>
  <dimension ref="A1:M104"/>
  <sheetViews>
    <sheetView showGridLines="0" zoomScaleNormal="100" workbookViewId="0"/>
  </sheetViews>
  <sheetFormatPr defaultColWidth="0" defaultRowHeight="14.4" zeroHeight="1"/>
  <cols>
    <col min="1" max="1" width="4.33203125" customWidth="1"/>
    <col min="2" max="2" width="17.33203125" bestFit="1" customWidth="1"/>
    <col min="3" max="3" width="30.33203125" bestFit="1" customWidth="1"/>
    <col min="4" max="4" width="10.33203125" bestFit="1" customWidth="1"/>
    <col min="5" max="5" width="11.6640625" customWidth="1"/>
    <col min="6" max="6" width="9.44140625" bestFit="1" customWidth="1"/>
    <col min="7" max="7" width="8" customWidth="1"/>
    <col min="8" max="10" width="9.44140625" bestFit="1" customWidth="1"/>
    <col min="11" max="13" width="8.6640625" customWidth="1"/>
    <col min="14" max="17" width="8.6640625" hidden="1" customWidth="1"/>
    <col min="18" max="16384" width="8.6640625" hidden="1"/>
  </cols>
  <sheetData>
    <row r="1" spans="1:12" ht="17.399999999999999">
      <c r="A1" s="43" t="s">
        <v>49</v>
      </c>
      <c r="B1" s="10"/>
      <c r="C1" s="10"/>
      <c r="D1" s="29"/>
      <c r="E1" s="29"/>
      <c r="F1" s="29"/>
      <c r="G1" s="10"/>
      <c r="H1" s="10"/>
      <c r="I1" s="10"/>
      <c r="J1" s="10"/>
      <c r="K1" s="10"/>
      <c r="L1" s="10"/>
    </row>
    <row r="2" spans="1:12">
      <c r="C2" s="10"/>
      <c r="D2" s="29"/>
      <c r="E2" s="29"/>
      <c r="F2" s="29"/>
      <c r="G2" s="10"/>
      <c r="H2" s="10"/>
      <c r="I2" s="10"/>
      <c r="J2" s="10"/>
      <c r="K2" s="10"/>
      <c r="L2" s="10"/>
    </row>
    <row r="3" spans="1:12">
      <c r="B3" s="116"/>
      <c r="C3" s="10"/>
      <c r="D3" s="29"/>
      <c r="E3" s="29"/>
      <c r="F3" s="29"/>
      <c r="G3" s="10"/>
      <c r="H3" s="10"/>
      <c r="I3" s="10"/>
      <c r="J3" s="10"/>
      <c r="K3" s="10"/>
      <c r="L3" s="10"/>
    </row>
    <row r="4" spans="1:12">
      <c r="B4" s="28" t="s">
        <v>536</v>
      </c>
      <c r="C4" s="28"/>
      <c r="D4" s="99"/>
      <c r="E4" s="99"/>
      <c r="F4" s="100"/>
      <c r="G4" s="28"/>
      <c r="H4" s="28"/>
      <c r="I4" s="28"/>
      <c r="J4" s="28"/>
      <c r="K4" s="28"/>
      <c r="L4" s="28"/>
    </row>
    <row r="5" spans="1:12" ht="15" thickBot="1">
      <c r="B5" s="98"/>
      <c r="C5" s="10"/>
      <c r="D5" s="29"/>
      <c r="E5" s="29"/>
      <c r="F5" s="29"/>
      <c r="G5" s="10"/>
      <c r="H5" s="10"/>
      <c r="I5" s="10"/>
      <c r="J5" s="10"/>
      <c r="K5" s="10"/>
      <c r="L5" s="10"/>
    </row>
    <row r="6" spans="1:12">
      <c r="B6" s="98"/>
      <c r="C6" s="478" t="s">
        <v>537</v>
      </c>
      <c r="D6" s="479">
        <v>42370</v>
      </c>
      <c r="E6" s="479">
        <v>44743</v>
      </c>
      <c r="F6" s="29"/>
      <c r="G6" s="10"/>
      <c r="H6" s="10"/>
      <c r="I6" s="10"/>
      <c r="J6" s="10"/>
      <c r="K6" s="10"/>
      <c r="L6" s="10"/>
    </row>
    <row r="7" spans="1:12" ht="15" thickBot="1">
      <c r="B7" s="98"/>
      <c r="C7" s="395" t="s">
        <v>538</v>
      </c>
      <c r="D7" s="480">
        <v>44561</v>
      </c>
      <c r="E7" s="480">
        <f ca="1">TODAY()</f>
        <v>44909</v>
      </c>
      <c r="F7" s="29"/>
      <c r="G7" s="10"/>
      <c r="H7" s="10"/>
      <c r="I7" s="10"/>
      <c r="J7" s="10"/>
      <c r="K7" s="10"/>
      <c r="L7" s="10"/>
    </row>
    <row r="8" spans="1:12" ht="15" thickBot="1">
      <c r="B8" s="98"/>
      <c r="C8" s="13"/>
      <c r="D8" s="94"/>
      <c r="E8" s="94"/>
      <c r="F8" s="29"/>
      <c r="G8" s="10"/>
      <c r="H8" s="10"/>
      <c r="I8" s="10"/>
      <c r="J8" s="10"/>
      <c r="K8" s="10"/>
      <c r="L8" s="10"/>
    </row>
    <row r="9" spans="1:12">
      <c r="C9" s="481" t="s">
        <v>539</v>
      </c>
      <c r="D9" s="483">
        <v>-4.2251334332833457E-3</v>
      </c>
      <c r="E9" s="483">
        <v>3.7843730158730153E-3</v>
      </c>
      <c r="F9" s="29"/>
      <c r="G9" s="10"/>
      <c r="H9" s="10"/>
      <c r="I9" s="10"/>
      <c r="J9" s="10"/>
      <c r="K9" s="10"/>
      <c r="L9" s="10"/>
    </row>
    <row r="10" spans="1:12">
      <c r="B10" s="89"/>
      <c r="C10" s="10" t="s">
        <v>540</v>
      </c>
      <c r="D10" s="484">
        <v>1.2656303348325836E-2</v>
      </c>
      <c r="E10" s="484">
        <v>2.7371039682539702E-2</v>
      </c>
      <c r="F10" s="29"/>
      <c r="G10" s="10"/>
      <c r="H10" s="10"/>
      <c r="I10" s="10"/>
      <c r="J10" s="10"/>
      <c r="K10" s="10"/>
      <c r="L10" s="10"/>
    </row>
    <row r="11" spans="1:12">
      <c r="B11" s="10"/>
      <c r="C11" s="10" t="s">
        <v>541</v>
      </c>
      <c r="D11" s="484">
        <v>3.8316424676550574E-2</v>
      </c>
      <c r="E11" s="484">
        <v>5.4222785714285696E-2</v>
      </c>
      <c r="F11" s="29"/>
      <c r="G11" s="10"/>
      <c r="H11" s="10"/>
      <c r="I11" s="10"/>
      <c r="J11" s="10"/>
      <c r="K11" s="10"/>
      <c r="L11" s="10"/>
    </row>
    <row r="12" spans="1:12" ht="15" thickBot="1">
      <c r="B12" s="10"/>
      <c r="C12" s="482" t="s">
        <v>542</v>
      </c>
      <c r="D12" s="485">
        <v>9.2093308456882711E-2</v>
      </c>
      <c r="E12" s="485">
        <v>0.11462167460317461</v>
      </c>
      <c r="F12" s="29"/>
      <c r="G12" s="10"/>
      <c r="H12" s="10"/>
      <c r="I12" s="10"/>
      <c r="J12" s="10"/>
      <c r="K12" s="10"/>
      <c r="L12" s="10"/>
    </row>
    <row r="13" spans="1:12">
      <c r="B13" s="10"/>
      <c r="C13" s="10"/>
      <c r="D13" s="30"/>
      <c r="E13" s="30"/>
      <c r="F13" s="29"/>
      <c r="G13" s="10"/>
      <c r="H13" s="10"/>
      <c r="I13" s="10"/>
      <c r="J13" s="10"/>
      <c r="K13" s="10"/>
      <c r="L13" s="10"/>
    </row>
    <row r="14" spans="1:12">
      <c r="B14" s="28" t="s">
        <v>543</v>
      </c>
      <c r="C14" s="28"/>
      <c r="D14" s="99"/>
      <c r="E14" s="99"/>
      <c r="F14" s="100"/>
      <c r="G14" s="28"/>
      <c r="H14" s="28"/>
      <c r="I14" s="28"/>
      <c r="J14" s="28"/>
      <c r="K14" s="28"/>
      <c r="L14" s="28"/>
    </row>
    <row r="15" spans="1:12" ht="15" thickBot="1">
      <c r="B15" s="10"/>
      <c r="C15" s="10"/>
      <c r="D15" s="30"/>
      <c r="E15" s="30"/>
      <c r="F15" s="29"/>
      <c r="G15" s="10"/>
      <c r="H15" s="10"/>
      <c r="I15" s="10"/>
      <c r="J15" s="10"/>
      <c r="K15" s="10"/>
      <c r="L15" s="10"/>
    </row>
    <row r="16" spans="1:12">
      <c r="B16" s="10"/>
      <c r="C16" s="481" t="s">
        <v>537</v>
      </c>
      <c r="D16" s="479">
        <v>44743</v>
      </c>
      <c r="E16" s="30"/>
      <c r="F16" s="29"/>
      <c r="G16" s="10"/>
      <c r="H16" s="10"/>
      <c r="I16" s="10"/>
      <c r="J16" s="10"/>
      <c r="K16" s="10"/>
      <c r="L16" s="10"/>
    </row>
    <row r="17" spans="2:12" ht="15" thickBot="1">
      <c r="B17" s="10"/>
      <c r="C17" s="482" t="s">
        <v>538</v>
      </c>
      <c r="D17" s="480">
        <v>44854</v>
      </c>
      <c r="E17" s="30"/>
      <c r="F17" s="29"/>
      <c r="G17" s="10"/>
      <c r="H17" s="10"/>
      <c r="I17" s="10"/>
      <c r="J17" s="10"/>
      <c r="K17" s="10"/>
      <c r="L17" s="10"/>
    </row>
    <row r="18" spans="2:12">
      <c r="B18" s="10"/>
      <c r="C18" s="10"/>
      <c r="D18" s="29"/>
      <c r="E18" s="29"/>
      <c r="F18" s="29"/>
      <c r="G18" s="10"/>
      <c r="H18" s="10"/>
      <c r="I18" s="10"/>
      <c r="J18" s="10"/>
      <c r="K18" s="10"/>
      <c r="L18" s="10"/>
    </row>
    <row r="19" spans="2:12" ht="15" thickBot="1">
      <c r="B19" s="10"/>
      <c r="C19" s="13"/>
      <c r="D19" s="489">
        <v>2022</v>
      </c>
      <c r="E19" s="489">
        <v>2023</v>
      </c>
      <c r="F19" s="489">
        <v>2024</v>
      </c>
      <c r="G19" s="489">
        <v>2025</v>
      </c>
      <c r="H19" s="489">
        <v>2026</v>
      </c>
      <c r="I19" s="489">
        <v>2027</v>
      </c>
      <c r="J19" s="489">
        <v>2028</v>
      </c>
      <c r="K19" s="10"/>
      <c r="L19" s="10"/>
    </row>
    <row r="20" spans="2:12">
      <c r="B20" s="481" t="s">
        <v>544</v>
      </c>
      <c r="C20" s="478" t="s">
        <v>545</v>
      </c>
      <c r="D20" s="486">
        <v>2.6133049831636349E-2</v>
      </c>
      <c r="E20" s="486">
        <v>2.7026754008391555E-2</v>
      </c>
      <c r="F20" s="486">
        <v>2.8013886780592266E-2</v>
      </c>
      <c r="G20" s="486">
        <v>2.9296178893256766E-2</v>
      </c>
      <c r="H20" s="486">
        <v>3.0646388924331251E-2</v>
      </c>
      <c r="I20" s="486">
        <v>3.193725831454975E-2</v>
      </c>
      <c r="J20" s="486">
        <v>3.3076114038972058E-2</v>
      </c>
      <c r="K20" s="10"/>
      <c r="L20" s="10"/>
    </row>
    <row r="21" spans="2:12" ht="15" thickBot="1">
      <c r="B21" s="482" t="s">
        <v>546</v>
      </c>
      <c r="C21" s="395" t="s">
        <v>547</v>
      </c>
      <c r="D21" s="487">
        <v>-1.0688988632693922E-2</v>
      </c>
      <c r="E21" s="487">
        <v>-7.3964603477040935E-3</v>
      </c>
      <c r="F21" s="487">
        <v>-6.9681435069220291E-3</v>
      </c>
      <c r="G21" s="487">
        <v>-6.404274717201377E-3</v>
      </c>
      <c r="H21" s="487">
        <v>-5.6340163385563066E-3</v>
      </c>
      <c r="I21" s="487">
        <v>-4.7976146336376063E-3</v>
      </c>
      <c r="J21" s="487">
        <v>-3.9468301654236558E-3</v>
      </c>
      <c r="K21" s="10"/>
      <c r="L21" s="10"/>
    </row>
    <row r="22" spans="2:12">
      <c r="B22" s="10"/>
      <c r="C22" s="10"/>
      <c r="D22" s="13"/>
      <c r="E22" s="13"/>
      <c r="F22" s="13"/>
      <c r="G22" s="13"/>
      <c r="H22" s="13"/>
      <c r="I22" s="13"/>
      <c r="J22" s="13"/>
      <c r="K22" s="10"/>
      <c r="L22" s="10"/>
    </row>
    <row r="23" spans="2:12">
      <c r="B23" s="28" t="s">
        <v>548</v>
      </c>
      <c r="C23" s="28"/>
      <c r="D23" s="99"/>
      <c r="E23" s="99"/>
      <c r="F23" s="100"/>
      <c r="G23" s="28"/>
      <c r="H23" s="28"/>
      <c r="I23" s="28"/>
      <c r="J23" s="28"/>
      <c r="K23" s="28"/>
      <c r="L23" s="28"/>
    </row>
    <row r="24" spans="2:12">
      <c r="B24" s="10"/>
      <c r="C24" s="10"/>
      <c r="D24" s="13"/>
      <c r="E24" s="13"/>
      <c r="F24" s="13"/>
      <c r="G24" s="13"/>
      <c r="H24" s="13"/>
      <c r="I24" s="13"/>
      <c r="J24" s="13"/>
      <c r="K24" s="10"/>
      <c r="L24" s="10"/>
    </row>
    <row r="25" spans="2:12" ht="15" thickBot="1">
      <c r="B25" s="10"/>
      <c r="C25" s="10"/>
      <c r="D25" s="488">
        <v>2022</v>
      </c>
      <c r="E25" s="488">
        <v>2023</v>
      </c>
      <c r="F25" s="488">
        <v>2024</v>
      </c>
      <c r="G25" s="488">
        <v>2025</v>
      </c>
      <c r="H25" s="488">
        <v>2026</v>
      </c>
      <c r="I25" s="488">
        <v>2027</v>
      </c>
      <c r="J25" s="488">
        <v>2028</v>
      </c>
      <c r="K25" s="10"/>
      <c r="L25" s="10"/>
    </row>
    <row r="26" spans="2:12">
      <c r="B26" s="481" t="s">
        <v>141</v>
      </c>
      <c r="C26" s="481" t="s">
        <v>539</v>
      </c>
      <c r="D26" s="483">
        <v>2.9917422847509364E-2</v>
      </c>
      <c r="E26" s="483">
        <v>3.081112702426457E-2</v>
      </c>
      <c r="F26" s="483">
        <v>3.1798259796465278E-2</v>
      </c>
      <c r="G26" s="483">
        <v>3.3080551909129785E-2</v>
      </c>
      <c r="H26" s="483">
        <v>3.4430761940204266E-2</v>
      </c>
      <c r="I26" s="483">
        <v>3.5721631330422762E-2</v>
      </c>
      <c r="J26" s="483">
        <v>3.686048705484507E-2</v>
      </c>
      <c r="K26" s="10"/>
      <c r="L26" s="10"/>
    </row>
    <row r="27" spans="2:12">
      <c r="B27" s="10" t="s">
        <v>143</v>
      </c>
      <c r="C27" s="10" t="s">
        <v>540</v>
      </c>
      <c r="D27" s="484">
        <v>5.3504089514176054E-2</v>
      </c>
      <c r="E27" s="484">
        <v>5.4397793690931256E-2</v>
      </c>
      <c r="F27" s="484">
        <v>5.5384926463131964E-2</v>
      </c>
      <c r="G27" s="484">
        <v>5.6667218575796471E-2</v>
      </c>
      <c r="H27" s="484">
        <v>5.8017428606870952E-2</v>
      </c>
      <c r="I27" s="484">
        <v>5.9308297997089449E-2</v>
      </c>
      <c r="J27" s="484">
        <v>6.0447153721511757E-2</v>
      </c>
      <c r="K27" s="10"/>
      <c r="L27" s="10"/>
    </row>
    <row r="28" spans="2:12">
      <c r="B28" s="10" t="s">
        <v>144</v>
      </c>
      <c r="C28" s="10" t="s">
        <v>541</v>
      </c>
      <c r="D28" s="484">
        <v>8.0355835545922044E-2</v>
      </c>
      <c r="E28" s="484">
        <v>8.1249539722677247E-2</v>
      </c>
      <c r="F28" s="484">
        <v>8.2236672494877955E-2</v>
      </c>
      <c r="G28" s="484">
        <v>8.3518964607542462E-2</v>
      </c>
      <c r="H28" s="484">
        <v>8.4869174638616943E-2</v>
      </c>
      <c r="I28" s="484">
        <v>8.6160044028835453E-2</v>
      </c>
      <c r="J28" s="484">
        <v>8.7298899753257747E-2</v>
      </c>
      <c r="K28" s="10"/>
      <c r="L28" s="10"/>
    </row>
    <row r="29" spans="2:12" ht="15" thickBot="1">
      <c r="B29" s="482" t="s">
        <v>145</v>
      </c>
      <c r="C29" s="482" t="s">
        <v>542</v>
      </c>
      <c r="D29" s="485">
        <v>0.14075472443481096</v>
      </c>
      <c r="E29" s="485">
        <v>0.14164842861156618</v>
      </c>
      <c r="F29" s="485">
        <v>0.14263556138376687</v>
      </c>
      <c r="G29" s="485">
        <v>0.14391785349643138</v>
      </c>
      <c r="H29" s="485">
        <v>0.14526806352750588</v>
      </c>
      <c r="I29" s="485">
        <v>0.14655893291772437</v>
      </c>
      <c r="J29" s="485">
        <v>0.14769778864214667</v>
      </c>
      <c r="K29" s="10"/>
      <c r="L29" s="10"/>
    </row>
    <row r="30" spans="2:12">
      <c r="B30" s="10"/>
      <c r="C30" s="10"/>
      <c r="D30" s="88"/>
      <c r="E30" s="88"/>
      <c r="F30" s="88"/>
      <c r="G30" s="88"/>
      <c r="H30" s="88"/>
      <c r="I30" s="88"/>
      <c r="J30" s="88"/>
      <c r="K30" s="10"/>
      <c r="L30" s="10"/>
    </row>
    <row r="31" spans="2:12">
      <c r="B31" s="28" t="s">
        <v>549</v>
      </c>
      <c r="C31" s="28"/>
      <c r="D31" s="99"/>
      <c r="E31" s="99"/>
      <c r="F31" s="100"/>
      <c r="G31" s="28"/>
      <c r="H31" s="28"/>
      <c r="I31" s="28"/>
      <c r="J31" s="28"/>
      <c r="K31" s="28"/>
      <c r="L31" s="28"/>
    </row>
    <row r="32" spans="2:12">
      <c r="B32" s="10"/>
      <c r="C32" s="10"/>
      <c r="D32" s="88"/>
      <c r="E32" s="88"/>
      <c r="F32" s="88"/>
      <c r="G32" s="88"/>
      <c r="H32" s="88"/>
      <c r="I32" s="88"/>
      <c r="J32" s="88"/>
      <c r="K32" s="10"/>
      <c r="L32" s="10"/>
    </row>
    <row r="33" spans="2:12">
      <c r="C33" s="490" t="s">
        <v>550</v>
      </c>
      <c r="D33" s="490"/>
      <c r="E33" s="491"/>
      <c r="F33" s="743"/>
      <c r="G33" s="490"/>
      <c r="H33" s="492"/>
      <c r="I33" s="492"/>
      <c r="J33" s="492"/>
      <c r="K33" s="492"/>
      <c r="L33" s="492"/>
    </row>
    <row r="34" spans="2:12">
      <c r="B34" s="10"/>
      <c r="C34" s="10" t="s">
        <v>551</v>
      </c>
      <c r="D34" s="742">
        <v>0.25</v>
      </c>
      <c r="E34" s="29"/>
      <c r="F34" s="103" t="s">
        <v>552</v>
      </c>
      <c r="G34" s="10"/>
      <c r="H34" s="10"/>
      <c r="I34" s="10"/>
      <c r="J34" s="10"/>
      <c r="K34" s="10"/>
      <c r="L34" s="10"/>
    </row>
    <row r="35" spans="2:12">
      <c r="B35" s="10"/>
      <c r="C35" s="10" t="s">
        <v>553</v>
      </c>
      <c r="D35" s="493">
        <v>6.5000000000000002E-2</v>
      </c>
      <c r="E35" s="29"/>
      <c r="F35" s="103" t="s">
        <v>554</v>
      </c>
      <c r="G35" s="10"/>
      <c r="H35" s="10"/>
      <c r="I35" s="10"/>
      <c r="J35" s="10"/>
      <c r="K35" s="10"/>
      <c r="L35" s="10"/>
    </row>
    <row r="36" spans="2:12">
      <c r="B36" s="10"/>
      <c r="C36" s="10" t="s">
        <v>555</v>
      </c>
      <c r="D36" s="494">
        <v>0.75</v>
      </c>
      <c r="E36" s="29"/>
      <c r="F36" s="103" t="s">
        <v>556</v>
      </c>
      <c r="G36" s="10"/>
      <c r="H36" s="10"/>
      <c r="I36" s="10"/>
      <c r="J36" s="10"/>
      <c r="K36" s="10"/>
      <c r="L36" s="10"/>
    </row>
    <row r="37" spans="2:12" ht="15" thickBot="1">
      <c r="B37" s="10"/>
      <c r="C37" s="482" t="s">
        <v>557</v>
      </c>
      <c r="D37" s="495">
        <f>(D36*(1+(D34)/(1-D34)))</f>
        <v>1</v>
      </c>
      <c r="E37" s="496"/>
      <c r="F37" s="744" t="s">
        <v>426</v>
      </c>
      <c r="G37" s="482"/>
      <c r="H37" s="10"/>
      <c r="I37" s="10"/>
      <c r="J37" s="10"/>
      <c r="K37" s="10"/>
      <c r="L37" s="10"/>
    </row>
    <row r="38" spans="2:12">
      <c r="B38" s="10"/>
      <c r="C38" s="10"/>
      <c r="D38" s="29"/>
      <c r="E38" s="29"/>
      <c r="F38" s="29"/>
      <c r="G38" s="10"/>
      <c r="H38" s="10"/>
      <c r="I38" s="10"/>
      <c r="J38" s="10"/>
      <c r="K38" s="10"/>
      <c r="L38" s="10"/>
    </row>
    <row r="39" spans="2:12">
      <c r="C39" s="490" t="s">
        <v>558</v>
      </c>
      <c r="D39" s="490" t="s">
        <v>141</v>
      </c>
      <c r="E39" s="491"/>
      <c r="F39" s="491"/>
      <c r="G39" s="490"/>
      <c r="H39" s="490"/>
      <c r="I39" s="490"/>
      <c r="J39" s="490"/>
      <c r="K39" s="10"/>
      <c r="L39" s="10"/>
    </row>
    <row r="40" spans="2:12">
      <c r="B40" s="10"/>
      <c r="C40" s="10"/>
      <c r="D40" s="29"/>
      <c r="E40" s="29"/>
      <c r="F40" s="29"/>
      <c r="G40" s="10"/>
      <c r="H40" s="10"/>
      <c r="I40" s="10"/>
      <c r="J40" s="10"/>
      <c r="K40" s="10"/>
      <c r="L40" s="10"/>
    </row>
    <row r="41" spans="2:12">
      <c r="B41" s="10"/>
      <c r="C41" s="95"/>
      <c r="D41" s="497">
        <v>2022</v>
      </c>
      <c r="E41" s="497">
        <v>2023</v>
      </c>
      <c r="F41" s="497">
        <v>2024</v>
      </c>
      <c r="G41" s="497">
        <v>2025</v>
      </c>
      <c r="H41" s="498">
        <v>2026</v>
      </c>
      <c r="I41" s="497">
        <v>2027</v>
      </c>
      <c r="J41" s="497">
        <v>2028</v>
      </c>
      <c r="K41" s="10"/>
      <c r="L41" s="10"/>
    </row>
    <row r="42" spans="2:12">
      <c r="B42" s="10"/>
      <c r="C42" s="10" t="s">
        <v>551</v>
      </c>
      <c r="D42" s="83">
        <f>$D$34</f>
        <v>0.25</v>
      </c>
      <c r="E42" s="83">
        <f t="shared" ref="E42:J42" si="0">$D$34</f>
        <v>0.25</v>
      </c>
      <c r="F42" s="83">
        <f t="shared" si="0"/>
        <v>0.25</v>
      </c>
      <c r="G42" s="83">
        <f t="shared" si="0"/>
        <v>0.25</v>
      </c>
      <c r="H42" s="83">
        <f t="shared" si="0"/>
        <v>0.25</v>
      </c>
      <c r="I42" s="83">
        <f t="shared" si="0"/>
        <v>0.25</v>
      </c>
      <c r="J42" s="83">
        <f t="shared" si="0"/>
        <v>0.25</v>
      </c>
      <c r="K42" s="10"/>
      <c r="L42" s="10"/>
    </row>
    <row r="43" spans="2:12">
      <c r="B43" s="10"/>
      <c r="C43" s="10" t="s">
        <v>546</v>
      </c>
      <c r="D43" s="30">
        <f>D$21</f>
        <v>-1.0688988632693922E-2</v>
      </c>
      <c r="E43" s="30">
        <f t="shared" ref="E43:J43" si="1">E$21</f>
        <v>-7.3964603477040935E-3</v>
      </c>
      <c r="F43" s="30">
        <f t="shared" si="1"/>
        <v>-6.9681435069220291E-3</v>
      </c>
      <c r="G43" s="30">
        <f t="shared" si="1"/>
        <v>-6.404274717201377E-3</v>
      </c>
      <c r="H43" s="30">
        <f t="shared" si="1"/>
        <v>-5.6340163385563066E-3</v>
      </c>
      <c r="I43" s="30">
        <f t="shared" si="1"/>
        <v>-4.7976146336376063E-3</v>
      </c>
      <c r="J43" s="30">
        <f t="shared" si="1"/>
        <v>-3.9468301654236558E-3</v>
      </c>
      <c r="K43" s="10"/>
      <c r="L43" s="10"/>
    </row>
    <row r="44" spans="2:12">
      <c r="B44" s="10"/>
      <c r="C44" s="10" t="s">
        <v>544</v>
      </c>
      <c r="D44" s="30">
        <f>D$20</f>
        <v>2.6133049831636349E-2</v>
      </c>
      <c r="E44" s="30">
        <f t="shared" ref="E44:J44" si="2">E$20</f>
        <v>2.7026754008391555E-2</v>
      </c>
      <c r="F44" s="30">
        <f t="shared" si="2"/>
        <v>2.8013886780592266E-2</v>
      </c>
      <c r="G44" s="30">
        <f t="shared" si="2"/>
        <v>2.9296178893256766E-2</v>
      </c>
      <c r="H44" s="30">
        <f t="shared" si="2"/>
        <v>3.0646388924331251E-2</v>
      </c>
      <c r="I44" s="30">
        <f t="shared" si="2"/>
        <v>3.193725831454975E-2</v>
      </c>
      <c r="J44" s="30">
        <f t="shared" si="2"/>
        <v>3.3076114038972058E-2</v>
      </c>
      <c r="K44" s="10"/>
      <c r="L44" s="10"/>
    </row>
    <row r="45" spans="2:12">
      <c r="B45" s="10"/>
      <c r="C45" s="10" t="s">
        <v>553</v>
      </c>
      <c r="D45" s="106">
        <f>$D$35</f>
        <v>6.5000000000000002E-2</v>
      </c>
      <c r="E45" s="106">
        <f t="shared" ref="E45:J45" si="3">$D$35</f>
        <v>6.5000000000000002E-2</v>
      </c>
      <c r="F45" s="106">
        <f t="shared" si="3"/>
        <v>6.5000000000000002E-2</v>
      </c>
      <c r="G45" s="106">
        <f t="shared" si="3"/>
        <v>6.5000000000000002E-2</v>
      </c>
      <c r="H45" s="106">
        <f t="shared" si="3"/>
        <v>6.5000000000000002E-2</v>
      </c>
      <c r="I45" s="106">
        <f t="shared" si="3"/>
        <v>6.5000000000000002E-2</v>
      </c>
      <c r="J45" s="106">
        <f t="shared" si="3"/>
        <v>6.5000000000000002E-2</v>
      </c>
      <c r="K45" s="10"/>
      <c r="L45" s="10"/>
    </row>
    <row r="46" spans="2:12">
      <c r="B46" s="10"/>
      <c r="C46" s="10" t="s">
        <v>555</v>
      </c>
      <c r="D46" s="96">
        <f>$D$36</f>
        <v>0.75</v>
      </c>
      <c r="E46" s="96">
        <f t="shared" ref="E46:J46" si="4">$D$36</f>
        <v>0.75</v>
      </c>
      <c r="F46" s="96">
        <f t="shared" si="4"/>
        <v>0.75</v>
      </c>
      <c r="G46" s="96">
        <f t="shared" si="4"/>
        <v>0.75</v>
      </c>
      <c r="H46" s="96">
        <f t="shared" si="4"/>
        <v>0.75</v>
      </c>
      <c r="I46" s="96">
        <f t="shared" si="4"/>
        <v>0.75</v>
      </c>
      <c r="J46" s="96">
        <f t="shared" si="4"/>
        <v>0.75</v>
      </c>
      <c r="K46" s="10"/>
      <c r="L46" s="10"/>
    </row>
    <row r="47" spans="2:12">
      <c r="B47" s="10"/>
      <c r="C47" s="62" t="s">
        <v>557</v>
      </c>
      <c r="D47" s="97">
        <f>$D$37</f>
        <v>1</v>
      </c>
      <c r="E47" s="97">
        <f t="shared" ref="E47:J47" si="5">$D$37</f>
        <v>1</v>
      </c>
      <c r="F47" s="97">
        <f t="shared" si="5"/>
        <v>1</v>
      </c>
      <c r="G47" s="97">
        <f t="shared" si="5"/>
        <v>1</v>
      </c>
      <c r="H47" s="97">
        <f t="shared" si="5"/>
        <v>1</v>
      </c>
      <c r="I47" s="97">
        <f t="shared" si="5"/>
        <v>1</v>
      </c>
      <c r="J47" s="97">
        <f t="shared" si="5"/>
        <v>1</v>
      </c>
      <c r="K47" s="10"/>
      <c r="L47" s="10"/>
    </row>
    <row r="48" spans="2:12">
      <c r="B48" s="10"/>
      <c r="C48" s="27" t="s">
        <v>559</v>
      </c>
      <c r="D48" s="63">
        <f>D43+D47*(D45-D43)</f>
        <v>6.5000000000000002E-2</v>
      </c>
      <c r="E48" s="63">
        <f t="shared" ref="E48:J48" si="6">E43+E47*(E45-E43)</f>
        <v>6.5000000000000002E-2</v>
      </c>
      <c r="F48" s="63">
        <f t="shared" si="6"/>
        <v>6.5000000000000002E-2</v>
      </c>
      <c r="G48" s="63">
        <f t="shared" si="6"/>
        <v>6.5000000000000002E-2</v>
      </c>
      <c r="H48" s="63">
        <f t="shared" si="6"/>
        <v>6.5000000000000002E-2</v>
      </c>
      <c r="I48" s="63">
        <f t="shared" si="6"/>
        <v>6.5000000000000002E-2</v>
      </c>
      <c r="J48" s="63">
        <f t="shared" si="6"/>
        <v>6.5000000000000002E-2</v>
      </c>
      <c r="K48" s="10"/>
      <c r="L48" s="10"/>
    </row>
    <row r="49" spans="2:12">
      <c r="B49" s="10"/>
      <c r="C49" s="27" t="s">
        <v>560</v>
      </c>
      <c r="D49" s="63">
        <f>(1+D48)*(1+D44)/(1+D43)-1</f>
        <v>0.10463917364096953</v>
      </c>
      <c r="E49" s="63">
        <f t="shared" ref="E49:J49" si="7">(1+E48)*(1+E44)/(1+E43)-1</f>
        <v>0.10193390344153319</v>
      </c>
      <c r="F49" s="63">
        <f t="shared" si="7"/>
        <v>0.10251728810369998</v>
      </c>
      <c r="G49" s="63">
        <f t="shared" si="7"/>
        <v>0.10326604938775907</v>
      </c>
      <c r="H49" s="63">
        <f t="shared" si="7"/>
        <v>0.10385755570871469</v>
      </c>
      <c r="I49" s="63">
        <f t="shared" si="7"/>
        <v>0.10431123986948387</v>
      </c>
      <c r="J49" s="63">
        <f t="shared" si="7"/>
        <v>0.10458567350800152</v>
      </c>
      <c r="K49" s="10"/>
      <c r="L49" s="10"/>
    </row>
    <row r="50" spans="2:12">
      <c r="B50" s="10"/>
      <c r="C50" s="317" t="s">
        <v>561</v>
      </c>
      <c r="D50" s="330">
        <f t="shared" ref="D50:J50" si="8">INDEX($D$26:$J$29, MATCH($D39,$B$26:$B$29, 0), MATCH(D41,$D$25:$J$25,0))</f>
        <v>2.9917422847509364E-2</v>
      </c>
      <c r="E50" s="330">
        <f t="shared" si="8"/>
        <v>3.081112702426457E-2</v>
      </c>
      <c r="F50" s="330">
        <f t="shared" si="8"/>
        <v>3.1798259796465278E-2</v>
      </c>
      <c r="G50" s="330">
        <f t="shared" si="8"/>
        <v>3.3080551909129785E-2</v>
      </c>
      <c r="H50" s="330">
        <f t="shared" si="8"/>
        <v>3.4430761940204266E-2</v>
      </c>
      <c r="I50" s="330">
        <f t="shared" si="8"/>
        <v>3.5721631330422762E-2</v>
      </c>
      <c r="J50" s="330">
        <f t="shared" si="8"/>
        <v>3.686048705484507E-2</v>
      </c>
      <c r="K50" s="10"/>
      <c r="L50" s="10"/>
    </row>
    <row r="51" spans="2:12">
      <c r="B51" s="10"/>
      <c r="C51" s="27" t="s">
        <v>562</v>
      </c>
      <c r="D51" s="63">
        <f>D50*D42+D49*(1-D42)</f>
        <v>8.5958735942604489E-2</v>
      </c>
      <c r="E51" s="63">
        <f t="shared" ref="E51:J51" si="9">E50*E42+E49*(1-E42)</f>
        <v>8.4153209337216039E-2</v>
      </c>
      <c r="F51" s="63">
        <f t="shared" si="9"/>
        <v>8.4837531026891302E-2</v>
      </c>
      <c r="G51" s="63">
        <f t="shared" si="9"/>
        <v>8.5719675018101751E-2</v>
      </c>
      <c r="H51" s="63">
        <f t="shared" si="9"/>
        <v>8.6500857266587086E-2</v>
      </c>
      <c r="I51" s="63">
        <f t="shared" si="9"/>
        <v>8.7163837734718599E-2</v>
      </c>
      <c r="J51" s="63">
        <f t="shared" si="9"/>
        <v>8.7654376894712407E-2</v>
      </c>
      <c r="K51" s="10"/>
      <c r="L51" s="10"/>
    </row>
    <row r="52" spans="2:12">
      <c r="B52" s="10"/>
      <c r="C52" s="10"/>
      <c r="D52" s="29"/>
      <c r="E52" s="29"/>
      <c r="F52" s="29"/>
      <c r="G52" s="10"/>
      <c r="H52" s="10"/>
      <c r="I52" s="10"/>
      <c r="J52" s="10"/>
      <c r="K52" s="10"/>
      <c r="L52" s="10"/>
    </row>
    <row r="53" spans="2:12">
      <c r="C53" s="490" t="s">
        <v>558</v>
      </c>
      <c r="D53" s="490" t="s">
        <v>143</v>
      </c>
      <c r="E53" s="491"/>
      <c r="F53" s="491"/>
      <c r="G53" s="490"/>
      <c r="H53" s="490"/>
      <c r="I53" s="490"/>
      <c r="J53" s="490"/>
      <c r="K53" s="10"/>
      <c r="L53" s="10"/>
    </row>
    <row r="54" spans="2:12">
      <c r="B54" s="10"/>
      <c r="C54" s="10"/>
      <c r="D54" s="29"/>
      <c r="E54" s="29"/>
      <c r="F54" s="29"/>
      <c r="G54" s="10"/>
      <c r="H54" s="10"/>
      <c r="I54" s="10"/>
      <c r="J54" s="10"/>
      <c r="K54" s="10"/>
      <c r="L54" s="10"/>
    </row>
    <row r="55" spans="2:12">
      <c r="B55" s="10"/>
      <c r="C55" s="95"/>
      <c r="D55" s="499">
        <v>2022</v>
      </c>
      <c r="E55" s="499">
        <v>2023</v>
      </c>
      <c r="F55" s="499">
        <v>2024</v>
      </c>
      <c r="G55" s="499">
        <v>2025</v>
      </c>
      <c r="H55" s="500">
        <v>2026</v>
      </c>
      <c r="I55" s="499">
        <v>2027</v>
      </c>
      <c r="J55" s="499">
        <v>2028</v>
      </c>
      <c r="K55" s="10"/>
      <c r="L55" s="10"/>
    </row>
    <row r="56" spans="2:12">
      <c r="B56" s="10"/>
      <c r="C56" s="10" t="s">
        <v>551</v>
      </c>
      <c r="D56" s="83">
        <f>$D$34</f>
        <v>0.25</v>
      </c>
      <c r="E56" s="83">
        <f t="shared" ref="E56:J56" si="10">$D$34</f>
        <v>0.25</v>
      </c>
      <c r="F56" s="83">
        <f t="shared" si="10"/>
        <v>0.25</v>
      </c>
      <c r="G56" s="83">
        <f t="shared" si="10"/>
        <v>0.25</v>
      </c>
      <c r="H56" s="83">
        <f t="shared" si="10"/>
        <v>0.25</v>
      </c>
      <c r="I56" s="83">
        <f t="shared" si="10"/>
        <v>0.25</v>
      </c>
      <c r="J56" s="83">
        <f t="shared" si="10"/>
        <v>0.25</v>
      </c>
      <c r="K56" s="10"/>
      <c r="L56" s="10"/>
    </row>
    <row r="57" spans="2:12">
      <c r="B57" s="10"/>
      <c r="C57" s="10" t="s">
        <v>546</v>
      </c>
      <c r="D57" s="30">
        <f>D$21</f>
        <v>-1.0688988632693922E-2</v>
      </c>
      <c r="E57" s="30">
        <f t="shared" ref="E57:J57" si="11">E$21</f>
        <v>-7.3964603477040935E-3</v>
      </c>
      <c r="F57" s="30">
        <f t="shared" si="11"/>
        <v>-6.9681435069220291E-3</v>
      </c>
      <c r="G57" s="30">
        <f t="shared" si="11"/>
        <v>-6.404274717201377E-3</v>
      </c>
      <c r="H57" s="30">
        <f t="shared" si="11"/>
        <v>-5.6340163385563066E-3</v>
      </c>
      <c r="I57" s="30">
        <f t="shared" si="11"/>
        <v>-4.7976146336376063E-3</v>
      </c>
      <c r="J57" s="30">
        <f t="shared" si="11"/>
        <v>-3.9468301654236558E-3</v>
      </c>
      <c r="K57" s="10"/>
      <c r="L57" s="10"/>
    </row>
    <row r="58" spans="2:12">
      <c r="B58" s="10"/>
      <c r="C58" s="10" t="s">
        <v>544</v>
      </c>
      <c r="D58" s="30">
        <f>D$20</f>
        <v>2.6133049831636349E-2</v>
      </c>
      <c r="E58" s="30">
        <f t="shared" ref="E58:J58" si="12">E$20</f>
        <v>2.7026754008391555E-2</v>
      </c>
      <c r="F58" s="30">
        <f t="shared" si="12"/>
        <v>2.8013886780592266E-2</v>
      </c>
      <c r="G58" s="30">
        <f t="shared" si="12"/>
        <v>2.9296178893256766E-2</v>
      </c>
      <c r="H58" s="30">
        <f t="shared" si="12"/>
        <v>3.0646388924331251E-2</v>
      </c>
      <c r="I58" s="30">
        <f t="shared" si="12"/>
        <v>3.193725831454975E-2</v>
      </c>
      <c r="J58" s="30">
        <f t="shared" si="12"/>
        <v>3.3076114038972058E-2</v>
      </c>
      <c r="K58" s="10"/>
      <c r="L58" s="10"/>
    </row>
    <row r="59" spans="2:12">
      <c r="B59" s="10"/>
      <c r="C59" s="10" t="s">
        <v>553</v>
      </c>
      <c r="D59" s="106">
        <f>$D$35</f>
        <v>6.5000000000000002E-2</v>
      </c>
      <c r="E59" s="106">
        <f t="shared" ref="E59:J59" si="13">$D$35</f>
        <v>6.5000000000000002E-2</v>
      </c>
      <c r="F59" s="106">
        <f t="shared" si="13"/>
        <v>6.5000000000000002E-2</v>
      </c>
      <c r="G59" s="106">
        <f t="shared" si="13"/>
        <v>6.5000000000000002E-2</v>
      </c>
      <c r="H59" s="106">
        <f t="shared" si="13"/>
        <v>6.5000000000000002E-2</v>
      </c>
      <c r="I59" s="106">
        <f>$D$35</f>
        <v>6.5000000000000002E-2</v>
      </c>
      <c r="J59" s="106">
        <f t="shared" si="13"/>
        <v>6.5000000000000002E-2</v>
      </c>
      <c r="K59" s="10"/>
      <c r="L59" s="10"/>
    </row>
    <row r="60" spans="2:12">
      <c r="B60" s="10"/>
      <c r="C60" s="10" t="s">
        <v>555</v>
      </c>
      <c r="D60" s="96">
        <f>$D$36</f>
        <v>0.75</v>
      </c>
      <c r="E60" s="96">
        <f t="shared" ref="E60:J60" si="14">$D$36</f>
        <v>0.75</v>
      </c>
      <c r="F60" s="96">
        <f t="shared" si="14"/>
        <v>0.75</v>
      </c>
      <c r="G60" s="96">
        <f t="shared" si="14"/>
        <v>0.75</v>
      </c>
      <c r="H60" s="96">
        <f t="shared" si="14"/>
        <v>0.75</v>
      </c>
      <c r="I60" s="96">
        <f t="shared" si="14"/>
        <v>0.75</v>
      </c>
      <c r="J60" s="96">
        <f t="shared" si="14"/>
        <v>0.75</v>
      </c>
      <c r="K60" s="10"/>
      <c r="L60" s="10"/>
    </row>
    <row r="61" spans="2:12">
      <c r="B61" s="10"/>
      <c r="C61" s="62" t="s">
        <v>557</v>
      </c>
      <c r="D61" s="97">
        <f>$D$37</f>
        <v>1</v>
      </c>
      <c r="E61" s="97">
        <f t="shared" ref="E61:J61" si="15">$D$37</f>
        <v>1</v>
      </c>
      <c r="F61" s="97">
        <f t="shared" si="15"/>
        <v>1</v>
      </c>
      <c r="G61" s="97">
        <f t="shared" si="15"/>
        <v>1</v>
      </c>
      <c r="H61" s="97">
        <f t="shared" si="15"/>
        <v>1</v>
      </c>
      <c r="I61" s="97">
        <f t="shared" si="15"/>
        <v>1</v>
      </c>
      <c r="J61" s="97">
        <f t="shared" si="15"/>
        <v>1</v>
      </c>
      <c r="K61" s="10"/>
      <c r="L61" s="10"/>
    </row>
    <row r="62" spans="2:12">
      <c r="B62" s="10"/>
      <c r="C62" s="27" t="s">
        <v>559</v>
      </c>
      <c r="D62" s="63">
        <f>D57+D61*(D59-D57)</f>
        <v>6.5000000000000002E-2</v>
      </c>
      <c r="E62" s="63">
        <f t="shared" ref="E62" si="16">E57+E61*(E59-E57)</f>
        <v>6.5000000000000002E-2</v>
      </c>
      <c r="F62" s="63">
        <f t="shared" ref="F62" si="17">F57+F61*(F59-F57)</f>
        <v>6.5000000000000002E-2</v>
      </c>
      <c r="G62" s="63">
        <f t="shared" ref="G62" si="18">G57+G61*(G59-G57)</f>
        <v>6.5000000000000002E-2</v>
      </c>
      <c r="H62" s="63">
        <f t="shared" ref="H62" si="19">H57+H61*(H59-H57)</f>
        <v>6.5000000000000002E-2</v>
      </c>
      <c r="I62" s="63">
        <f t="shared" ref="I62" si="20">I57+I61*(I59-I57)</f>
        <v>6.5000000000000002E-2</v>
      </c>
      <c r="J62" s="63">
        <f t="shared" ref="J62" si="21">J57+J61*(J59-J57)</f>
        <v>6.5000000000000002E-2</v>
      </c>
      <c r="K62" s="10"/>
      <c r="L62" s="10"/>
    </row>
    <row r="63" spans="2:12">
      <c r="B63" s="10"/>
      <c r="C63" s="27" t="s">
        <v>560</v>
      </c>
      <c r="D63" s="63">
        <f>(1+D62)*(1+D58)/(1+D57)-1</f>
        <v>0.10463917364096953</v>
      </c>
      <c r="E63" s="63">
        <f t="shared" ref="E63" si="22">(1+E62)*(1+E58)/(1+E57)-1</f>
        <v>0.10193390344153319</v>
      </c>
      <c r="F63" s="63">
        <f t="shared" ref="F63" si="23">(1+F62)*(1+F58)/(1+F57)-1</f>
        <v>0.10251728810369998</v>
      </c>
      <c r="G63" s="63">
        <f t="shared" ref="G63" si="24">(1+G62)*(1+G58)/(1+G57)-1</f>
        <v>0.10326604938775907</v>
      </c>
      <c r="H63" s="63">
        <f t="shared" ref="H63" si="25">(1+H62)*(1+H58)/(1+H57)-1</f>
        <v>0.10385755570871469</v>
      </c>
      <c r="I63" s="63">
        <f t="shared" ref="I63" si="26">(1+I62)*(1+I58)/(1+I57)-1</f>
        <v>0.10431123986948387</v>
      </c>
      <c r="J63" s="63">
        <f t="shared" ref="J63" si="27">(1+J62)*(1+J58)/(1+J57)-1</f>
        <v>0.10458567350800152</v>
      </c>
      <c r="K63" s="10"/>
      <c r="L63" s="10"/>
    </row>
    <row r="64" spans="2:12">
      <c r="B64" s="10"/>
      <c r="C64" s="317" t="s">
        <v>561</v>
      </c>
      <c r="D64" s="330">
        <f t="shared" ref="D64:I64" si="28">INDEX($D$26:$J$29, MATCH($D53,$B$26:$B$29, 0), MATCH(D55,$D$25:$J$25,0))</f>
        <v>5.3504089514176054E-2</v>
      </c>
      <c r="E64" s="330">
        <f t="shared" si="28"/>
        <v>5.4397793690931256E-2</v>
      </c>
      <c r="F64" s="330">
        <f t="shared" si="28"/>
        <v>5.5384926463131964E-2</v>
      </c>
      <c r="G64" s="330">
        <f t="shared" si="28"/>
        <v>5.6667218575796471E-2</v>
      </c>
      <c r="H64" s="330">
        <f t="shared" si="28"/>
        <v>5.8017428606870952E-2</v>
      </c>
      <c r="I64" s="330">
        <f t="shared" si="28"/>
        <v>5.9308297997089449E-2</v>
      </c>
      <c r="J64" s="330">
        <f>INDEX($D$26:$J$29, MATCH($D53,$B$26:$B$29, 0), MATCH(J55,$D$25:$J$25,0))</f>
        <v>6.0447153721511757E-2</v>
      </c>
      <c r="K64" s="10"/>
      <c r="L64" s="10"/>
    </row>
    <row r="65" spans="2:12">
      <c r="B65" s="10"/>
      <c r="C65" s="27" t="s">
        <v>562</v>
      </c>
      <c r="D65" s="63">
        <f>D64*D56+D63*(1-D56)</f>
        <v>9.1855402609271164E-2</v>
      </c>
      <c r="E65" s="63">
        <f t="shared" ref="E65" si="29">E64*E56+E63*(1-E56)</f>
        <v>9.0049876003882701E-2</v>
      </c>
      <c r="F65" s="63">
        <f t="shared" ref="F65" si="30">F64*F56+F63*(1-F56)</f>
        <v>9.0734197693557977E-2</v>
      </c>
      <c r="G65" s="63">
        <f t="shared" ref="G65" si="31">G64*G56+G63*(1-G56)</f>
        <v>9.1616341684768426E-2</v>
      </c>
      <c r="H65" s="63">
        <f t="shared" ref="H65" si="32">H64*H56+H63*(1-H56)</f>
        <v>9.2397523933253761E-2</v>
      </c>
      <c r="I65" s="63">
        <f t="shared" ref="I65" si="33">I64*I56+I63*(1-I56)</f>
        <v>9.3060504401385274E-2</v>
      </c>
      <c r="J65" s="63">
        <f t="shared" ref="J65" si="34">J64*J56+J63*(1-J56)</f>
        <v>9.3551043561379083E-2</v>
      </c>
      <c r="K65" s="10"/>
      <c r="L65" s="10"/>
    </row>
    <row r="66" spans="2:12">
      <c r="B66" s="10"/>
      <c r="C66" s="10"/>
      <c r="D66" s="29"/>
      <c r="E66" s="29"/>
      <c r="F66" s="29"/>
      <c r="G66" s="10"/>
      <c r="H66" s="10"/>
      <c r="I66" s="10"/>
      <c r="J66" s="10"/>
      <c r="K66" s="10"/>
      <c r="L66" s="10"/>
    </row>
    <row r="67" spans="2:12">
      <c r="C67" s="205" t="s">
        <v>558</v>
      </c>
      <c r="D67" s="205" t="s">
        <v>144</v>
      </c>
      <c r="E67" s="501"/>
      <c r="F67" s="501"/>
      <c r="G67" s="205"/>
      <c r="H67" s="205"/>
      <c r="I67" s="205"/>
      <c r="J67" s="205"/>
      <c r="K67" s="10"/>
      <c r="L67" s="10"/>
    </row>
    <row r="68" spans="2:12">
      <c r="B68" s="10"/>
      <c r="C68" s="10"/>
      <c r="D68" s="29"/>
      <c r="E68" s="29"/>
      <c r="F68" s="29"/>
      <c r="G68" s="10"/>
      <c r="H68" s="10"/>
      <c r="I68" s="10"/>
      <c r="J68" s="10"/>
      <c r="K68" s="10"/>
      <c r="L68" s="10"/>
    </row>
    <row r="69" spans="2:12">
      <c r="B69" s="10"/>
      <c r="C69" s="95"/>
      <c r="D69" s="497">
        <v>2022</v>
      </c>
      <c r="E69" s="497">
        <v>2023</v>
      </c>
      <c r="F69" s="497">
        <v>2024</v>
      </c>
      <c r="G69" s="497">
        <v>2025</v>
      </c>
      <c r="H69" s="498">
        <v>2026</v>
      </c>
      <c r="I69" s="497">
        <v>2027</v>
      </c>
      <c r="J69" s="497">
        <v>2028</v>
      </c>
      <c r="K69" s="10"/>
      <c r="L69" s="10"/>
    </row>
    <row r="70" spans="2:12">
      <c r="B70" s="10"/>
      <c r="C70" s="10" t="s">
        <v>551</v>
      </c>
      <c r="D70" s="83">
        <f>$D$34</f>
        <v>0.25</v>
      </c>
      <c r="E70" s="83">
        <f t="shared" ref="E70:J70" si="35">$D$34</f>
        <v>0.25</v>
      </c>
      <c r="F70" s="83">
        <f t="shared" si="35"/>
        <v>0.25</v>
      </c>
      <c r="G70" s="83">
        <f t="shared" si="35"/>
        <v>0.25</v>
      </c>
      <c r="H70" s="83">
        <f t="shared" si="35"/>
        <v>0.25</v>
      </c>
      <c r="I70" s="83">
        <f t="shared" si="35"/>
        <v>0.25</v>
      </c>
      <c r="J70" s="83">
        <f t="shared" si="35"/>
        <v>0.25</v>
      </c>
      <c r="K70" s="10"/>
      <c r="L70" s="10"/>
    </row>
    <row r="71" spans="2:12">
      <c r="B71" s="10"/>
      <c r="C71" s="10" t="s">
        <v>546</v>
      </c>
      <c r="D71" s="30">
        <f>D$21</f>
        <v>-1.0688988632693922E-2</v>
      </c>
      <c r="E71" s="30">
        <f t="shared" ref="E71:J71" si="36">E$21</f>
        <v>-7.3964603477040935E-3</v>
      </c>
      <c r="F71" s="30">
        <f t="shared" si="36"/>
        <v>-6.9681435069220291E-3</v>
      </c>
      <c r="G71" s="30">
        <f t="shared" si="36"/>
        <v>-6.404274717201377E-3</v>
      </c>
      <c r="H71" s="30">
        <f t="shared" si="36"/>
        <v>-5.6340163385563066E-3</v>
      </c>
      <c r="I71" s="30">
        <f t="shared" si="36"/>
        <v>-4.7976146336376063E-3</v>
      </c>
      <c r="J71" s="30">
        <f t="shared" si="36"/>
        <v>-3.9468301654236558E-3</v>
      </c>
      <c r="K71" s="10"/>
      <c r="L71" s="10"/>
    </row>
    <row r="72" spans="2:12">
      <c r="B72" s="10"/>
      <c r="C72" s="10" t="s">
        <v>544</v>
      </c>
      <c r="D72" s="30">
        <f>D$20</f>
        <v>2.6133049831636349E-2</v>
      </c>
      <c r="E72" s="30">
        <f t="shared" ref="E72:J72" si="37">E$20</f>
        <v>2.7026754008391555E-2</v>
      </c>
      <c r="F72" s="30">
        <f t="shared" si="37"/>
        <v>2.8013886780592266E-2</v>
      </c>
      <c r="G72" s="30">
        <f t="shared" si="37"/>
        <v>2.9296178893256766E-2</v>
      </c>
      <c r="H72" s="30">
        <f t="shared" si="37"/>
        <v>3.0646388924331251E-2</v>
      </c>
      <c r="I72" s="30">
        <f t="shared" si="37"/>
        <v>3.193725831454975E-2</v>
      </c>
      <c r="J72" s="30">
        <f t="shared" si="37"/>
        <v>3.3076114038972058E-2</v>
      </c>
      <c r="K72" s="10"/>
      <c r="L72" s="10"/>
    </row>
    <row r="73" spans="2:12">
      <c r="B73" s="10"/>
      <c r="C73" s="10" t="s">
        <v>553</v>
      </c>
      <c r="D73" s="106">
        <f>$D$35</f>
        <v>6.5000000000000002E-2</v>
      </c>
      <c r="E73" s="106">
        <f t="shared" ref="E73:J73" si="38">$D$35</f>
        <v>6.5000000000000002E-2</v>
      </c>
      <c r="F73" s="106">
        <f t="shared" si="38"/>
        <v>6.5000000000000002E-2</v>
      </c>
      <c r="G73" s="106">
        <f t="shared" si="38"/>
        <v>6.5000000000000002E-2</v>
      </c>
      <c r="H73" s="106">
        <f t="shared" si="38"/>
        <v>6.5000000000000002E-2</v>
      </c>
      <c r="I73" s="106">
        <f t="shared" si="38"/>
        <v>6.5000000000000002E-2</v>
      </c>
      <c r="J73" s="106">
        <f t="shared" si="38"/>
        <v>6.5000000000000002E-2</v>
      </c>
      <c r="K73" s="10"/>
      <c r="L73" s="10"/>
    </row>
    <row r="74" spans="2:12">
      <c r="B74" s="10"/>
      <c r="C74" s="10" t="s">
        <v>555</v>
      </c>
      <c r="D74" s="96">
        <f>$D$36</f>
        <v>0.75</v>
      </c>
      <c r="E74" s="96">
        <f t="shared" ref="E74:J74" si="39">$D$36</f>
        <v>0.75</v>
      </c>
      <c r="F74" s="96">
        <f t="shared" si="39"/>
        <v>0.75</v>
      </c>
      <c r="G74" s="96">
        <f t="shared" si="39"/>
        <v>0.75</v>
      </c>
      <c r="H74" s="96">
        <f t="shared" si="39"/>
        <v>0.75</v>
      </c>
      <c r="I74" s="96">
        <f t="shared" si="39"/>
        <v>0.75</v>
      </c>
      <c r="J74" s="96">
        <f t="shared" si="39"/>
        <v>0.75</v>
      </c>
      <c r="K74" s="10"/>
      <c r="L74" s="10"/>
    </row>
    <row r="75" spans="2:12">
      <c r="B75" s="10"/>
      <c r="C75" s="62" t="s">
        <v>557</v>
      </c>
      <c r="D75" s="97">
        <f>$D$37</f>
        <v>1</v>
      </c>
      <c r="E75" s="97">
        <f t="shared" ref="E75:J75" si="40">$D$37</f>
        <v>1</v>
      </c>
      <c r="F75" s="97">
        <f t="shared" si="40"/>
        <v>1</v>
      </c>
      <c r="G75" s="97">
        <f t="shared" si="40"/>
        <v>1</v>
      </c>
      <c r="H75" s="97">
        <f t="shared" si="40"/>
        <v>1</v>
      </c>
      <c r="I75" s="97">
        <f t="shared" si="40"/>
        <v>1</v>
      </c>
      <c r="J75" s="97">
        <f t="shared" si="40"/>
        <v>1</v>
      </c>
      <c r="K75" s="10"/>
      <c r="L75" s="10"/>
    </row>
    <row r="76" spans="2:12">
      <c r="B76" s="10"/>
      <c r="C76" s="27" t="s">
        <v>559</v>
      </c>
      <c r="D76" s="63">
        <f>D71+D75*(D73-D71)</f>
        <v>6.5000000000000002E-2</v>
      </c>
      <c r="E76" s="63">
        <f t="shared" ref="E76" si="41">E71+E75*(E73-E71)</f>
        <v>6.5000000000000002E-2</v>
      </c>
      <c r="F76" s="63">
        <f t="shared" ref="F76" si="42">F71+F75*(F73-F71)</f>
        <v>6.5000000000000002E-2</v>
      </c>
      <c r="G76" s="63">
        <f t="shared" ref="G76" si="43">G71+G75*(G73-G71)</f>
        <v>6.5000000000000002E-2</v>
      </c>
      <c r="H76" s="63">
        <f t="shared" ref="H76" si="44">H71+H75*(H73-H71)</f>
        <v>6.5000000000000002E-2</v>
      </c>
      <c r="I76" s="63">
        <f t="shared" ref="I76" si="45">I71+I75*(I73-I71)</f>
        <v>6.5000000000000002E-2</v>
      </c>
      <c r="J76" s="63">
        <f t="shared" ref="J76" si="46">J71+J75*(J73-J71)</f>
        <v>6.5000000000000002E-2</v>
      </c>
      <c r="K76" s="10"/>
      <c r="L76" s="10"/>
    </row>
    <row r="77" spans="2:12">
      <c r="B77" s="10"/>
      <c r="C77" s="27" t="s">
        <v>560</v>
      </c>
      <c r="D77" s="63">
        <f>(1+D76)*(1+D72)/(1+D71)-1</f>
        <v>0.10463917364096953</v>
      </c>
      <c r="E77" s="63">
        <f t="shared" ref="E77" si="47">(1+E76)*(1+E72)/(1+E71)-1</f>
        <v>0.10193390344153319</v>
      </c>
      <c r="F77" s="63">
        <f t="shared" ref="F77" si="48">(1+F76)*(1+F72)/(1+F71)-1</f>
        <v>0.10251728810369998</v>
      </c>
      <c r="G77" s="63">
        <f t="shared" ref="G77" si="49">(1+G76)*(1+G72)/(1+G71)-1</f>
        <v>0.10326604938775907</v>
      </c>
      <c r="H77" s="63">
        <f t="shared" ref="H77" si="50">(1+H76)*(1+H72)/(1+H71)-1</f>
        <v>0.10385755570871469</v>
      </c>
      <c r="I77" s="63">
        <f t="shared" ref="I77" si="51">(1+I76)*(1+I72)/(1+I71)-1</f>
        <v>0.10431123986948387</v>
      </c>
      <c r="J77" s="63">
        <f t="shared" ref="J77" si="52">(1+J76)*(1+J72)/(1+J71)-1</f>
        <v>0.10458567350800152</v>
      </c>
      <c r="K77" s="10"/>
      <c r="L77" s="10"/>
    </row>
    <row r="78" spans="2:12">
      <c r="B78" s="10"/>
      <c r="C78" s="317" t="s">
        <v>561</v>
      </c>
      <c r="D78" s="330">
        <f t="shared" ref="D78:J78" si="53">INDEX($D$26:$J$29, MATCH($D67,$B$26:$B$29, 0), MATCH(D69,$D$25:$J$25,0))</f>
        <v>8.0355835545922044E-2</v>
      </c>
      <c r="E78" s="330">
        <f t="shared" si="53"/>
        <v>8.1249539722677247E-2</v>
      </c>
      <c r="F78" s="330">
        <f t="shared" si="53"/>
        <v>8.2236672494877955E-2</v>
      </c>
      <c r="G78" s="330">
        <f t="shared" si="53"/>
        <v>8.3518964607542462E-2</v>
      </c>
      <c r="H78" s="330">
        <f t="shared" si="53"/>
        <v>8.4869174638616943E-2</v>
      </c>
      <c r="I78" s="330">
        <f t="shared" si="53"/>
        <v>8.6160044028835453E-2</v>
      </c>
      <c r="J78" s="330">
        <f t="shared" si="53"/>
        <v>8.7298899753257747E-2</v>
      </c>
      <c r="K78" s="10"/>
      <c r="L78" s="10"/>
    </row>
    <row r="79" spans="2:12">
      <c r="B79" s="10"/>
      <c r="C79" s="27" t="s">
        <v>562</v>
      </c>
      <c r="D79" s="63">
        <f>D78*D70+D77*(1-D70)</f>
        <v>9.8568339117207665E-2</v>
      </c>
      <c r="E79" s="63">
        <f t="shared" ref="E79" si="54">E78*E70+E77*(1-E70)</f>
        <v>9.6762812511819202E-2</v>
      </c>
      <c r="F79" s="63">
        <f t="shared" ref="F79" si="55">F78*F70+F77*(1-F70)</f>
        <v>9.7447134201494479E-2</v>
      </c>
      <c r="G79" s="63">
        <f t="shared" ref="G79" si="56">G78*G70+G77*(1-G70)</f>
        <v>9.8329278192704928E-2</v>
      </c>
      <c r="H79" s="63">
        <f t="shared" ref="H79" si="57">H78*H70+H77*(1-H70)</f>
        <v>9.9110460441190248E-2</v>
      </c>
      <c r="I79" s="63">
        <f t="shared" ref="I79" si="58">I78*I70+I77*(1-I70)</f>
        <v>9.9773440909321776E-2</v>
      </c>
      <c r="J79" s="63">
        <f t="shared" ref="J79" si="59">J78*J70+J77*(1-J70)</f>
        <v>0.10026398006931558</v>
      </c>
      <c r="K79" s="10"/>
      <c r="L79" s="10"/>
    </row>
    <row r="80" spans="2:12">
      <c r="B80" s="10"/>
      <c r="C80" s="10"/>
      <c r="D80" s="29"/>
      <c r="E80" s="29"/>
      <c r="F80" s="29"/>
      <c r="G80" s="10"/>
      <c r="H80" s="10"/>
      <c r="I80" s="10"/>
      <c r="J80" s="10"/>
      <c r="K80" s="10"/>
      <c r="L80" s="10"/>
    </row>
    <row r="81" spans="2:13">
      <c r="C81" s="205" t="s">
        <v>558</v>
      </c>
      <c r="D81" s="205" t="s">
        <v>145</v>
      </c>
      <c r="E81" s="501"/>
      <c r="F81" s="501"/>
      <c r="G81" s="205"/>
      <c r="H81" s="205"/>
      <c r="I81" s="205"/>
      <c r="J81" s="205"/>
      <c r="K81" s="10"/>
      <c r="L81" s="10"/>
    </row>
    <row r="82" spans="2:13">
      <c r="B82" s="10"/>
      <c r="C82" s="10"/>
      <c r="D82" s="29"/>
      <c r="E82" s="29"/>
      <c r="F82" s="29"/>
      <c r="G82" s="10"/>
      <c r="H82" s="10"/>
      <c r="I82" s="10"/>
      <c r="J82" s="10"/>
      <c r="K82" s="10"/>
      <c r="L82" s="10"/>
    </row>
    <row r="83" spans="2:13">
      <c r="B83" s="10"/>
      <c r="C83" s="95"/>
      <c r="D83" s="502">
        <v>2022</v>
      </c>
      <c r="E83" s="502">
        <v>2023</v>
      </c>
      <c r="F83" s="502">
        <v>2024</v>
      </c>
      <c r="G83" s="502">
        <v>2025</v>
      </c>
      <c r="H83" s="503">
        <v>2026</v>
      </c>
      <c r="I83" s="502">
        <v>2027</v>
      </c>
      <c r="J83" s="502">
        <v>2028</v>
      </c>
      <c r="K83" s="10"/>
      <c r="L83" s="10"/>
    </row>
    <row r="84" spans="2:13">
      <c r="B84" s="10"/>
      <c r="C84" s="10" t="s">
        <v>551</v>
      </c>
      <c r="D84" s="83">
        <f>$D$34</f>
        <v>0.25</v>
      </c>
      <c r="E84" s="83">
        <f t="shared" ref="E84:J84" si="60">$D$34</f>
        <v>0.25</v>
      </c>
      <c r="F84" s="83">
        <f t="shared" si="60"/>
        <v>0.25</v>
      </c>
      <c r="G84" s="83">
        <f t="shared" si="60"/>
        <v>0.25</v>
      </c>
      <c r="H84" s="83">
        <f t="shared" si="60"/>
        <v>0.25</v>
      </c>
      <c r="I84" s="83">
        <f t="shared" si="60"/>
        <v>0.25</v>
      </c>
      <c r="J84" s="83">
        <f t="shared" si="60"/>
        <v>0.25</v>
      </c>
      <c r="K84" s="10"/>
      <c r="L84" s="10"/>
      <c r="M84" s="10"/>
    </row>
    <row r="85" spans="2:13">
      <c r="B85" s="10"/>
      <c r="C85" s="10" t="s">
        <v>546</v>
      </c>
      <c r="D85" s="30">
        <f>D$21</f>
        <v>-1.0688988632693922E-2</v>
      </c>
      <c r="E85" s="30">
        <f t="shared" ref="E85:J85" si="61">E$21</f>
        <v>-7.3964603477040935E-3</v>
      </c>
      <c r="F85" s="30">
        <f t="shared" si="61"/>
        <v>-6.9681435069220291E-3</v>
      </c>
      <c r="G85" s="30">
        <f t="shared" si="61"/>
        <v>-6.404274717201377E-3</v>
      </c>
      <c r="H85" s="30">
        <f t="shared" si="61"/>
        <v>-5.6340163385563066E-3</v>
      </c>
      <c r="I85" s="30">
        <f t="shared" si="61"/>
        <v>-4.7976146336376063E-3</v>
      </c>
      <c r="J85" s="30">
        <f t="shared" si="61"/>
        <v>-3.9468301654236558E-3</v>
      </c>
      <c r="K85" s="10"/>
      <c r="L85" s="10"/>
      <c r="M85" s="10"/>
    </row>
    <row r="86" spans="2:13">
      <c r="B86" s="10"/>
      <c r="C86" s="10" t="s">
        <v>544</v>
      </c>
      <c r="D86" s="30">
        <f>D$20</f>
        <v>2.6133049831636349E-2</v>
      </c>
      <c r="E86" s="30">
        <f t="shared" ref="E86:J86" si="62">E$20</f>
        <v>2.7026754008391555E-2</v>
      </c>
      <c r="F86" s="30">
        <f t="shared" si="62"/>
        <v>2.8013886780592266E-2</v>
      </c>
      <c r="G86" s="30">
        <f t="shared" si="62"/>
        <v>2.9296178893256766E-2</v>
      </c>
      <c r="H86" s="30">
        <f t="shared" si="62"/>
        <v>3.0646388924331251E-2</v>
      </c>
      <c r="I86" s="30">
        <f t="shared" si="62"/>
        <v>3.193725831454975E-2</v>
      </c>
      <c r="J86" s="30">
        <f t="shared" si="62"/>
        <v>3.3076114038972058E-2</v>
      </c>
      <c r="K86" s="10"/>
      <c r="L86" s="10"/>
      <c r="M86" s="10"/>
    </row>
    <row r="87" spans="2:13">
      <c r="B87" s="10"/>
      <c r="C87" s="10" t="s">
        <v>553</v>
      </c>
      <c r="D87" s="106">
        <f>$D$35</f>
        <v>6.5000000000000002E-2</v>
      </c>
      <c r="E87" s="106">
        <f t="shared" ref="E87:J87" si="63">$D$35</f>
        <v>6.5000000000000002E-2</v>
      </c>
      <c r="F87" s="106">
        <f t="shared" si="63"/>
        <v>6.5000000000000002E-2</v>
      </c>
      <c r="G87" s="106">
        <f t="shared" si="63"/>
        <v>6.5000000000000002E-2</v>
      </c>
      <c r="H87" s="106">
        <f t="shared" si="63"/>
        <v>6.5000000000000002E-2</v>
      </c>
      <c r="I87" s="106">
        <f t="shared" si="63"/>
        <v>6.5000000000000002E-2</v>
      </c>
      <c r="J87" s="106">
        <f t="shared" si="63"/>
        <v>6.5000000000000002E-2</v>
      </c>
      <c r="K87" s="10"/>
      <c r="L87" s="10"/>
      <c r="M87" s="10"/>
    </row>
    <row r="88" spans="2:13">
      <c r="B88" s="10"/>
      <c r="C88" s="10" t="s">
        <v>555</v>
      </c>
      <c r="D88" s="96">
        <f>$D$36</f>
        <v>0.75</v>
      </c>
      <c r="E88" s="96">
        <f t="shared" ref="E88:J88" si="64">$D$36</f>
        <v>0.75</v>
      </c>
      <c r="F88" s="96">
        <f t="shared" si="64"/>
        <v>0.75</v>
      </c>
      <c r="G88" s="96">
        <f t="shared" si="64"/>
        <v>0.75</v>
      </c>
      <c r="H88" s="96">
        <f t="shared" si="64"/>
        <v>0.75</v>
      </c>
      <c r="I88" s="96">
        <f t="shared" si="64"/>
        <v>0.75</v>
      </c>
      <c r="J88" s="96">
        <f t="shared" si="64"/>
        <v>0.75</v>
      </c>
      <c r="K88" s="10"/>
      <c r="L88" s="10"/>
      <c r="M88" s="10"/>
    </row>
    <row r="89" spans="2:13">
      <c r="B89" s="10"/>
      <c r="C89" s="62" t="s">
        <v>557</v>
      </c>
      <c r="D89" s="97">
        <f>$D$37</f>
        <v>1</v>
      </c>
      <c r="E89" s="97">
        <f t="shared" ref="E89:J89" si="65">$D$37</f>
        <v>1</v>
      </c>
      <c r="F89" s="97">
        <f t="shared" si="65"/>
        <v>1</v>
      </c>
      <c r="G89" s="97">
        <f t="shared" si="65"/>
        <v>1</v>
      </c>
      <c r="H89" s="97">
        <f t="shared" si="65"/>
        <v>1</v>
      </c>
      <c r="I89" s="97">
        <f t="shared" si="65"/>
        <v>1</v>
      </c>
      <c r="J89" s="97">
        <f t="shared" si="65"/>
        <v>1</v>
      </c>
      <c r="K89" s="10"/>
      <c r="L89" s="10"/>
      <c r="M89" s="10"/>
    </row>
    <row r="90" spans="2:13">
      <c r="B90" s="10"/>
      <c r="C90" s="27" t="s">
        <v>559</v>
      </c>
      <c r="D90" s="63">
        <f>D85+D89*(D87-D85)</f>
        <v>6.5000000000000002E-2</v>
      </c>
      <c r="E90" s="63">
        <f t="shared" ref="E90" si="66">E85+E89*(E87-E85)</f>
        <v>6.5000000000000002E-2</v>
      </c>
      <c r="F90" s="63">
        <f t="shared" ref="F90" si="67">F85+F89*(F87-F85)</f>
        <v>6.5000000000000002E-2</v>
      </c>
      <c r="G90" s="63">
        <f t="shared" ref="G90" si="68">G85+G89*(G87-G85)</f>
        <v>6.5000000000000002E-2</v>
      </c>
      <c r="H90" s="63">
        <f t="shared" ref="H90" si="69">H85+H89*(H87-H85)</f>
        <v>6.5000000000000002E-2</v>
      </c>
      <c r="I90" s="63">
        <f t="shared" ref="I90" si="70">I85+I89*(I87-I85)</f>
        <v>6.5000000000000002E-2</v>
      </c>
      <c r="J90" s="63">
        <f t="shared" ref="J90" si="71">J85+J89*(J87-J85)</f>
        <v>6.5000000000000002E-2</v>
      </c>
      <c r="K90" s="10"/>
      <c r="L90" s="10"/>
      <c r="M90" s="10"/>
    </row>
    <row r="91" spans="2:13">
      <c r="B91" s="10"/>
      <c r="C91" s="27" t="s">
        <v>560</v>
      </c>
      <c r="D91" s="63">
        <f>(1+D90)*(1+D86)/(1+D85)-1</f>
        <v>0.10463917364096953</v>
      </c>
      <c r="E91" s="63">
        <f t="shared" ref="E91" si="72">(1+E90)*(1+E86)/(1+E85)-1</f>
        <v>0.10193390344153319</v>
      </c>
      <c r="F91" s="63">
        <f t="shared" ref="F91" si="73">(1+F90)*(1+F86)/(1+F85)-1</f>
        <v>0.10251728810369998</v>
      </c>
      <c r="G91" s="63">
        <f t="shared" ref="G91" si="74">(1+G90)*(1+G86)/(1+G85)-1</f>
        <v>0.10326604938775907</v>
      </c>
      <c r="H91" s="63">
        <f t="shared" ref="H91" si="75">(1+H90)*(1+H86)/(1+H85)-1</f>
        <v>0.10385755570871469</v>
      </c>
      <c r="I91" s="63">
        <f t="shared" ref="I91" si="76">(1+I90)*(1+I86)/(1+I85)-1</f>
        <v>0.10431123986948387</v>
      </c>
      <c r="J91" s="63">
        <f t="shared" ref="J91" si="77">(1+J90)*(1+J86)/(1+J85)-1</f>
        <v>0.10458567350800152</v>
      </c>
      <c r="K91" s="10"/>
      <c r="L91" s="10"/>
      <c r="M91" s="10"/>
    </row>
    <row r="92" spans="2:13">
      <c r="B92" s="10"/>
      <c r="C92" s="317" t="s">
        <v>561</v>
      </c>
      <c r="D92" s="330">
        <f t="shared" ref="D92:J92" si="78">INDEX($D$26:$J$29, MATCH($D81,$B$26:$B$29, 0), MATCH(D83,$D$25:$J$25,0))</f>
        <v>0.14075472443481096</v>
      </c>
      <c r="E92" s="330">
        <f t="shared" si="78"/>
        <v>0.14164842861156618</v>
      </c>
      <c r="F92" s="330">
        <f t="shared" si="78"/>
        <v>0.14263556138376687</v>
      </c>
      <c r="G92" s="330">
        <f t="shared" si="78"/>
        <v>0.14391785349643138</v>
      </c>
      <c r="H92" s="330">
        <f t="shared" si="78"/>
        <v>0.14526806352750588</v>
      </c>
      <c r="I92" s="330">
        <f t="shared" si="78"/>
        <v>0.14655893291772437</v>
      </c>
      <c r="J92" s="330">
        <f t="shared" si="78"/>
        <v>0.14769778864214667</v>
      </c>
      <c r="K92" s="10"/>
      <c r="L92" s="10"/>
      <c r="M92" s="10"/>
    </row>
    <row r="93" spans="2:13">
      <c r="B93" s="10"/>
      <c r="C93" s="27" t="s">
        <v>562</v>
      </c>
      <c r="D93" s="63">
        <f>D92*D84+D91*(1-D84)</f>
        <v>0.11366806133942989</v>
      </c>
      <c r="E93" s="63">
        <f t="shared" ref="E93" si="79">E92*E84+E91*(1-E84)</f>
        <v>0.11186253473404144</v>
      </c>
      <c r="F93" s="63">
        <f t="shared" ref="F93" si="80">F92*F84+F91*(1-F84)</f>
        <v>0.1125468564237167</v>
      </c>
      <c r="G93" s="63">
        <f t="shared" ref="G93" si="81">G92*G84+G91*(1-G84)</f>
        <v>0.11342900041492715</v>
      </c>
      <c r="H93" s="63">
        <f t="shared" ref="H93" si="82">H92*H84+H91*(1-H84)</f>
        <v>0.11421018266341249</v>
      </c>
      <c r="I93" s="63">
        <f t="shared" ref="I93" si="83">I92*I84+I91*(1-I84)</f>
        <v>0.114873163131544</v>
      </c>
      <c r="J93" s="63">
        <f t="shared" ref="J93" si="84">J92*J84+J91*(1-J84)</f>
        <v>0.11536370229153781</v>
      </c>
      <c r="K93" s="10"/>
      <c r="L93" s="10"/>
      <c r="M93" s="10"/>
    </row>
    <row r="94" spans="2:13">
      <c r="B94" s="10"/>
      <c r="J94" s="10"/>
      <c r="K94" s="10"/>
      <c r="L94" s="10"/>
      <c r="M94" s="10"/>
    </row>
    <row r="95" spans="2:13">
      <c r="B95" s="28" t="s">
        <v>563</v>
      </c>
      <c r="C95" s="28"/>
      <c r="D95" s="99"/>
      <c r="E95" s="99"/>
      <c r="F95" s="100"/>
      <c r="G95" s="28"/>
      <c r="H95" s="28"/>
      <c r="I95" s="28"/>
      <c r="J95" s="28"/>
      <c r="K95" s="28"/>
      <c r="L95" s="28"/>
    </row>
    <row r="96" spans="2:13">
      <c r="B96" s="10"/>
      <c r="C96" s="10"/>
      <c r="D96" s="10"/>
      <c r="E96" s="10"/>
      <c r="F96" s="10"/>
    </row>
    <row r="97" spans="2:12">
      <c r="B97" s="10"/>
      <c r="C97" s="10"/>
      <c r="D97" s="10">
        <v>2022</v>
      </c>
      <c r="E97" s="10">
        <v>2023</v>
      </c>
      <c r="F97" s="10">
        <v>2024</v>
      </c>
      <c r="G97" s="10">
        <v>2025</v>
      </c>
      <c r="H97" s="10">
        <v>2026</v>
      </c>
      <c r="I97" s="10">
        <v>2027</v>
      </c>
      <c r="J97" s="10">
        <v>2028</v>
      </c>
    </row>
    <row r="98" spans="2:12">
      <c r="B98" s="10"/>
      <c r="C98" s="10" t="s">
        <v>406</v>
      </c>
      <c r="D98" s="87">
        <f>D51</f>
        <v>8.5958735942604489E-2</v>
      </c>
      <c r="E98" s="87">
        <f t="shared" ref="E98:J98" si="85">E51</f>
        <v>8.4153209337216039E-2</v>
      </c>
      <c r="F98" s="87">
        <f t="shared" si="85"/>
        <v>8.4837531026891302E-2</v>
      </c>
      <c r="G98" s="87">
        <f t="shared" si="85"/>
        <v>8.5719675018101751E-2</v>
      </c>
      <c r="H98" s="87">
        <f t="shared" si="85"/>
        <v>8.6500857266587086E-2</v>
      </c>
      <c r="I98" s="87">
        <f t="shared" si="85"/>
        <v>8.7163837734718599E-2</v>
      </c>
      <c r="J98" s="87">
        <f t="shared" si="85"/>
        <v>8.7654376894712407E-2</v>
      </c>
    </row>
    <row r="99" spans="2:12">
      <c r="B99" s="10"/>
      <c r="C99" s="10" t="s">
        <v>564</v>
      </c>
      <c r="D99" s="87">
        <f>D65</f>
        <v>9.1855402609271164E-2</v>
      </c>
      <c r="E99" s="87">
        <f t="shared" ref="E99:J99" si="86">E65</f>
        <v>9.0049876003882701E-2</v>
      </c>
      <c r="F99" s="87">
        <f t="shared" si="86"/>
        <v>9.0734197693557977E-2</v>
      </c>
      <c r="G99" s="87">
        <f t="shared" si="86"/>
        <v>9.1616341684768426E-2</v>
      </c>
      <c r="H99" s="87">
        <f t="shared" si="86"/>
        <v>9.2397523933253761E-2</v>
      </c>
      <c r="I99" s="87">
        <f t="shared" si="86"/>
        <v>9.3060504401385274E-2</v>
      </c>
      <c r="J99" s="87">
        <f t="shared" si="86"/>
        <v>9.3551043561379083E-2</v>
      </c>
    </row>
    <row r="100" spans="2:12">
      <c r="B100" s="10"/>
      <c r="C100" s="10" t="s">
        <v>409</v>
      </c>
      <c r="D100" s="87">
        <f>D79</f>
        <v>9.8568339117207665E-2</v>
      </c>
      <c r="E100" s="87">
        <f t="shared" ref="E100:J100" si="87">E79</f>
        <v>9.6762812511819202E-2</v>
      </c>
      <c r="F100" s="87">
        <f t="shared" si="87"/>
        <v>9.7447134201494479E-2</v>
      </c>
      <c r="G100" s="87">
        <f t="shared" si="87"/>
        <v>9.8329278192704928E-2</v>
      </c>
      <c r="H100" s="87">
        <f t="shared" si="87"/>
        <v>9.9110460441190248E-2</v>
      </c>
      <c r="I100" s="87">
        <f t="shared" si="87"/>
        <v>9.9773440909321776E-2</v>
      </c>
      <c r="J100" s="87">
        <f t="shared" si="87"/>
        <v>0.10026398006931558</v>
      </c>
    </row>
    <row r="101" spans="2:12">
      <c r="B101" s="10"/>
      <c r="C101" s="10" t="s">
        <v>410</v>
      </c>
      <c r="D101" s="101">
        <f>D93</f>
        <v>0.11366806133942989</v>
      </c>
      <c r="E101" s="101">
        <f t="shared" ref="E101:J101" si="88">E93</f>
        <v>0.11186253473404144</v>
      </c>
      <c r="F101" s="101">
        <f t="shared" si="88"/>
        <v>0.1125468564237167</v>
      </c>
      <c r="G101" s="101">
        <f t="shared" si="88"/>
        <v>0.11342900041492715</v>
      </c>
      <c r="H101" s="101">
        <f t="shared" si="88"/>
        <v>0.11421018266341249</v>
      </c>
      <c r="I101" s="101">
        <f t="shared" si="88"/>
        <v>0.114873163131544</v>
      </c>
      <c r="J101" s="101">
        <f t="shared" si="88"/>
        <v>0.11536370229153781</v>
      </c>
    </row>
    <row r="102" spans="2:12">
      <c r="B102" s="10"/>
      <c r="C102" s="10"/>
      <c r="D102" s="10"/>
      <c r="E102" s="10"/>
      <c r="F102" s="10"/>
    </row>
    <row r="103" spans="2:12">
      <c r="B103" s="14" t="s">
        <v>362</v>
      </c>
      <c r="C103" s="15"/>
      <c r="D103" s="17"/>
      <c r="E103" s="15"/>
      <c r="F103" s="16"/>
      <c r="G103" s="14"/>
      <c r="H103" s="15"/>
      <c r="I103" s="14"/>
      <c r="J103" s="15"/>
      <c r="K103" s="17"/>
      <c r="L103" s="15"/>
    </row>
    <row r="104" spans="2:12"/>
  </sheetData>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3C1C-4731-4F09-A881-613A6D0DD755}">
  <sheetPr codeName="Sheet21">
    <tabColor theme="9"/>
  </sheetPr>
  <dimension ref="A1:AA54"/>
  <sheetViews>
    <sheetView showGridLines="0" zoomScale="55" zoomScaleNormal="55" workbookViewId="0"/>
  </sheetViews>
  <sheetFormatPr defaultColWidth="0" defaultRowHeight="13.2" zeroHeight="1"/>
  <cols>
    <col min="1" max="1" width="2.5546875" style="10" customWidth="1"/>
    <col min="2" max="2" width="99.6640625" style="10" bestFit="1" customWidth="1"/>
    <col min="3" max="3" width="14.6640625" style="10" bestFit="1" customWidth="1"/>
    <col min="4" max="11" width="13.6640625" style="10" bestFit="1" customWidth="1"/>
    <col min="12" max="12" width="13.44140625" style="10" bestFit="1" customWidth="1"/>
    <col min="13" max="13" width="10.6640625" style="10" bestFit="1" customWidth="1"/>
    <col min="14" max="14" width="13.44140625" style="10" bestFit="1" customWidth="1"/>
    <col min="15" max="21" width="10.6640625" style="10" bestFit="1" customWidth="1"/>
    <col min="22" max="22" width="21" style="10" bestFit="1" customWidth="1"/>
    <col min="23" max="23" width="17.6640625" style="10" bestFit="1" customWidth="1"/>
    <col min="24" max="24" width="22.6640625" style="10" bestFit="1" customWidth="1"/>
    <col min="25" max="25" width="10.6640625" style="10" bestFit="1" customWidth="1"/>
    <col min="26" max="26" width="8.6640625" style="10" customWidth="1"/>
    <col min="27" max="27" width="8.6640625" style="10" hidden="1" customWidth="1"/>
    <col min="28" max="28" width="0" style="10" hidden="1" customWidth="1"/>
    <col min="29" max="16384" width="0" style="10" hidden="1"/>
  </cols>
  <sheetData>
    <row r="1" spans="1:27" ht="17.399999999999999">
      <c r="A1" s="521" t="s">
        <v>565</v>
      </c>
    </row>
    <row r="2" spans="1:27"/>
    <row r="3" spans="1:27">
      <c r="B3" s="28" t="s">
        <v>566</v>
      </c>
      <c r="C3" s="24"/>
      <c r="D3" s="24"/>
      <c r="E3" s="24"/>
      <c r="F3" s="24"/>
      <c r="G3" s="331"/>
      <c r="H3" s="331"/>
      <c r="I3" s="331"/>
      <c r="J3" s="331"/>
      <c r="K3" s="331"/>
      <c r="L3" s="331"/>
      <c r="M3" s="331"/>
      <c r="N3" s="331"/>
      <c r="O3" s="331"/>
      <c r="P3" s="331"/>
      <c r="Q3" s="331"/>
      <c r="R3" s="331"/>
      <c r="S3" s="331"/>
      <c r="T3" s="331"/>
      <c r="U3" s="331"/>
      <c r="V3" s="333"/>
      <c r="W3" s="333"/>
      <c r="X3" s="333"/>
      <c r="Y3" s="333"/>
      <c r="Z3" s="18"/>
      <c r="AA3" s="18"/>
    </row>
    <row r="4" spans="1:27" ht="13.8" thickBot="1"/>
    <row r="5" spans="1:27">
      <c r="B5" s="889" t="s">
        <v>567</v>
      </c>
      <c r="C5" s="890"/>
      <c r="D5" s="890"/>
      <c r="E5" s="890"/>
      <c r="F5" s="890"/>
      <c r="G5" s="891"/>
    </row>
    <row r="6" spans="1:27" ht="13.8" thickBot="1">
      <c r="B6" s="892"/>
      <c r="C6" s="893"/>
      <c r="D6" s="893"/>
      <c r="E6" s="893"/>
      <c r="F6" s="893"/>
      <c r="G6" s="894"/>
    </row>
    <row r="7" spans="1:27"/>
    <row r="8" spans="1:27">
      <c r="B8" s="28" t="s">
        <v>466</v>
      </c>
      <c r="C8" s="24"/>
      <c r="D8" s="24"/>
      <c r="E8" s="331"/>
      <c r="F8" s="331"/>
      <c r="G8" s="331"/>
      <c r="H8" s="331"/>
      <c r="I8" s="331"/>
      <c r="J8" s="331"/>
      <c r="K8" s="331"/>
      <c r="L8" s="331"/>
      <c r="M8" s="331"/>
      <c r="N8" s="331"/>
      <c r="O8" s="331"/>
      <c r="P8" s="331"/>
      <c r="Q8" s="331"/>
      <c r="R8" s="331"/>
      <c r="S8" s="331"/>
      <c r="T8" s="331"/>
      <c r="U8" s="331"/>
      <c r="V8" s="333"/>
      <c r="W8" s="333"/>
      <c r="X8" s="333"/>
      <c r="Y8" s="333"/>
      <c r="Z8" s="18"/>
      <c r="AA8" s="18"/>
    </row>
    <row r="9" spans="1:27">
      <c r="H9" s="18"/>
      <c r="I9" s="18"/>
      <c r="J9" s="18"/>
      <c r="K9" s="18"/>
      <c r="L9" s="18"/>
      <c r="M9" s="18"/>
      <c r="N9" s="18"/>
      <c r="O9" s="18"/>
      <c r="P9" s="18"/>
      <c r="Q9" s="18"/>
      <c r="R9" s="18"/>
      <c r="S9" s="18"/>
      <c r="T9" s="18"/>
      <c r="U9" s="18"/>
      <c r="V9" s="18"/>
      <c r="W9" s="18"/>
      <c r="X9" s="18"/>
      <c r="Y9" s="18"/>
      <c r="Z9" s="18"/>
      <c r="AA9" s="18"/>
    </row>
    <row r="10" spans="1:27">
      <c r="B10" s="796" t="s">
        <v>568</v>
      </c>
      <c r="C10" s="830">
        <f>((C46/C44)*X40)+((C45/C44)*X34)+((C47/C44)*X28)</f>
        <v>69.197457028201029</v>
      </c>
    </row>
    <row r="11" spans="1:27">
      <c r="B11" s="57" t="s">
        <v>569</v>
      </c>
      <c r="C11" s="47">
        <f>C10*C44</f>
        <v>2022364646.307925</v>
      </c>
    </row>
    <row r="12" spans="1:27">
      <c r="B12" s="57" t="s">
        <v>570</v>
      </c>
      <c r="C12" s="26">
        <f>Y28</f>
        <v>63.128123871885379</v>
      </c>
    </row>
    <row r="13" spans="1:27">
      <c r="B13" s="197" t="s">
        <v>571</v>
      </c>
      <c r="C13" s="198">
        <f>C12*C44</f>
        <v>1844982335.9002624</v>
      </c>
    </row>
    <row r="14" spans="1:27">
      <c r="B14" s="170" t="s">
        <v>572</v>
      </c>
    </row>
    <row r="15" spans="1:27">
      <c r="H15" s="18"/>
      <c r="I15" s="18"/>
      <c r="J15" s="18"/>
      <c r="K15" s="18"/>
      <c r="L15" s="18"/>
      <c r="M15" s="18"/>
      <c r="N15" s="18"/>
      <c r="O15" s="18"/>
      <c r="P15" s="18"/>
      <c r="Q15" s="18"/>
      <c r="R15" s="18"/>
      <c r="S15" s="18"/>
      <c r="T15" s="18"/>
      <c r="U15" s="18"/>
      <c r="V15" s="18"/>
      <c r="W15" s="18"/>
      <c r="X15" s="18"/>
      <c r="Y15" s="18"/>
      <c r="Z15" s="18"/>
      <c r="AA15" s="18"/>
    </row>
    <row r="16" spans="1:27">
      <c r="B16" s="28" t="s">
        <v>573</v>
      </c>
      <c r="C16" s="24"/>
      <c r="D16" s="24"/>
      <c r="E16" s="331"/>
      <c r="F16" s="331"/>
      <c r="G16" s="331"/>
      <c r="H16" s="331"/>
      <c r="I16" s="331"/>
      <c r="J16" s="331"/>
      <c r="K16" s="331"/>
      <c r="L16" s="331"/>
      <c r="M16" s="331"/>
      <c r="N16" s="331"/>
      <c r="O16" s="331"/>
      <c r="P16" s="331"/>
      <c r="Q16" s="331"/>
      <c r="R16" s="331"/>
      <c r="S16" s="331"/>
      <c r="T16" s="331"/>
      <c r="U16" s="331"/>
      <c r="V16" s="333"/>
      <c r="W16" s="333"/>
      <c r="X16" s="333"/>
      <c r="Y16" s="333"/>
      <c r="Z16" s="333"/>
      <c r="AA16" s="18"/>
    </row>
    <row r="17" spans="2:25"/>
    <row r="18" spans="2:25" ht="13.8" thickBot="1">
      <c r="B18" s="160" t="s">
        <v>574</v>
      </c>
      <c r="C18" s="504">
        <v>44562</v>
      </c>
      <c r="D18" s="504">
        <v>44593</v>
      </c>
      <c r="E18" s="504">
        <v>44621</v>
      </c>
      <c r="F18" s="504">
        <v>44652</v>
      </c>
      <c r="G18" s="504">
        <v>44682</v>
      </c>
      <c r="H18" s="504">
        <v>44713</v>
      </c>
      <c r="I18" s="504">
        <v>44743</v>
      </c>
      <c r="J18" s="504">
        <v>44774</v>
      </c>
      <c r="K18" s="504">
        <v>44805</v>
      </c>
      <c r="L18" s="504">
        <v>44835</v>
      </c>
      <c r="M18" s="504">
        <v>44866</v>
      </c>
      <c r="N18" s="504">
        <v>44896</v>
      </c>
    </row>
    <row r="19" spans="2:25" ht="13.8" thickBot="1">
      <c r="B19" s="651" t="s">
        <v>575</v>
      </c>
      <c r="C19" s="638">
        <f>'CBs Unbilled Proportion'!C6</f>
        <v>0.42536672434757872</v>
      </c>
      <c r="D19" s="638">
        <f>'CBs Unbilled Proportion'!D6</f>
        <v>0.39563306900793194</v>
      </c>
      <c r="E19" s="638">
        <f>'CBs Unbilled Proportion'!E6</f>
        <v>0.40945829212687096</v>
      </c>
      <c r="F19" s="638">
        <f>'CBs Unbilled Proportion'!F6</f>
        <v>0.44301408672738335</v>
      </c>
      <c r="G19" s="638">
        <f>'CBs Unbilled Proportion'!G6</f>
        <v>0.45773060625678352</v>
      </c>
      <c r="H19" s="638">
        <f>'CBs Unbilled Proportion'!H6</f>
        <v>0.47704982127054418</v>
      </c>
      <c r="I19" s="638">
        <f>'CBs Unbilled Proportion'!I6</f>
        <v>0.51330032908815726</v>
      </c>
      <c r="J19" s="638">
        <f>'CBs Unbilled Proportion'!J6</f>
        <v>0.55229336614828295</v>
      </c>
      <c r="K19" s="638">
        <f>'CBs Unbilled Proportion'!K6</f>
        <v>0.58296096919211049</v>
      </c>
      <c r="L19" s="638">
        <f>'CBs Unbilled Proportion'!L6</f>
        <v>0.57276101211934238</v>
      </c>
      <c r="M19" s="638">
        <f>'CBs Unbilled Proportion'!M6</f>
        <v>0.53776420378630108</v>
      </c>
      <c r="N19" s="638">
        <f>'CBs Unbilled Proportion'!N6</f>
        <v>0.48525400527825502</v>
      </c>
    </row>
    <row r="20" spans="2:25">
      <c r="C20" s="104"/>
      <c r="D20" s="104"/>
      <c r="E20" s="104"/>
      <c r="F20" s="104"/>
      <c r="G20" s="104"/>
      <c r="H20" s="104"/>
      <c r="I20" s="104"/>
      <c r="J20" s="104"/>
      <c r="K20" s="104"/>
      <c r="L20" s="104"/>
      <c r="M20" s="104"/>
      <c r="N20" s="104"/>
      <c r="O20" s="104"/>
      <c r="P20" s="104"/>
      <c r="Q20" s="104"/>
      <c r="R20" s="104"/>
      <c r="S20" s="104"/>
      <c r="T20" s="104"/>
      <c r="U20" s="104"/>
    </row>
    <row r="21" spans="2:25">
      <c r="B21" s="831" t="s">
        <v>576</v>
      </c>
      <c r="C21" s="832">
        <f>'Customer Groups'!BE18</f>
        <v>44012</v>
      </c>
      <c r="D21" s="832">
        <f>'Customer Groups'!BF18</f>
        <v>44043</v>
      </c>
      <c r="E21" s="832">
        <f>'Customer Groups'!BG18</f>
        <v>44074</v>
      </c>
      <c r="F21" s="832">
        <f>'Customer Groups'!BH18</f>
        <v>44104</v>
      </c>
      <c r="G21" s="832">
        <f>'Customer Groups'!BI18</f>
        <v>44135</v>
      </c>
      <c r="H21" s="832">
        <f>'Customer Groups'!BJ18</f>
        <v>44165</v>
      </c>
      <c r="I21" s="832">
        <f>'Customer Groups'!BK18</f>
        <v>44196</v>
      </c>
      <c r="J21" s="832">
        <f>'Customer Groups'!BL18</f>
        <v>44227</v>
      </c>
      <c r="K21" s="832">
        <f>'Customer Groups'!BM18</f>
        <v>44255</v>
      </c>
      <c r="L21" s="832">
        <f>'Customer Groups'!BN18</f>
        <v>44286</v>
      </c>
      <c r="M21" s="832">
        <f>'Customer Groups'!BO18</f>
        <v>44316</v>
      </c>
      <c r="N21" s="832">
        <f>'Customer Groups'!BP18</f>
        <v>44347</v>
      </c>
      <c r="O21" s="832">
        <f>'Customer Groups'!BQ18</f>
        <v>44377</v>
      </c>
      <c r="P21" s="832">
        <f>'Customer Groups'!BR18</f>
        <v>44408</v>
      </c>
      <c r="Q21" s="832">
        <f>'Customer Groups'!BS18</f>
        <v>44439</v>
      </c>
      <c r="R21" s="832">
        <f>'Customer Groups'!BT18</f>
        <v>44469</v>
      </c>
      <c r="S21" s="832">
        <f>'Customer Groups'!BU18</f>
        <v>44500</v>
      </c>
      <c r="T21" s="832">
        <f>'Customer Groups'!BV18</f>
        <v>44530</v>
      </c>
      <c r="U21" s="832">
        <f>'Customer Groups'!BW18</f>
        <v>44561</v>
      </c>
      <c r="V21" s="833" t="s">
        <v>577</v>
      </c>
      <c r="W21" s="833" t="s">
        <v>578</v>
      </c>
      <c r="X21" s="833" t="s">
        <v>579</v>
      </c>
      <c r="Y21" s="833" t="s">
        <v>580</v>
      </c>
    </row>
    <row r="22" spans="2:25">
      <c r="B22" s="796" t="s">
        <v>132</v>
      </c>
      <c r="C22" s="817" cm="1">
        <f t="array" ref="C22">'Gross Credit Balances'!C13*(INDEX($C$19:$N$19,,MATCH(MONTH(C21),MONTH($C$18:$N$18),0)))</f>
        <v>1042.5738175091308</v>
      </c>
      <c r="D22" s="817" cm="1">
        <f t="array" ref="D22">'Gross Credit Balances'!D13*(INDEX($C$19:$N$19,,MATCH(MONTH(D21),MONTH($C$18:$N$18),0)))</f>
        <v>1179.7142502448962</v>
      </c>
      <c r="E22" s="817" cm="1">
        <f t="array" ref="E22">'Gross Credit Balances'!E13*(INDEX($C$19:$N$19,,MATCH(MONTH(E21),MONTH($C$18:$N$18),0)))</f>
        <v>1433.711934508769</v>
      </c>
      <c r="F22" s="817" cm="1">
        <f t="array" ref="F22">'Gross Credit Balances'!F13*(INDEX($C$19:$N$19,,MATCH(MONTH(F21),MONTH($C$18:$N$18),0)))</f>
        <v>1675.5429543653588</v>
      </c>
      <c r="G22" s="817" cm="1">
        <f t="array" ref="G22">'Gross Credit Balances'!G13*(INDEX($C$19:$N$19,,MATCH(MONTH(G21),MONTH($C$18:$N$18),0)))</f>
        <v>1781.8920773647878</v>
      </c>
      <c r="H22" s="817" cm="1">
        <f t="array" ref="H22">'Gross Credit Balances'!H13*(INDEX($C$19:$N$19,,MATCH(MONTH(H21),MONTH($C$18:$N$18),0)))</f>
        <v>1661.480712564475</v>
      </c>
      <c r="I22" s="817" cm="1">
        <f t="array" ref="I22">'Gross Credit Balances'!I13*(INDEX($C$19:$N$19,,MATCH(MONTH(I21),MONTH($C$18:$N$18),0)))</f>
        <v>1344.1585763819423</v>
      </c>
      <c r="J22" s="817" cm="1">
        <f t="array" ref="J22">'Gross Credit Balances'!J13*(INDEX($C$19:$N$19,,MATCH(MONTH(J21),MONTH($C$18:$N$18),0)))</f>
        <v>1073.8657551625793</v>
      </c>
      <c r="K22" s="817" cm="1">
        <f t="array" ref="K22">'Gross Credit Balances'!K13*(INDEX($C$19:$N$19,,MATCH(MONTH(K21),MONTH($C$18:$N$18),0)))</f>
        <v>906.50224859825255</v>
      </c>
      <c r="L22" s="817" cm="1">
        <f t="array" ref="L22">'Gross Credit Balances'!L13*(INDEX($C$19:$N$19,,MATCH(MONTH(L21),MONTH($C$18:$N$18),0)))</f>
        <v>833.10559387058686</v>
      </c>
      <c r="M22" s="817" cm="1">
        <f t="array" ref="M22">'Gross Credit Balances'!M13*(INDEX($C$19:$N$19,,MATCH(MONTH(M21),MONTH($C$18:$N$18),0)))</f>
        <v>884.03201426826365</v>
      </c>
      <c r="N22" s="817" cm="1">
        <f t="array" ref="N22">'Gross Credit Balances'!N13*(INDEX($C$19:$N$19,,MATCH(MONTH(N21),MONTH($C$18:$N$18),0)))</f>
        <v>947.84320246144875</v>
      </c>
      <c r="O22" s="817" cm="1">
        <f t="array" ref="O22">'Gross Credit Balances'!O13*(INDEX($C$19:$N$19,,MATCH(MONTH(O21),MONTH($C$18:$N$18),0)))</f>
        <v>1019.3055166158035</v>
      </c>
      <c r="P22" s="817" cm="1">
        <f t="array" ref="P22">'Gross Credit Balances'!P13*(INDEX($C$19:$N$19,,MATCH(MONTH(P21),MONTH($C$18:$N$18),0)))</f>
        <v>1207.9929936158123</v>
      </c>
      <c r="Q22" s="817" cm="1">
        <f t="array" ref="Q22">'Gross Credit Balances'!Q13*(INDEX($C$19:$N$19,,MATCH(MONTH(Q21),MONTH($C$18:$N$18),0)))</f>
        <v>1484.2626449297397</v>
      </c>
      <c r="R22" s="817" cm="1">
        <f t="array" ref="R22">'Gross Credit Balances'!R13*(INDEX($C$19:$N$19,,MATCH(MONTH(R21),MONTH($C$18:$N$18),0)))</f>
        <v>1650.5069208940611</v>
      </c>
      <c r="S22" s="817" cm="1">
        <f t="array" ref="S22">'Gross Credit Balances'!S13*(INDEX($C$19:$N$19,,MATCH(MONTH(S21),MONTH($C$18:$N$18),0)))</f>
        <v>1786.6845734771334</v>
      </c>
      <c r="T22" s="817" cm="1">
        <f t="array" ref="T22">'Gross Credit Balances'!T13*(INDEX($C$19:$N$19,,MATCH(MONTH(T21),MONTH($C$18:$N$18),0)))</f>
        <v>1745.658007234518</v>
      </c>
      <c r="U22" s="817" cm="1">
        <f t="array" ref="U22">'Gross Credit Balances'!U13*(INDEX($C$19:$N$19,,MATCH(MONTH(U21),MONTH($C$18:$N$18),0)))</f>
        <v>1359.7644714712396</v>
      </c>
      <c r="V22" s="817">
        <f t="shared" ref="V22:V40" si="0">AVERAGE(C22:U22)</f>
        <v>1316.7683297651997</v>
      </c>
      <c r="W22" s="817">
        <f t="shared" ref="W22:W40" si="1">MAX(C22:U22)</f>
        <v>1786.6845734771334</v>
      </c>
      <c r="X22" s="817">
        <f>AVERAGE(F22:I22)</f>
        <v>1615.7685801691409</v>
      </c>
      <c r="Y22" s="817">
        <f t="shared" ref="Y22:Y40" si="2">MAX(J22:U22)</f>
        <v>1786.6845734771334</v>
      </c>
    </row>
    <row r="23" spans="2:25">
      <c r="B23" s="57" t="s">
        <v>581</v>
      </c>
      <c r="C23" s="132">
        <f>'Gross Credit Balances'!C14</f>
        <v>22946050</v>
      </c>
      <c r="D23" s="132">
        <f>'Gross Credit Balances'!D14</f>
        <v>22921313</v>
      </c>
      <c r="E23" s="132">
        <f>'Gross Credit Balances'!E14</f>
        <v>22912419</v>
      </c>
      <c r="F23" s="132">
        <f>'Gross Credit Balances'!F14</f>
        <v>22822411</v>
      </c>
      <c r="G23" s="132">
        <f>'Gross Credit Balances'!G14</f>
        <v>22918650</v>
      </c>
      <c r="H23" s="132">
        <f>'Gross Credit Balances'!H14</f>
        <v>22929539</v>
      </c>
      <c r="I23" s="132">
        <f>'Gross Credit Balances'!I14</f>
        <v>22563513</v>
      </c>
      <c r="J23" s="132">
        <f>'Gross Credit Balances'!J14</f>
        <v>22375657</v>
      </c>
      <c r="K23" s="132">
        <f>'Gross Credit Balances'!K14</f>
        <v>22955286</v>
      </c>
      <c r="L23" s="132">
        <f>'Gross Credit Balances'!L14</f>
        <v>21911051</v>
      </c>
      <c r="M23" s="132">
        <f>'Gross Credit Balances'!M14</f>
        <v>22043704</v>
      </c>
      <c r="N23" s="132">
        <f>'Gross Credit Balances'!N14</f>
        <v>22037222</v>
      </c>
      <c r="O23" s="132">
        <f>'Gross Credit Balances'!O14</f>
        <v>22029582</v>
      </c>
      <c r="P23" s="132">
        <f>'Gross Credit Balances'!P14</f>
        <v>21965404</v>
      </c>
      <c r="Q23" s="132">
        <f>'Gross Credit Balances'!Q14</f>
        <v>21962475</v>
      </c>
      <c r="R23" s="132">
        <f>'Gross Credit Balances'!R14</f>
        <v>22184017</v>
      </c>
      <c r="S23" s="132">
        <f>'Gross Credit Balances'!S14</f>
        <v>22964312</v>
      </c>
      <c r="T23" s="132">
        <f>'Gross Credit Balances'!T14</f>
        <v>22933618</v>
      </c>
      <c r="U23" s="132">
        <f>'Gross Credit Balances'!U14</f>
        <v>22928934</v>
      </c>
      <c r="V23" s="132">
        <f t="shared" si="0"/>
        <v>22542376.684210528</v>
      </c>
      <c r="W23" s="132">
        <f t="shared" si="1"/>
        <v>22964312</v>
      </c>
      <c r="X23" s="132">
        <f>AVERAGE(F23:I23)</f>
        <v>22808528.25</v>
      </c>
      <c r="Y23" s="132">
        <f t="shared" si="2"/>
        <v>22964312</v>
      </c>
    </row>
    <row r="24" spans="2:25" s="27" customFormat="1">
      <c r="B24" s="57" t="s">
        <v>582</v>
      </c>
      <c r="C24" s="132">
        <f>(C22*10^6)/C23</f>
        <v>45.435873168110888</v>
      </c>
      <c r="D24" s="132">
        <f t="shared" ref="D24:U24" si="3">(D22*10^6)/D23</f>
        <v>51.468004919478048</v>
      </c>
      <c r="E24" s="132">
        <f t="shared" si="3"/>
        <v>62.573573506523644</v>
      </c>
      <c r="F24" s="132">
        <f t="shared" si="3"/>
        <v>73.416562096150088</v>
      </c>
      <c r="G24" s="132">
        <f t="shared" si="3"/>
        <v>77.748561864018512</v>
      </c>
      <c r="H24" s="132">
        <f t="shared" si="3"/>
        <v>72.460275479785054</v>
      </c>
      <c r="I24" s="132">
        <f t="shared" si="3"/>
        <v>59.572220707916458</v>
      </c>
      <c r="J24" s="132">
        <f t="shared" si="3"/>
        <v>47.992591018113089</v>
      </c>
      <c r="K24" s="132">
        <f t="shared" si="3"/>
        <v>39.489913068312568</v>
      </c>
      <c r="L24" s="132">
        <f t="shared" si="3"/>
        <v>38.022164882487239</v>
      </c>
      <c r="M24" s="132">
        <f t="shared" si="3"/>
        <v>40.103605740136217</v>
      </c>
      <c r="N24" s="132">
        <f t="shared" si="3"/>
        <v>43.011011209191828</v>
      </c>
      <c r="O24" s="132">
        <f t="shared" si="3"/>
        <v>46.269852810452939</v>
      </c>
      <c r="P24" s="132">
        <f t="shared" si="3"/>
        <v>54.995254975315376</v>
      </c>
      <c r="Q24" s="132">
        <f t="shared" si="3"/>
        <v>67.581756834315797</v>
      </c>
      <c r="R24" s="132">
        <f t="shared" si="3"/>
        <v>74.400723768560994</v>
      </c>
      <c r="S24" s="132">
        <f t="shared" si="3"/>
        <v>77.802660644792383</v>
      </c>
      <c r="T24" s="132">
        <f t="shared" si="3"/>
        <v>76.117863619884048</v>
      </c>
      <c r="U24" s="132">
        <f t="shared" si="3"/>
        <v>59.303431702112256</v>
      </c>
      <c r="V24" s="132">
        <f t="shared" si="0"/>
        <v>58.303468527139856</v>
      </c>
      <c r="W24" s="132">
        <f t="shared" si="1"/>
        <v>77.802660644792383</v>
      </c>
      <c r="X24" s="132">
        <f>AVERAGE(F24:I24)</f>
        <v>70.799405036967528</v>
      </c>
      <c r="Y24" s="132">
        <f t="shared" si="2"/>
        <v>77.802660644792383</v>
      </c>
    </row>
    <row r="25" spans="2:25" s="27" customFormat="1">
      <c r="B25" s="57"/>
      <c r="C25" s="132"/>
      <c r="D25" s="132"/>
      <c r="E25" s="132"/>
      <c r="F25" s="132"/>
      <c r="G25" s="132"/>
      <c r="H25" s="132"/>
      <c r="I25" s="132"/>
      <c r="J25" s="132"/>
      <c r="K25" s="132"/>
      <c r="L25" s="132"/>
      <c r="M25" s="132"/>
      <c r="N25" s="132"/>
      <c r="O25" s="132"/>
      <c r="P25" s="132"/>
      <c r="Q25" s="132"/>
      <c r="R25" s="132"/>
      <c r="S25" s="132"/>
      <c r="T25" s="132"/>
      <c r="U25" s="132"/>
      <c r="V25" s="132"/>
      <c r="W25" s="132"/>
      <c r="X25" s="132"/>
      <c r="Y25" s="132"/>
    </row>
    <row r="26" spans="2:25">
      <c r="B26" s="57" t="s">
        <v>583</v>
      </c>
      <c r="C26" s="132" cm="1">
        <f t="array" ref="C26">'Gross Credit Balances'!C16*(INDEX($C$19:$N$19,,MATCH(MONTH(C$21),MONTH($C$18:$N$18),0)))</f>
        <v>463.66761968426289</v>
      </c>
      <c r="D26" s="132" cm="1">
        <f t="array" ref="D26">'Gross Credit Balances'!D16*(INDEX($C$19:$N$19,,MATCH(MONTH(D$21),MONTH($C$18:$N$18),0)))</f>
        <v>515.35353040450991</v>
      </c>
      <c r="E26" s="132" cm="1">
        <f t="array" ref="E26">'Gross Credit Balances'!E16*(INDEX($C$19:$N$19,,MATCH(MONTH(E$21),MONTH($C$18:$N$18),0)))</f>
        <v>657.9053651946906</v>
      </c>
      <c r="F26" s="132" cm="1">
        <f t="array" ref="F26">'Gross Credit Balances'!F16*(INDEX($C$19:$N$19,,MATCH(MONTH(F$21),MONTH($C$18:$N$18),0)))</f>
        <v>716.60477137940177</v>
      </c>
      <c r="G26" s="132" cm="1">
        <f t="array" ref="G26">'Gross Credit Balances'!G16*(INDEX($C$19:$N$19,,MATCH(MONTH(G$21),MONTH($C$18:$N$18),0)))</f>
        <v>799.37208804814679</v>
      </c>
      <c r="H26" s="132" cm="1">
        <f t="array" ref="H26">'Gross Credit Balances'!H16*(INDEX($C$19:$N$19,,MATCH(MONTH(H$21),MONTH($C$18:$N$18),0)))</f>
        <v>743.83470994025242</v>
      </c>
      <c r="I26" s="132" cm="1">
        <f t="array" ref="I26">'Gross Credit Balances'!I16*(INDEX($C$19:$N$19,,MATCH(MONTH(I$21),MONTH($C$18:$N$18),0)))</f>
        <v>644.02845100731281</v>
      </c>
      <c r="J26" s="132" cm="1">
        <f t="array" ref="J26">'Gross Credit Balances'!J16*(INDEX($C$19:$N$19,,MATCH(MONTH(J$21),MONTH($C$18:$N$18),0)))</f>
        <v>528.38996223214986</v>
      </c>
      <c r="K26" s="132" cm="1">
        <f t="array" ref="K26">'Gross Credit Balances'!K16*(INDEX($C$19:$N$19,,MATCH(MONTH(K$21),MONTH($C$18:$N$18),0)))</f>
        <v>444.47842571354624</v>
      </c>
      <c r="L26" s="132" cm="1">
        <f t="array" ref="L26">'Gross Credit Balances'!L16*(INDEX($C$19:$N$19,,MATCH(MONTH(L$21),MONTH($C$18:$N$18),0)))</f>
        <v>422.40873025851289</v>
      </c>
      <c r="M26" s="132" cm="1">
        <f t="array" ref="M26">'Gross Credit Balances'!M16*(INDEX($C$19:$N$19,,MATCH(MONTH(M$21),MONTH($C$18:$N$18),0)))</f>
        <v>458.41369939611388</v>
      </c>
      <c r="N26" s="132" cm="1">
        <f t="array" ref="N26">'Gross Credit Balances'!N16*(INDEX($C$19:$N$19,,MATCH(MONTH(N$21),MONTH($C$18:$N$18),0)))</f>
        <v>497.8149909079026</v>
      </c>
      <c r="O26" s="132" cm="1">
        <f t="array" ref="O26">'Gross Credit Balances'!O16*(INDEX($C$19:$N$19,,MATCH(MONTH(O$21),MONTH($C$18:$N$18),0)))</f>
        <v>535.63297047203082</v>
      </c>
      <c r="P26" s="132" cm="1">
        <f t="array" ref="P26">'Gross Credit Balances'!P16*(INDEX($C$19:$N$19,,MATCH(MONTH(P$21),MONTH($C$18:$N$18),0)))</f>
        <v>618.33369605632447</v>
      </c>
      <c r="Q26" s="132" cm="1">
        <f t="array" ref="Q26">'Gross Credit Balances'!Q16*(INDEX($C$19:$N$19,,MATCH(MONTH(Q$21),MONTH($C$18:$N$18),0)))</f>
        <v>763.90733085482827</v>
      </c>
      <c r="R26" s="132" cm="1">
        <f t="array" ref="R26">'Gross Credit Balances'!R16*(INDEX($C$19:$N$19,,MATCH(MONTH(R$21),MONTH($C$18:$N$18),0)))</f>
        <v>865.07514132692597</v>
      </c>
      <c r="S26" s="132" cm="1">
        <f t="array" ref="S26">'Gross Credit Balances'!S16*(INDEX($C$19:$N$19,,MATCH(MONTH(S$21),MONTH($C$18:$N$18),0)))</f>
        <v>887.46697035012869</v>
      </c>
      <c r="T26" s="132" cm="1">
        <f t="array" ref="T26">'Gross Credit Balances'!T16*(INDEX($C$19:$N$19,,MATCH(MONTH(T$21),MONTH($C$18:$N$18),0)))</f>
        <v>879.78722536925773</v>
      </c>
      <c r="U26" s="132" cm="1">
        <f t="array" ref="U26">'Gross Credit Balances'!U16*(INDEX($C$19:$N$19,,MATCH(MONTH(U$21),MONTH($C$18:$N$18),0)))</f>
        <v>672.00762680719629</v>
      </c>
      <c r="V26" s="132">
        <f t="shared" si="0"/>
        <v>637.60438449492085</v>
      </c>
      <c r="W26" s="132">
        <f t="shared" si="1"/>
        <v>887.46697035012869</v>
      </c>
      <c r="X26" s="132">
        <f>AVERAGE(F26:I26)</f>
        <v>725.96000509377848</v>
      </c>
      <c r="Y26" s="132">
        <f t="shared" si="2"/>
        <v>887.46697035012869</v>
      </c>
    </row>
    <row r="27" spans="2:25">
      <c r="B27" s="57" t="s">
        <v>584</v>
      </c>
      <c r="C27" s="132">
        <f>'Gross Credit Balances'!C17</f>
        <v>11780386</v>
      </c>
      <c r="D27" s="132">
        <f>'Gross Credit Balances'!D17</f>
        <v>11716677</v>
      </c>
      <c r="E27" s="132">
        <f>'Gross Credit Balances'!E17</f>
        <v>11696179</v>
      </c>
      <c r="F27" s="132">
        <f>'Gross Credit Balances'!F17</f>
        <v>11728961</v>
      </c>
      <c r="G27" s="132">
        <f>'Gross Credit Balances'!G17</f>
        <v>12082264</v>
      </c>
      <c r="H27" s="132">
        <f>'Gross Credit Balances'!H17</f>
        <v>12347312</v>
      </c>
      <c r="I27" s="132">
        <f>'Gross Credit Balances'!I17</f>
        <v>12599196</v>
      </c>
      <c r="J27" s="132">
        <f>'Gross Credit Balances'!J17</f>
        <v>13320108</v>
      </c>
      <c r="K27" s="132">
        <f>'Gross Credit Balances'!K17</f>
        <v>13664319</v>
      </c>
      <c r="L27" s="132">
        <f>'Gross Credit Balances'!L17</f>
        <v>13498132</v>
      </c>
      <c r="M27" s="132">
        <f>'Gross Credit Balances'!M17</f>
        <v>13426544</v>
      </c>
      <c r="N27" s="132">
        <f>'Gross Credit Balances'!N17</f>
        <v>13348110</v>
      </c>
      <c r="O27" s="132">
        <f>'Gross Credit Balances'!O17</f>
        <v>13283810</v>
      </c>
      <c r="P27" s="132">
        <f>'Gross Credit Balances'!P17</f>
        <v>13213414</v>
      </c>
      <c r="Q27" s="132">
        <f>'Gross Credit Balances'!Q17</f>
        <v>13170382</v>
      </c>
      <c r="R27" s="132">
        <f>'Gross Credit Balances'!R17</f>
        <v>13821035</v>
      </c>
      <c r="S27" s="132">
        <f>'Gross Credit Balances'!S17</f>
        <v>14058187</v>
      </c>
      <c r="T27" s="132">
        <f>'Gross Credit Balances'!T17</f>
        <v>14092324</v>
      </c>
      <c r="U27" s="132">
        <f>'Gross Credit Balances'!U17</f>
        <v>14144514</v>
      </c>
      <c r="V27" s="132">
        <f t="shared" si="0"/>
        <v>12999571.263157895</v>
      </c>
      <c r="W27" s="132">
        <f t="shared" si="1"/>
        <v>14144514</v>
      </c>
      <c r="X27" s="132">
        <f>AVERAGE(F27:I27)</f>
        <v>12189433.25</v>
      </c>
      <c r="Y27" s="132">
        <f t="shared" si="2"/>
        <v>14144514</v>
      </c>
    </row>
    <row r="28" spans="2:25" s="27" customFormat="1">
      <c r="B28" s="57" t="s">
        <v>585</v>
      </c>
      <c r="C28" s="132">
        <f t="shared" ref="C28:U28" si="4">(C26*10^6)/C27</f>
        <v>39.359289218898503</v>
      </c>
      <c r="D28" s="132">
        <f t="shared" si="4"/>
        <v>43.984615297025762</v>
      </c>
      <c r="E28" s="132">
        <f t="shared" si="4"/>
        <v>56.249597855392821</v>
      </c>
      <c r="F28" s="132">
        <f t="shared" si="4"/>
        <v>61.097037613084552</v>
      </c>
      <c r="G28" s="132">
        <f t="shared" si="4"/>
        <v>66.16078642613229</v>
      </c>
      <c r="H28" s="132">
        <f t="shared" si="4"/>
        <v>60.24264309027361</v>
      </c>
      <c r="I28" s="132">
        <f t="shared" si="4"/>
        <v>51.116630855438139</v>
      </c>
      <c r="J28" s="132">
        <f t="shared" si="4"/>
        <v>39.668594446242466</v>
      </c>
      <c r="K28" s="132">
        <f t="shared" si="4"/>
        <v>32.528399381889884</v>
      </c>
      <c r="L28" s="132">
        <f t="shared" si="4"/>
        <v>31.293865718494448</v>
      </c>
      <c r="M28" s="132">
        <f t="shared" si="4"/>
        <v>34.142345148246179</v>
      </c>
      <c r="N28" s="132">
        <f t="shared" si="4"/>
        <v>37.294792364454786</v>
      </c>
      <c r="O28" s="132">
        <f t="shared" si="4"/>
        <v>40.322239664074601</v>
      </c>
      <c r="P28" s="132">
        <f t="shared" si="4"/>
        <v>46.795907254273914</v>
      </c>
      <c r="Q28" s="132">
        <f t="shared" si="4"/>
        <v>58.001911474916085</v>
      </c>
      <c r="R28" s="132">
        <f t="shared" si="4"/>
        <v>62.59119822263137</v>
      </c>
      <c r="S28" s="132">
        <f t="shared" si="4"/>
        <v>63.128123871885379</v>
      </c>
      <c r="T28" s="132">
        <f t="shared" si="4"/>
        <v>62.430243966095141</v>
      </c>
      <c r="U28" s="132">
        <f t="shared" si="4"/>
        <v>47.510124901229993</v>
      </c>
      <c r="V28" s="132">
        <f t="shared" si="0"/>
        <v>49.153597198456843</v>
      </c>
      <c r="W28" s="132">
        <f t="shared" si="1"/>
        <v>66.16078642613229</v>
      </c>
      <c r="X28" s="132">
        <f t="shared" ref="X28:X42" si="5">AVERAGE(F28:I28)</f>
        <v>59.654274496232148</v>
      </c>
      <c r="Y28" s="132">
        <f t="shared" si="2"/>
        <v>63.128123871885379</v>
      </c>
    </row>
    <row r="29" spans="2:25" s="27" customFormat="1">
      <c r="B29" s="57" t="s">
        <v>586</v>
      </c>
      <c r="C29" s="132">
        <f>'Customer Debit Balances'!C16</f>
        <v>137.57650479364597</v>
      </c>
      <c r="D29" s="132">
        <f>'Customer Debit Balances'!D16</f>
        <v>134.46008036237578</v>
      </c>
      <c r="E29" s="132">
        <f>'Customer Debit Balances'!E16</f>
        <v>51.879320502875352</v>
      </c>
      <c r="F29" s="132">
        <f>'Customer Debit Balances'!F16</f>
        <v>89.626238647529448</v>
      </c>
      <c r="G29" s="132">
        <f>'Customer Debit Balances'!G16</f>
        <v>120.01066464033561</v>
      </c>
      <c r="H29" s="132">
        <f>'Customer Debit Balances'!H16</f>
        <v>115.15056880396317</v>
      </c>
      <c r="I29" s="132">
        <f>'Customer Debit Balances'!I16</f>
        <v>114.27713323929559</v>
      </c>
      <c r="J29" s="132">
        <f>'Customer Debit Balances'!J16</f>
        <v>110.56967405969982</v>
      </c>
      <c r="K29" s="132">
        <f>'Customer Debit Balances'!K16</f>
        <v>174.33514890614018</v>
      </c>
      <c r="L29" s="132">
        <f>'Customer Debit Balances'!L16</f>
        <v>185.11703694211013</v>
      </c>
      <c r="M29" s="132">
        <f>'Customer Debit Balances'!M16</f>
        <v>196.98645829558433</v>
      </c>
      <c r="N29" s="132">
        <f>'Customer Debit Balances'!N16</f>
        <v>207.28493436605916</v>
      </c>
      <c r="O29" s="132">
        <f>'Customer Debit Balances'!O16</f>
        <v>206.9663951089741</v>
      </c>
      <c r="P29" s="132">
        <f>'Customer Debit Balances'!P16</f>
        <v>206.44950696068335</v>
      </c>
      <c r="Q29" s="132">
        <f>'Customer Debit Balances'!Q16</f>
        <v>200.7905764660041</v>
      </c>
      <c r="R29" s="132">
        <f>'Customer Debit Balances'!R16</f>
        <v>188.02943376523422</v>
      </c>
      <c r="S29" s="132">
        <f>'Customer Debit Balances'!S16</f>
        <v>179.61856945068379</v>
      </c>
      <c r="T29" s="132">
        <f>'Customer Debit Balances'!T16</f>
        <v>190.05525582294263</v>
      </c>
      <c r="U29" s="132">
        <f>'Customer Debit Balances'!U16</f>
        <v>202.03745352198024</v>
      </c>
      <c r="V29" s="132">
        <f t="shared" si="0"/>
        <v>158.48531340295355</v>
      </c>
      <c r="W29" s="132">
        <f t="shared" si="1"/>
        <v>207.28493436605916</v>
      </c>
      <c r="X29" s="132">
        <f t="shared" si="5"/>
        <v>109.76615133278095</v>
      </c>
      <c r="Y29" s="132">
        <f t="shared" si="2"/>
        <v>207.28493436605916</v>
      </c>
    </row>
    <row r="30" spans="2:25" s="27" customFormat="1">
      <c r="B30" s="57" t="s">
        <v>587</v>
      </c>
      <c r="C30" s="622">
        <f>C28-C29</f>
        <v>-98.217215574747456</v>
      </c>
      <c r="D30" s="622">
        <f t="shared" ref="D30:U30" si="6">D28-D29</f>
        <v>-90.475465065350022</v>
      </c>
      <c r="E30" s="622">
        <f t="shared" si="6"/>
        <v>4.3702773525174692</v>
      </c>
      <c r="F30" s="622">
        <f t="shared" si="6"/>
        <v>-28.529201034444895</v>
      </c>
      <c r="G30" s="622">
        <f t="shared" si="6"/>
        <v>-53.849878214203315</v>
      </c>
      <c r="H30" s="622">
        <f t="shared" si="6"/>
        <v>-54.907925713689558</v>
      </c>
      <c r="I30" s="622">
        <f t="shared" si="6"/>
        <v>-63.160502383857455</v>
      </c>
      <c r="J30" s="622">
        <f t="shared" si="6"/>
        <v>-70.901079613457355</v>
      </c>
      <c r="K30" s="622">
        <f t="shared" si="6"/>
        <v>-141.80674952425028</v>
      </c>
      <c r="L30" s="622">
        <f t="shared" si="6"/>
        <v>-153.82317122361567</v>
      </c>
      <c r="M30" s="622">
        <f t="shared" si="6"/>
        <v>-162.84411314733813</v>
      </c>
      <c r="N30" s="622">
        <f t="shared" si="6"/>
        <v>-169.99014200160437</v>
      </c>
      <c r="O30" s="622">
        <f t="shared" si="6"/>
        <v>-166.6441554448995</v>
      </c>
      <c r="P30" s="622">
        <f t="shared" si="6"/>
        <v>-159.65359970640944</v>
      </c>
      <c r="Q30" s="622">
        <f t="shared" si="6"/>
        <v>-142.78866499108801</v>
      </c>
      <c r="R30" s="622">
        <f t="shared" si="6"/>
        <v>-125.43823554260285</v>
      </c>
      <c r="S30" s="622">
        <f t="shared" si="6"/>
        <v>-116.49044557879841</v>
      </c>
      <c r="T30" s="622">
        <f t="shared" si="6"/>
        <v>-127.62501185684749</v>
      </c>
      <c r="U30" s="622">
        <f t="shared" si="6"/>
        <v>-154.52732862075024</v>
      </c>
      <c r="V30" s="622">
        <f t="shared" si="0"/>
        <v>-109.3317162044967</v>
      </c>
      <c r="W30" s="622">
        <f t="shared" si="1"/>
        <v>4.3702773525174692</v>
      </c>
      <c r="X30" s="622">
        <f t="shared" si="5"/>
        <v>-50.111876836548802</v>
      </c>
      <c r="Y30" s="622">
        <f t="shared" si="2"/>
        <v>-70.901079613457355</v>
      </c>
    </row>
    <row r="31" spans="2:25" s="27" customFormat="1">
      <c r="B31" s="57"/>
      <c r="C31" s="132"/>
      <c r="D31" s="132"/>
      <c r="E31" s="132"/>
      <c r="F31" s="132"/>
      <c r="G31" s="132"/>
      <c r="H31" s="132"/>
      <c r="I31" s="132"/>
      <c r="J31" s="132"/>
      <c r="K31" s="132"/>
      <c r="L31" s="132"/>
      <c r="M31" s="132"/>
      <c r="N31" s="132"/>
      <c r="O31" s="132"/>
      <c r="P31" s="132"/>
      <c r="Q31" s="132"/>
      <c r="R31" s="132"/>
      <c r="S31" s="132"/>
      <c r="T31" s="132"/>
      <c r="U31" s="132"/>
      <c r="V31" s="132"/>
      <c r="W31" s="132"/>
      <c r="X31" s="188"/>
      <c r="Y31" s="132"/>
    </row>
    <row r="32" spans="2:25" s="27" customFormat="1">
      <c r="B32" s="57" t="s">
        <v>588</v>
      </c>
      <c r="C32" s="132" cm="1">
        <f t="array" ref="C32">'Gross Credit Balances'!C19*(INDEX($C$19:$N$19,,MATCH(MONTH(C$21),MONTH($C$18:$N$18),0)))</f>
        <v>444.93441465451576</v>
      </c>
      <c r="D32" s="132" cm="1">
        <f t="array" ref="D32">'Gross Credit Balances'!D19*(INDEX($C$19:$N$19,,MATCH(MONTH(D$21),MONTH($C$18:$N$18),0)))</f>
        <v>512.48315646821891</v>
      </c>
      <c r="E32" s="132" cm="1">
        <f t="array" ref="E32">'Gross Credit Balances'!E19*(INDEX($C$19:$N$19,,MATCH(MONTH(E$21),MONTH($C$18:$N$18),0)))</f>
        <v>599.05996705224197</v>
      </c>
      <c r="F32" s="132" cm="1">
        <f t="array" ref="F32">'Gross Credit Balances'!F19*(INDEX($C$19:$N$19,,MATCH(MONTH(F$21),MONTH($C$18:$N$18),0)))</f>
        <v>688.71122123035366</v>
      </c>
      <c r="G32" s="132" cm="1">
        <f t="array" ref="G32">'Gross Credit Balances'!G19*(INDEX($C$19:$N$19,,MATCH(MONTH(G$21),MONTH($C$18:$N$18),0)))</f>
        <v>708.01269914377247</v>
      </c>
      <c r="H32" s="132" cm="1">
        <f t="array" ref="H32">'Gross Credit Balances'!H19*(INDEX($C$19:$N$19,,MATCH(MONTH(H$21),MONTH($C$18:$N$18),0)))</f>
        <v>666.7543200856976</v>
      </c>
      <c r="I32" s="132" cm="1">
        <f t="array" ref="I32">'Gross Credit Balances'!I19*(INDEX($C$19:$N$19,,MATCH(MONTH(I$21),MONTH($C$18:$N$18),0)))</f>
        <v>596.86354953015575</v>
      </c>
      <c r="J32" s="132" cm="1">
        <f t="array" ref="J32">'Gross Credit Balances'!J19*(INDEX($C$19:$N$19,,MATCH(MONTH(J$21),MONTH($C$18:$N$18),0)))</f>
        <v>478.16198687811362</v>
      </c>
      <c r="K32" s="132" cm="1">
        <f t="array" ref="K32">'Gross Credit Balances'!K19*(INDEX($C$19:$N$19,,MATCH(MONTH(K$21),MONTH($C$18:$N$18),0)))</f>
        <v>397.68446543268271</v>
      </c>
      <c r="L32" s="132" cm="1">
        <f t="array" ref="L32">'Gross Credit Balances'!L19*(INDEX($C$19:$N$19,,MATCH(MONTH(L$21),MONTH($C$18:$N$18),0)))</f>
        <v>390.22844847329452</v>
      </c>
      <c r="M32" s="132" cm="1">
        <f t="array" ref="M32">'Gross Credit Balances'!M19*(INDEX($C$19:$N$19,,MATCH(MONTH(M$21),MONTH($C$18:$N$18),0)))</f>
        <v>402.33949462945827</v>
      </c>
      <c r="N32" s="132" cm="1">
        <f t="array" ref="N32">'Gross Credit Balances'!N19*(INDEX($C$19:$N$19,,MATCH(MONTH(N$21),MONTH($C$18:$N$18),0)))</f>
        <v>419.90615188120006</v>
      </c>
      <c r="O32" s="132" cm="1">
        <f t="array" ref="O32">'Gross Credit Balances'!O19*(INDEX($C$19:$N$19,,MATCH(MONTH(O$21),MONTH($C$18:$N$18),0)))</f>
        <v>450.33751136600455</v>
      </c>
      <c r="P32" s="132" cm="1">
        <f t="array" ref="P32">'Gross Credit Balances'!P19*(INDEX($C$19:$N$19,,MATCH(MONTH(P$21),MONTH($C$18:$N$18),0)))</f>
        <v>553.71969297519149</v>
      </c>
      <c r="Q32" s="132" cm="1">
        <f t="array" ref="Q32">'Gross Credit Balances'!Q19*(INDEX($C$19:$N$19,,MATCH(MONTH(Q$21),MONTH($C$18:$N$18),0)))</f>
        <v>678.85470314313932</v>
      </c>
      <c r="R32" s="132" cm="1">
        <f t="array" ref="R32">'Gross Credit Balances'!R19*(INDEX($C$19:$N$19,,MATCH(MONTH(R$21),MONTH($C$18:$N$18),0)))</f>
        <v>760.33034012654957</v>
      </c>
      <c r="S32" s="132" cm="1">
        <f t="array" ref="S32">'Gross Credit Balances'!S19*(INDEX($C$19:$N$19,,MATCH(MONTH(S$21),MONTH($C$18:$N$18),0)))</f>
        <v>871.91408874927492</v>
      </c>
      <c r="T32" s="132" cm="1">
        <f t="array" ref="T32">'Gross Credit Balances'!T19*(INDEX($C$19:$N$19,,MATCH(MONTH(T$21),MONTH($C$18:$N$18),0)))</f>
        <v>841.17557409898563</v>
      </c>
      <c r="U32" s="132" cm="1">
        <f t="array" ref="U32">'Gross Credit Balances'!U19*(INDEX($C$19:$N$19,,MATCH(MONTH(U$21),MONTH($C$18:$N$18),0)))</f>
        <v>666.36490709535667</v>
      </c>
      <c r="V32" s="132">
        <f t="shared" ref="V32:V36" si="7">AVERAGE(C32:U32)</f>
        <v>585.67561542180044</v>
      </c>
      <c r="W32" s="132">
        <f t="shared" ref="W32:W36" si="8">MAX(C32:U32)</f>
        <v>871.91408874927492</v>
      </c>
      <c r="X32" s="132">
        <f t="shared" si="5"/>
        <v>665.0854474974949</v>
      </c>
      <c r="Y32" s="132">
        <f t="shared" ref="Y32:Y36" si="9">MAX(J32:U32)</f>
        <v>871.91408874927492</v>
      </c>
    </row>
    <row r="33" spans="2:25" s="27" customFormat="1">
      <c r="B33" s="57" t="s">
        <v>589</v>
      </c>
      <c r="C33" s="132">
        <f>'Gross Credit Balances'!C20</f>
        <v>7534652</v>
      </c>
      <c r="D33" s="132">
        <f>'Gross Credit Balances'!D20</f>
        <v>7540365</v>
      </c>
      <c r="E33" s="132">
        <f>'Gross Credit Balances'!E20</f>
        <v>7569675</v>
      </c>
      <c r="F33" s="132">
        <f>'Gross Credit Balances'!F20</f>
        <v>7608056</v>
      </c>
      <c r="G33" s="132">
        <f>'Gross Credit Balances'!G20</f>
        <v>7602361</v>
      </c>
      <c r="H33" s="132">
        <f>'Gross Credit Balances'!H20</f>
        <v>7603741</v>
      </c>
      <c r="I33" s="132">
        <f>'Gross Credit Balances'!I20</f>
        <v>7611524</v>
      </c>
      <c r="J33" s="132">
        <f>'Gross Credit Balances'!J20</f>
        <v>7649254</v>
      </c>
      <c r="K33" s="132">
        <f>'Gross Credit Balances'!K20</f>
        <v>7730749</v>
      </c>
      <c r="L33" s="132">
        <f>'Gross Credit Balances'!L20</f>
        <v>7818279</v>
      </c>
      <c r="M33" s="132">
        <f>'Gross Credit Balances'!M20</f>
        <v>7856457</v>
      </c>
      <c r="N33" s="132">
        <f>'Gross Credit Balances'!N20</f>
        <v>7893634</v>
      </c>
      <c r="O33" s="132">
        <f>'Gross Credit Balances'!O20</f>
        <v>7918982</v>
      </c>
      <c r="P33" s="132">
        <f>'Gross Credit Balances'!P20</f>
        <v>7976199</v>
      </c>
      <c r="Q33" s="132">
        <f>'Gross Credit Balances'!Q20</f>
        <v>8009147</v>
      </c>
      <c r="R33" s="132">
        <f>'Gross Credit Balances'!R20</f>
        <v>8053093</v>
      </c>
      <c r="S33" s="132">
        <f>'Gross Credit Balances'!S20</f>
        <v>8665225</v>
      </c>
      <c r="T33" s="132">
        <f>'Gross Credit Balances'!T20</f>
        <v>8599807</v>
      </c>
      <c r="U33" s="132">
        <f>'Gross Credit Balances'!U20</f>
        <v>8591550</v>
      </c>
      <c r="V33" s="132">
        <f t="shared" si="7"/>
        <v>7885934.2105263155</v>
      </c>
      <c r="W33" s="132">
        <f t="shared" si="8"/>
        <v>8665225</v>
      </c>
      <c r="X33" s="132">
        <f>AVERAGE(F33:I33)</f>
        <v>7606420.5</v>
      </c>
      <c r="Y33" s="132">
        <f t="shared" si="9"/>
        <v>8665225</v>
      </c>
    </row>
    <row r="34" spans="2:25" s="27" customFormat="1">
      <c r="B34" s="57" t="s">
        <v>590</v>
      </c>
      <c r="C34" s="132">
        <f t="shared" ref="C34:U34" si="10">(C32*10^6)/C33</f>
        <v>59.051753771045533</v>
      </c>
      <c r="D34" s="132">
        <f t="shared" si="10"/>
        <v>67.965298293679268</v>
      </c>
      <c r="E34" s="132">
        <f t="shared" si="10"/>
        <v>79.139456720696984</v>
      </c>
      <c r="F34" s="132">
        <f t="shared" si="10"/>
        <v>90.523942151628972</v>
      </c>
      <c r="G34" s="132">
        <f t="shared" si="10"/>
        <v>93.13063391014613</v>
      </c>
      <c r="H34" s="132">
        <f t="shared" si="10"/>
        <v>87.687668489194678</v>
      </c>
      <c r="I34" s="132">
        <f t="shared" si="10"/>
        <v>78.415774492750174</v>
      </c>
      <c r="J34" s="132">
        <f t="shared" si="10"/>
        <v>62.510930723193873</v>
      </c>
      <c r="K34" s="132">
        <f t="shared" si="10"/>
        <v>51.441906267126598</v>
      </c>
      <c r="L34" s="132">
        <f t="shared" si="10"/>
        <v>49.912320662040138</v>
      </c>
      <c r="M34" s="132">
        <f t="shared" si="10"/>
        <v>51.211315053268699</v>
      </c>
      <c r="N34" s="132">
        <f t="shared" si="10"/>
        <v>53.195543634427445</v>
      </c>
      <c r="O34" s="132">
        <f t="shared" si="10"/>
        <v>56.868106451814704</v>
      </c>
      <c r="P34" s="132">
        <f t="shared" si="10"/>
        <v>69.421499259884499</v>
      </c>
      <c r="Q34" s="132">
        <f t="shared" si="10"/>
        <v>84.759925513058931</v>
      </c>
      <c r="R34" s="132">
        <f t="shared" si="10"/>
        <v>94.414697573534738</v>
      </c>
      <c r="S34" s="132">
        <f t="shared" si="10"/>
        <v>100.62220989637026</v>
      </c>
      <c r="T34" s="132">
        <f t="shared" si="10"/>
        <v>97.813308379942214</v>
      </c>
      <c r="U34" s="132">
        <f t="shared" si="10"/>
        <v>77.56049922253338</v>
      </c>
      <c r="V34" s="132">
        <f t="shared" si="7"/>
        <v>73.981410024544061</v>
      </c>
      <c r="W34" s="132">
        <f t="shared" si="8"/>
        <v>100.62220989637026</v>
      </c>
      <c r="X34" s="132">
        <f t="shared" si="5"/>
        <v>87.439504760929992</v>
      </c>
      <c r="Y34" s="132">
        <f t="shared" si="9"/>
        <v>100.62220989637026</v>
      </c>
    </row>
    <row r="35" spans="2:25" s="27" customFormat="1">
      <c r="B35" s="57" t="s">
        <v>591</v>
      </c>
      <c r="C35" s="132">
        <f>'Customer Debit Balances'!C19</f>
        <v>40.526915509833763</v>
      </c>
      <c r="D35" s="132">
        <f>'Customer Debit Balances'!D19</f>
        <v>40.424362083267852</v>
      </c>
      <c r="E35" s="132">
        <f>'Customer Debit Balances'!E19</f>
        <v>40.571723453914473</v>
      </c>
      <c r="F35" s="132">
        <f>'Customer Debit Balances'!F19</f>
        <v>39.972729004099079</v>
      </c>
      <c r="G35" s="132">
        <f>'Customer Debit Balances'!G19</f>
        <v>39.461425207248119</v>
      </c>
      <c r="H35" s="132">
        <f>'Customer Debit Balances'!H19</f>
        <v>38.509671620850845</v>
      </c>
      <c r="I35" s="132">
        <f>'Customer Debit Balances'!I19</f>
        <v>38.825418667798985</v>
      </c>
      <c r="J35" s="132">
        <f>'Customer Debit Balances'!J19</f>
        <v>38.670773515953321</v>
      </c>
      <c r="K35" s="132">
        <f>'Customer Debit Balances'!K19</f>
        <v>37.859328378142926</v>
      </c>
      <c r="L35" s="132">
        <f>'Customer Debit Balances'!L19</f>
        <v>26.276671509042217</v>
      </c>
      <c r="M35" s="132">
        <f>'Customer Debit Balances'!M19</f>
        <v>53.931844742483797</v>
      </c>
      <c r="N35" s="132">
        <f>'Customer Debit Balances'!N19</f>
        <v>59.935639780863745</v>
      </c>
      <c r="O35" s="132">
        <f>'Customer Debit Balances'!O19</f>
        <v>56.159991089888287</v>
      </c>
      <c r="P35" s="132">
        <f>'Customer Debit Balances'!P19</f>
        <v>49.652799151386326</v>
      </c>
      <c r="Q35" s="132">
        <f>'Customer Debit Balances'!Q19</f>
        <v>55.828463997476831</v>
      </c>
      <c r="R35" s="132">
        <f>'Customer Debit Balances'!R19</f>
        <v>55.756284317094014</v>
      </c>
      <c r="S35" s="132">
        <f>'Customer Debit Balances'!S19</f>
        <v>45.942257702483204</v>
      </c>
      <c r="T35" s="132">
        <f>'Customer Debit Balances'!T19</f>
        <v>51.158047267804967</v>
      </c>
      <c r="U35" s="132">
        <f>'Customer Debit Balances'!U19</f>
        <v>60.467505834220837</v>
      </c>
      <c r="V35" s="132">
        <f t="shared" si="7"/>
        <v>45.78588699125546</v>
      </c>
      <c r="W35" s="132">
        <f t="shared" si="8"/>
        <v>60.467505834220837</v>
      </c>
      <c r="X35" s="132">
        <f t="shared" si="5"/>
        <v>39.19231112499925</v>
      </c>
      <c r="Y35" s="132">
        <f t="shared" si="9"/>
        <v>60.467505834220837</v>
      </c>
    </row>
    <row r="36" spans="2:25" s="27" customFormat="1">
      <c r="B36" s="57" t="s">
        <v>592</v>
      </c>
      <c r="C36" s="132">
        <f>C34-C35</f>
        <v>18.524838261211769</v>
      </c>
      <c r="D36" s="132">
        <f t="shared" ref="D36:U36" si="11">D34-D35</f>
        <v>27.540936210411417</v>
      </c>
      <c r="E36" s="132">
        <f t="shared" si="11"/>
        <v>38.567733266782511</v>
      </c>
      <c r="F36" s="132">
        <f t="shared" si="11"/>
        <v>50.551213147529893</v>
      </c>
      <c r="G36" s="132">
        <f t="shared" si="11"/>
        <v>53.669208702898011</v>
      </c>
      <c r="H36" s="132">
        <f t="shared" si="11"/>
        <v>49.177996868343833</v>
      </c>
      <c r="I36" s="132">
        <f t="shared" si="11"/>
        <v>39.590355824951189</v>
      </c>
      <c r="J36" s="132">
        <f t="shared" si="11"/>
        <v>23.840157207240551</v>
      </c>
      <c r="K36" s="132">
        <f t="shared" si="11"/>
        <v>13.582577888983671</v>
      </c>
      <c r="L36" s="132">
        <f t="shared" si="11"/>
        <v>23.635649152997921</v>
      </c>
      <c r="M36" s="132">
        <f t="shared" si="11"/>
        <v>-2.7205296892150983</v>
      </c>
      <c r="N36" s="132">
        <f t="shared" si="11"/>
        <v>-6.7400961464363007</v>
      </c>
      <c r="O36" s="132">
        <f t="shared" si="11"/>
        <v>0.70811536192641711</v>
      </c>
      <c r="P36" s="132">
        <f t="shared" si="11"/>
        <v>19.768700108498173</v>
      </c>
      <c r="Q36" s="132">
        <f t="shared" si="11"/>
        <v>28.9314615155821</v>
      </c>
      <c r="R36" s="132">
        <f t="shared" si="11"/>
        <v>38.658413256440724</v>
      </c>
      <c r="S36" s="132">
        <f t="shared" si="11"/>
        <v>54.679952193887061</v>
      </c>
      <c r="T36" s="132">
        <f t="shared" si="11"/>
        <v>46.655261112137246</v>
      </c>
      <c r="U36" s="132">
        <f t="shared" si="11"/>
        <v>17.092993388312543</v>
      </c>
      <c r="V36" s="132">
        <f t="shared" si="7"/>
        <v>28.195523033288612</v>
      </c>
      <c r="W36" s="132">
        <f t="shared" si="8"/>
        <v>54.679952193887061</v>
      </c>
      <c r="X36" s="132">
        <f t="shared" si="5"/>
        <v>48.247193635930728</v>
      </c>
      <c r="Y36" s="132">
        <f t="shared" si="9"/>
        <v>54.679952193887061</v>
      </c>
    </row>
    <row r="37" spans="2:25" s="27" customFormat="1">
      <c r="B37" s="57"/>
      <c r="C37" s="132"/>
      <c r="D37" s="132"/>
      <c r="E37" s="132"/>
      <c r="F37" s="132"/>
      <c r="G37" s="132"/>
      <c r="H37" s="132"/>
      <c r="I37" s="132"/>
      <c r="J37" s="132"/>
      <c r="K37" s="132"/>
      <c r="L37" s="132"/>
      <c r="M37" s="132"/>
      <c r="N37" s="132"/>
      <c r="O37" s="132"/>
      <c r="P37" s="132"/>
      <c r="Q37" s="132"/>
      <c r="R37" s="132"/>
      <c r="S37" s="132"/>
      <c r="T37" s="132"/>
      <c r="U37" s="132"/>
      <c r="V37" s="132"/>
      <c r="W37" s="132"/>
      <c r="X37" s="188"/>
      <c r="Y37" s="132"/>
    </row>
    <row r="38" spans="2:25">
      <c r="B38" s="57" t="s">
        <v>593</v>
      </c>
      <c r="C38" s="132" cm="1">
        <f t="array" ref="C38">'Gross Credit Balances'!C22*(INDEX($C$19:$N$19,,MATCH(MONTH(C21),MONTH($C$18:$N$18),0)))</f>
        <v>133.97178317035227</v>
      </c>
      <c r="D38" s="132" cm="1">
        <f t="array" ref="D38">'Gross Credit Balances'!D22*(INDEX($C$19:$N$19,,MATCH(MONTH(D21),MONTH($C$18:$N$18),0)))</f>
        <v>151.8775633721674</v>
      </c>
      <c r="E38" s="132" cm="1">
        <f t="array" ref="E38">'Gross Credit Balances'!E22*(INDEX($C$19:$N$19,,MATCH(MONTH(E21),MONTH($C$18:$N$18),0)))</f>
        <v>176.74660226183641</v>
      </c>
      <c r="F38" s="132" cm="1">
        <f t="array" ref="F38">'Gross Credit Balances'!F22*(INDEX($C$19:$N$19,,MATCH(MONTH(F21),MONTH($C$18:$N$18),0)))</f>
        <v>270.22696175560333</v>
      </c>
      <c r="G38" s="132" cm="1">
        <f t="array" ref="G38">'Gross Credit Balances'!G22*(INDEX($C$19:$N$19,,MATCH(MONTH(G21),MONTH($C$18:$N$18),0)))</f>
        <v>274.50729017286869</v>
      </c>
      <c r="H38" s="132" cm="1">
        <f t="array" ref="H38">'Gross Credit Balances'!H22*(INDEX($C$19:$N$19,,MATCH(MONTH(H21),MONTH($C$18:$N$18),0)))</f>
        <v>250.89168253852495</v>
      </c>
      <c r="I38" s="132" cm="1">
        <f t="array" ref="I38">'Gross Credit Balances'!I22*(INDEX($C$19:$N$19,,MATCH(MONTH(I21),MONTH($C$18:$N$18),0)))</f>
        <v>103.26657584447376</v>
      </c>
      <c r="J38" s="132" cm="1">
        <f t="array" ref="J38">'Gross Credit Balances'!J22*(INDEX($C$19:$N$19,,MATCH(MONTH(J21),MONTH($C$18:$N$18),0)))</f>
        <v>67.313806052315798</v>
      </c>
      <c r="K38" s="132" cm="1">
        <f t="array" ref="K38">'Gross Credit Balances'!K22*(INDEX($C$19:$N$19,,MATCH(MONTH(K21),MONTH($C$18:$N$18),0)))</f>
        <v>64.339357452023634</v>
      </c>
      <c r="L38" s="132" cm="1">
        <f t="array" ref="L38">'Gross Credit Balances'!L22*(INDEX($C$19:$N$19,,MATCH(MONTH(L21),MONTH($C$18:$N$18),0)))</f>
        <v>20.468415138779427</v>
      </c>
      <c r="M38" s="132" cm="1">
        <f t="array" ref="M38">'Gross Credit Balances'!M22*(INDEX($C$19:$N$19,,MATCH(MONTH(M21),MONTH($C$18:$N$18),0)))</f>
        <v>23.27882024269141</v>
      </c>
      <c r="N38" s="132" cm="1">
        <f t="array" ref="N38">'Gross Credit Balances'!N22*(INDEX($C$19:$N$19,,MATCH(MONTH(N21),MONTH($C$18:$N$18),0)))</f>
        <v>30.122059672346094</v>
      </c>
      <c r="O38" s="132" cm="1">
        <f t="array" ref="O38">'Gross Credit Balances'!O22*(INDEX($C$19:$N$19,,MATCH(MONTH(O21),MONTH($C$18:$N$18),0)))</f>
        <v>33.335034777768186</v>
      </c>
      <c r="P38" s="132" cm="1">
        <f t="array" ref="P38">'Gross Credit Balances'!P22*(INDEX($C$19:$N$19,,MATCH(MONTH(P21),MONTH($C$18:$N$18),0)))</f>
        <v>35.939604584296411</v>
      </c>
      <c r="Q38" s="132" cm="1">
        <f t="array" ref="Q38">'Gross Credit Balances'!Q22*(INDEX($C$19:$N$19,,MATCH(MONTH(Q21),MONTH($C$18:$N$18),0)))</f>
        <v>41.500610931772179</v>
      </c>
      <c r="R38" s="132" cm="1">
        <f t="array" ref="R38">'Gross Credit Balances'!R22*(INDEX($C$19:$N$19,,MATCH(MONTH(R21),MONTH($C$18:$N$18),0)))</f>
        <v>25.101439440585565</v>
      </c>
      <c r="S38" s="132" cm="1">
        <f t="array" ref="S38">'Gross Credit Balances'!S22*(INDEX($C$19:$N$19,,MATCH(MONTH(S21),MONTH($C$18:$N$18),0)))</f>
        <v>27.303514377729847</v>
      </c>
      <c r="T38" s="132" cm="1">
        <f t="array" ref="T38">'Gross Credit Balances'!T22*(INDEX($C$19:$N$19,,MATCH(MONTH(T21),MONTH($C$18:$N$18),0)))</f>
        <v>24.695207766274653</v>
      </c>
      <c r="U38" s="132" cm="1">
        <f t="array" ref="U38">'Gross Credit Balances'!U22*(INDEX($C$19:$N$19,,MATCH(MONTH(U21),MONTH($C$18:$N$18),0)))</f>
        <v>21.391937568686622</v>
      </c>
      <c r="V38" s="132">
        <f t="shared" si="0"/>
        <v>93.48832984847877</v>
      </c>
      <c r="W38" s="132">
        <f t="shared" si="1"/>
        <v>274.50729017286869</v>
      </c>
      <c r="X38" s="132">
        <f t="shared" si="5"/>
        <v>224.7231275778677</v>
      </c>
      <c r="Y38" s="132">
        <f t="shared" si="2"/>
        <v>67.313806052315798</v>
      </c>
    </row>
    <row r="39" spans="2:25">
      <c r="B39" s="57" t="s">
        <v>594</v>
      </c>
      <c r="C39" s="132">
        <f>'Gross Credit Balances'!C23</f>
        <v>3631012</v>
      </c>
      <c r="D39" s="132">
        <f>'Gross Credit Balances'!D23</f>
        <v>3664271</v>
      </c>
      <c r="E39" s="132">
        <f>'Gross Credit Balances'!E23</f>
        <v>3646565</v>
      </c>
      <c r="F39" s="132">
        <f>'Gross Credit Balances'!F23</f>
        <v>3485394</v>
      </c>
      <c r="G39" s="132">
        <f>'Gross Credit Balances'!G23</f>
        <v>3234025</v>
      </c>
      <c r="H39" s="132">
        <f>'Gross Credit Balances'!H23</f>
        <v>2978486</v>
      </c>
      <c r="I39" s="132">
        <f>'Gross Credit Balances'!I23</f>
        <v>2352793</v>
      </c>
      <c r="J39" s="132">
        <f>'Gross Credit Balances'!J23</f>
        <v>1406295</v>
      </c>
      <c r="K39" s="132">
        <f>'Gross Credit Balances'!K23</f>
        <v>1560218</v>
      </c>
      <c r="L39" s="132">
        <f>'Gross Credit Balances'!L23</f>
        <v>594640</v>
      </c>
      <c r="M39" s="132">
        <f>'Gross Credit Balances'!M23</f>
        <v>760703</v>
      </c>
      <c r="N39" s="132">
        <f>'Gross Credit Balances'!N23</f>
        <v>795478</v>
      </c>
      <c r="O39" s="132">
        <f>'Gross Credit Balances'!O23</f>
        <v>826790</v>
      </c>
      <c r="P39" s="132">
        <f>'Gross Credit Balances'!P23</f>
        <v>775791</v>
      </c>
      <c r="Q39" s="132">
        <f>'Gross Credit Balances'!Q23</f>
        <v>782946</v>
      </c>
      <c r="R39" s="132">
        <f>'Gross Credit Balances'!R23</f>
        <v>309889</v>
      </c>
      <c r="S39" s="132">
        <f>'Gross Credit Balances'!S23</f>
        <v>240900</v>
      </c>
      <c r="T39" s="132">
        <f>'Gross Credit Balances'!T23</f>
        <v>241487</v>
      </c>
      <c r="U39" s="132">
        <f>'Gross Credit Balances'!U23</f>
        <v>192870</v>
      </c>
      <c r="V39" s="132">
        <f t="shared" si="0"/>
        <v>1656871.2105263157</v>
      </c>
      <c r="W39" s="132">
        <f t="shared" si="1"/>
        <v>3664271</v>
      </c>
      <c r="X39" s="132">
        <f>AVERAGE(F39:I39)</f>
        <v>3012674.5</v>
      </c>
      <c r="Y39" s="132">
        <f t="shared" si="2"/>
        <v>1560218</v>
      </c>
    </row>
    <row r="40" spans="2:25" s="27" customFormat="1">
      <c r="B40" s="57" t="s">
        <v>595</v>
      </c>
      <c r="C40" s="132">
        <f>(C38*10^6)/C39</f>
        <v>36.896541011253134</v>
      </c>
      <c r="D40" s="132">
        <f t="shared" ref="D40:U40" si="12">(D38*10^6)/D39</f>
        <v>41.448234416113714</v>
      </c>
      <c r="E40" s="132">
        <f t="shared" si="12"/>
        <v>48.469340944652409</v>
      </c>
      <c r="F40" s="132">
        <f t="shared" si="12"/>
        <v>77.531252350696448</v>
      </c>
      <c r="G40" s="132">
        <f t="shared" si="12"/>
        <v>84.88100437469366</v>
      </c>
      <c r="H40" s="132">
        <f t="shared" si="12"/>
        <v>84.234635495525225</v>
      </c>
      <c r="I40" s="132">
        <f t="shared" si="12"/>
        <v>43.8910587733276</v>
      </c>
      <c r="J40" s="132">
        <f t="shared" si="12"/>
        <v>47.866063700941694</v>
      </c>
      <c r="K40" s="132">
        <f t="shared" si="12"/>
        <v>41.237415189430983</v>
      </c>
      <c r="L40" s="132">
        <f t="shared" si="12"/>
        <v>34.421524180646152</v>
      </c>
      <c r="M40" s="132">
        <f t="shared" si="12"/>
        <v>30.601720044079503</v>
      </c>
      <c r="N40" s="132">
        <f t="shared" si="12"/>
        <v>37.866615635311213</v>
      </c>
      <c r="O40" s="132">
        <f t="shared" si="12"/>
        <v>40.318623565558589</v>
      </c>
      <c r="P40" s="132">
        <f t="shared" si="12"/>
        <v>46.326400518047272</v>
      </c>
      <c r="Q40" s="132">
        <f t="shared" si="12"/>
        <v>53.005712950538324</v>
      </c>
      <c r="R40" s="132">
        <f t="shared" si="12"/>
        <v>81.001389015375068</v>
      </c>
      <c r="S40" s="132">
        <f t="shared" si="12"/>
        <v>113.33961966679057</v>
      </c>
      <c r="T40" s="132">
        <f t="shared" si="12"/>
        <v>102.2630939399415</v>
      </c>
      <c r="U40" s="132">
        <f t="shared" si="12"/>
        <v>110.91376351265943</v>
      </c>
      <c r="V40" s="132">
        <f t="shared" si="0"/>
        <v>60.869158383451712</v>
      </c>
      <c r="W40" s="132">
        <f t="shared" si="1"/>
        <v>113.33961966679057</v>
      </c>
      <c r="X40" s="132">
        <f t="shared" si="5"/>
        <v>72.63448774856073</v>
      </c>
      <c r="Y40" s="132">
        <f t="shared" si="2"/>
        <v>113.33961966679057</v>
      </c>
    </row>
    <row r="41" spans="2:25" s="27" customFormat="1">
      <c r="B41" s="57" t="s">
        <v>596</v>
      </c>
      <c r="C41" s="132">
        <f>'Customer Debit Balances'!C22</f>
        <v>116.17296849556004</v>
      </c>
      <c r="D41" s="132">
        <f>'Customer Debit Balances'!D22</f>
        <v>142.57646625444596</v>
      </c>
      <c r="E41" s="132">
        <f>'Customer Debit Balances'!E22</f>
        <v>144.98266006250989</v>
      </c>
      <c r="F41" s="132">
        <f>'Customer Debit Balances'!F22</f>
        <v>154.62574953055278</v>
      </c>
      <c r="G41" s="132">
        <f>'Customer Debit Balances'!G22</f>
        <v>162.57452196276938</v>
      </c>
      <c r="H41" s="132">
        <f>'Customer Debit Balances'!H22</f>
        <v>168.9736837799008</v>
      </c>
      <c r="I41" s="132">
        <f>'Customer Debit Balances'!I22</f>
        <v>145.90646167033483</v>
      </c>
      <c r="J41" s="132">
        <f>'Customer Debit Balances'!J22</f>
        <v>34.797284554147097</v>
      </c>
      <c r="K41" s="132">
        <f>'Customer Debit Balances'!K22</f>
        <v>41.848094069523739</v>
      </c>
      <c r="L41" s="132">
        <f>'Customer Debit Balances'!L22</f>
        <v>77.44575157911531</v>
      </c>
      <c r="M41" s="132">
        <f>'Customer Debit Balances'!M22</f>
        <v>74.076339288705341</v>
      </c>
      <c r="N41" s="132">
        <f>'Customer Debit Balances'!N22</f>
        <v>82.768788238979297</v>
      </c>
      <c r="O41" s="132">
        <f>'Customer Debit Balances'!O22</f>
        <v>85.076211403230019</v>
      </c>
      <c r="P41" s="132">
        <f>'Customer Debit Balances'!P22</f>
        <v>80.003125408511949</v>
      </c>
      <c r="Q41" s="132">
        <f>'Customer Debit Balances'!Q22</f>
        <v>80.400769641832767</v>
      </c>
      <c r="R41" s="132">
        <f>'Customer Debit Balances'!R22</f>
        <v>121.45200229288814</v>
      </c>
      <c r="S41" s="132">
        <f>'Customer Debit Balances'!S22</f>
        <v>135.5035194672115</v>
      </c>
      <c r="T41" s="132">
        <f>'Customer Debit Balances'!T22</f>
        <v>139.15208306756409</v>
      </c>
      <c r="U41" s="132">
        <f>'Customer Debit Balances'!U22</f>
        <v>174.01520124045174</v>
      </c>
      <c r="V41" s="132">
        <f t="shared" ref="V41:V42" si="13">AVERAGE(C41:U41)</f>
        <v>113.80798326359131</v>
      </c>
      <c r="W41" s="132">
        <f t="shared" ref="W41:W42" si="14">MAX(C41:U41)</f>
        <v>174.01520124045174</v>
      </c>
      <c r="X41" s="132">
        <f t="shared" si="5"/>
        <v>158.02010423588945</v>
      </c>
      <c r="Y41" s="132">
        <f t="shared" ref="Y41:Y42" si="15">MAX(J41:U41)</f>
        <v>174.01520124045174</v>
      </c>
    </row>
    <row r="42" spans="2:25" s="27" customFormat="1">
      <c r="B42" s="197" t="s">
        <v>597</v>
      </c>
      <c r="C42" s="199">
        <f>C40-C41</f>
        <v>-79.276427484306907</v>
      </c>
      <c r="D42" s="199">
        <f t="shared" ref="D42:U42" si="16">D40-D41</f>
        <v>-101.12823183833225</v>
      </c>
      <c r="E42" s="199">
        <f t="shared" si="16"/>
        <v>-96.513319117857492</v>
      </c>
      <c r="F42" s="199">
        <f t="shared" si="16"/>
        <v>-77.094497179856333</v>
      </c>
      <c r="G42" s="199">
        <f t="shared" si="16"/>
        <v>-77.693517588075721</v>
      </c>
      <c r="H42" s="199">
        <f t="shared" si="16"/>
        <v>-84.739048284375571</v>
      </c>
      <c r="I42" s="199">
        <f t="shared" si="16"/>
        <v>-102.01540289700723</v>
      </c>
      <c r="J42" s="199">
        <f t="shared" si="16"/>
        <v>13.068779146794597</v>
      </c>
      <c r="K42" s="199">
        <f t="shared" si="16"/>
        <v>-0.61067888009275606</v>
      </c>
      <c r="L42" s="199">
        <f t="shared" si="16"/>
        <v>-43.024227398469158</v>
      </c>
      <c r="M42" s="199">
        <f t="shared" si="16"/>
        <v>-43.474619244625842</v>
      </c>
      <c r="N42" s="199">
        <f t="shared" si="16"/>
        <v>-44.902172603668085</v>
      </c>
      <c r="O42" s="199">
        <f t="shared" si="16"/>
        <v>-44.75758783767143</v>
      </c>
      <c r="P42" s="199">
        <f t="shared" si="16"/>
        <v>-33.676724890464676</v>
      </c>
      <c r="Q42" s="199">
        <f t="shared" si="16"/>
        <v>-27.395056691294442</v>
      </c>
      <c r="R42" s="199">
        <f t="shared" si="16"/>
        <v>-40.450613277513071</v>
      </c>
      <c r="S42" s="199">
        <f t="shared" si="16"/>
        <v>-22.163899800420936</v>
      </c>
      <c r="T42" s="199">
        <f t="shared" si="16"/>
        <v>-36.888989127622594</v>
      </c>
      <c r="U42" s="199">
        <f t="shared" si="16"/>
        <v>-63.101437727792316</v>
      </c>
      <c r="V42" s="199">
        <f t="shared" si="13"/>
        <v>-52.938824880139599</v>
      </c>
      <c r="W42" s="199">
        <f t="shared" si="14"/>
        <v>13.068779146794597</v>
      </c>
      <c r="X42" s="199">
        <f t="shared" si="5"/>
        <v>-85.385616487328718</v>
      </c>
      <c r="Y42" s="199">
        <f t="shared" si="15"/>
        <v>13.068779146794597</v>
      </c>
    </row>
    <row r="43" spans="2:25">
      <c r="C43" s="13"/>
      <c r="D43" s="13"/>
      <c r="E43" s="13"/>
      <c r="F43" s="13"/>
      <c r="G43" s="13"/>
      <c r="H43" s="13"/>
      <c r="I43" s="13"/>
      <c r="J43" s="13"/>
      <c r="K43" s="13"/>
      <c r="L43" s="13"/>
      <c r="M43" s="13"/>
      <c r="N43" s="13"/>
      <c r="O43" s="13"/>
      <c r="P43" s="13"/>
      <c r="Q43" s="13"/>
      <c r="R43" s="13"/>
      <c r="S43" s="13"/>
      <c r="T43" s="13"/>
      <c r="U43" s="13"/>
      <c r="V43" s="13"/>
      <c r="W43" s="13"/>
      <c r="X43" s="13"/>
      <c r="Y43" s="13"/>
    </row>
    <row r="44" spans="2:25">
      <c r="B44" s="796" t="s">
        <v>147</v>
      </c>
      <c r="C44" s="809">
        <v>29225996.635739401</v>
      </c>
      <c r="D44" s="13"/>
      <c r="E44" s="13"/>
      <c r="F44" s="13"/>
      <c r="G44" s="13"/>
      <c r="H44" s="13"/>
      <c r="I44" s="13"/>
      <c r="J44" s="13"/>
      <c r="K44" s="13"/>
      <c r="L44" s="13"/>
      <c r="M44" s="13"/>
      <c r="N44" s="13"/>
      <c r="O44" s="13"/>
      <c r="P44" s="13"/>
      <c r="Q44" s="13"/>
      <c r="R44" s="13"/>
      <c r="S44" s="13"/>
      <c r="T44" s="13"/>
      <c r="U44" s="13"/>
      <c r="V44" s="13"/>
      <c r="W44" s="13"/>
      <c r="X44" s="13"/>
      <c r="Y44" s="13"/>
    </row>
    <row r="45" spans="2:25">
      <c r="B45" s="57" t="s">
        <v>598</v>
      </c>
      <c r="C45" s="128">
        <v>8325426.5043569747</v>
      </c>
      <c r="D45" s="13"/>
      <c r="E45" s="13"/>
      <c r="F45" s="13"/>
      <c r="G45" s="13"/>
      <c r="H45" s="13"/>
      <c r="I45" s="13"/>
      <c r="J45" s="13"/>
      <c r="K45" s="13"/>
      <c r="L45" s="13"/>
      <c r="M45" s="13"/>
      <c r="N45" s="13"/>
      <c r="O45" s="13"/>
      <c r="P45" s="13"/>
      <c r="Q45" s="13"/>
      <c r="R45" s="13"/>
      <c r="S45" s="13"/>
      <c r="T45" s="13"/>
      <c r="U45" s="13"/>
      <c r="V45" s="13"/>
      <c r="W45" s="13"/>
      <c r="X45" s="13"/>
      <c r="Y45" s="13"/>
    </row>
    <row r="46" spans="2:25">
      <c r="B46" s="10" t="s">
        <v>599</v>
      </c>
      <c r="C46" s="128">
        <v>3665974.2928070836</v>
      </c>
      <c r="D46" s="13"/>
      <c r="E46" s="13"/>
      <c r="F46" s="13"/>
      <c r="G46" s="13"/>
      <c r="H46" s="13"/>
      <c r="I46" s="13"/>
      <c r="J46" s="13"/>
      <c r="K46" s="13"/>
      <c r="L46" s="13"/>
      <c r="M46" s="13"/>
      <c r="N46" s="13"/>
      <c r="O46" s="13"/>
      <c r="P46" s="13"/>
      <c r="Q46" s="13"/>
      <c r="R46" s="13"/>
      <c r="S46" s="13"/>
      <c r="T46" s="13"/>
      <c r="U46" s="13"/>
      <c r="V46" s="13"/>
      <c r="W46" s="13"/>
      <c r="X46" s="13"/>
      <c r="Y46" s="13"/>
    </row>
    <row r="47" spans="2:25">
      <c r="B47" s="62" t="s">
        <v>600</v>
      </c>
      <c r="C47" s="177">
        <v>17234595.838575382</v>
      </c>
      <c r="D47" s="128"/>
      <c r="E47" s="13"/>
      <c r="F47" s="13"/>
      <c r="G47" s="13"/>
      <c r="H47" s="13"/>
      <c r="I47" s="13"/>
      <c r="J47" s="13"/>
      <c r="K47" s="13"/>
      <c r="L47" s="13"/>
      <c r="M47" s="13"/>
      <c r="N47" s="13"/>
      <c r="O47" s="13"/>
      <c r="P47" s="13"/>
      <c r="Q47" s="13"/>
      <c r="R47" s="13"/>
      <c r="S47" s="13"/>
      <c r="T47" s="13"/>
      <c r="U47" s="13"/>
      <c r="V47" s="13"/>
      <c r="W47" s="13"/>
      <c r="X47" s="13"/>
      <c r="Y47" s="13"/>
    </row>
    <row r="48" spans="2:25">
      <c r="C48" s="52"/>
    </row>
    <row r="49" spans="2:26"/>
    <row r="50" spans="2:26">
      <c r="B50" s="103" t="s">
        <v>601</v>
      </c>
    </row>
    <row r="51" spans="2:26">
      <c r="C51" s="84"/>
      <c r="D51" s="84"/>
      <c r="E51" s="84"/>
      <c r="F51" s="84"/>
      <c r="G51" s="84"/>
      <c r="H51" s="84"/>
      <c r="I51" s="84"/>
      <c r="J51" s="84"/>
      <c r="K51" s="84"/>
      <c r="L51" s="84"/>
      <c r="M51" s="84"/>
      <c r="N51" s="84"/>
      <c r="O51" s="84"/>
      <c r="P51" s="84"/>
      <c r="Q51" s="84"/>
      <c r="R51" s="84"/>
      <c r="S51" s="84"/>
      <c r="T51" s="84"/>
      <c r="U51" s="84"/>
    </row>
    <row r="52" spans="2:26">
      <c r="B52" s="14" t="s">
        <v>362</v>
      </c>
      <c r="C52" s="15"/>
      <c r="D52" s="15"/>
      <c r="E52" s="15"/>
      <c r="F52" s="16"/>
      <c r="G52" s="14"/>
      <c r="H52" s="15"/>
      <c r="I52" s="15"/>
      <c r="J52" s="15"/>
      <c r="K52" s="16"/>
      <c r="L52" s="14"/>
      <c r="M52" s="15"/>
      <c r="N52" s="15"/>
      <c r="O52" s="15"/>
      <c r="P52" s="15"/>
      <c r="Q52" s="15"/>
      <c r="R52" s="15"/>
      <c r="S52" s="15"/>
      <c r="T52" s="15"/>
      <c r="U52" s="15"/>
      <c r="V52" s="15"/>
      <c r="W52" s="15"/>
      <c r="X52" s="15"/>
      <c r="Y52" s="15"/>
      <c r="Z52" s="15"/>
    </row>
    <row r="53" spans="2:26" hidden="1">
      <c r="C53" s="84"/>
      <c r="D53" s="84"/>
      <c r="E53" s="84"/>
      <c r="F53" s="84"/>
      <c r="G53" s="84"/>
      <c r="H53" s="84"/>
      <c r="I53" s="84"/>
      <c r="J53" s="84"/>
      <c r="K53" s="84"/>
      <c r="L53" s="84"/>
      <c r="M53" s="84"/>
      <c r="N53" s="84"/>
      <c r="O53" s="84"/>
      <c r="P53" s="84"/>
      <c r="Q53" s="84"/>
      <c r="R53" s="84"/>
      <c r="S53" s="84"/>
      <c r="T53" s="84"/>
      <c r="U53" s="84"/>
    </row>
    <row r="54" spans="2:26" hidden="1">
      <c r="C54" s="84"/>
      <c r="D54" s="84"/>
      <c r="E54" s="84"/>
      <c r="F54" s="84"/>
      <c r="G54" s="84"/>
      <c r="H54" s="84"/>
      <c r="I54" s="84"/>
      <c r="J54" s="84"/>
      <c r="K54" s="84"/>
      <c r="L54" s="84"/>
      <c r="M54" s="84"/>
      <c r="N54" s="84"/>
      <c r="O54" s="84"/>
      <c r="P54" s="84"/>
      <c r="Q54" s="84"/>
      <c r="R54" s="84"/>
      <c r="S54" s="84"/>
      <c r="T54" s="84"/>
      <c r="U54" s="84"/>
    </row>
  </sheetData>
  <mergeCells count="1">
    <mergeCell ref="B5:G6"/>
  </mergeCells>
  <phoneticPr fontId="8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46DF-CBBB-4F11-8E34-3E755042D417}">
  <sheetPr codeName="Sheet25">
    <tabColor theme="9"/>
  </sheetPr>
  <dimension ref="A1:AA44"/>
  <sheetViews>
    <sheetView showGridLines="0" zoomScale="85" zoomScaleNormal="85" workbookViewId="0"/>
  </sheetViews>
  <sheetFormatPr defaultColWidth="0" defaultRowHeight="13.2" zeroHeight="1"/>
  <cols>
    <col min="1" max="1" width="4" style="10" customWidth="1"/>
    <col min="2" max="2" width="30.6640625" style="10" customWidth="1"/>
    <col min="3" max="3" width="19.6640625" style="10" customWidth="1"/>
    <col min="4" max="4" width="17.5546875" style="10" bestFit="1" customWidth="1"/>
    <col min="5" max="5" width="35.33203125" style="10" bestFit="1" customWidth="1"/>
    <col min="6" max="7" width="21.5546875" style="10" bestFit="1" customWidth="1"/>
    <col min="8" max="8" width="19.5546875" style="10" customWidth="1"/>
    <col min="9" max="26" width="8.6640625" style="10" customWidth="1"/>
    <col min="27" max="27" width="8.6640625" style="10" hidden="1" customWidth="1"/>
    <col min="28" max="16384" width="0" style="10" hidden="1"/>
  </cols>
  <sheetData>
    <row r="1" spans="1:26" ht="17.399999999999999">
      <c r="A1" s="43" t="s">
        <v>54</v>
      </c>
    </row>
    <row r="2" spans="1:26"/>
    <row r="3" spans="1:26">
      <c r="B3" s="28" t="s">
        <v>566</v>
      </c>
      <c r="C3" s="25"/>
      <c r="D3" s="25"/>
      <c r="E3" s="25"/>
      <c r="F3" s="25"/>
      <c r="G3" s="25"/>
      <c r="H3" s="25"/>
      <c r="I3" s="25"/>
      <c r="J3" s="25"/>
      <c r="K3" s="25"/>
      <c r="L3" s="25"/>
      <c r="M3" s="25"/>
      <c r="N3" s="25"/>
      <c r="O3" s="25"/>
      <c r="P3" s="25"/>
      <c r="Q3" s="25"/>
      <c r="R3" s="25"/>
      <c r="S3" s="25"/>
      <c r="T3" s="25"/>
      <c r="U3" s="25"/>
      <c r="V3" s="25"/>
      <c r="W3" s="25"/>
      <c r="X3" s="25"/>
      <c r="Y3" s="25"/>
      <c r="Z3" s="25"/>
    </row>
    <row r="4" spans="1:26" ht="13.8" thickBot="1"/>
    <row r="5" spans="1:26">
      <c r="B5" s="895" t="s">
        <v>602</v>
      </c>
      <c r="C5" s="896"/>
      <c r="D5" s="896"/>
      <c r="E5" s="896"/>
      <c r="F5" s="896"/>
      <c r="G5" s="896"/>
      <c r="H5" s="896"/>
      <c r="I5" s="896"/>
      <c r="J5" s="896"/>
      <c r="K5" s="896"/>
      <c r="L5" s="896"/>
      <c r="M5" s="896"/>
      <c r="N5" s="896"/>
      <c r="O5" s="896"/>
      <c r="P5" s="896"/>
      <c r="Q5" s="896"/>
      <c r="R5" s="896"/>
      <c r="S5" s="896"/>
      <c r="T5" s="896"/>
      <c r="U5" s="896"/>
      <c r="V5" s="896"/>
      <c r="W5" s="896"/>
      <c r="X5" s="896"/>
      <c r="Y5" s="897"/>
    </row>
    <row r="6" spans="1:26">
      <c r="B6" s="898"/>
      <c r="C6" s="899"/>
      <c r="D6" s="899"/>
      <c r="E6" s="899"/>
      <c r="F6" s="899"/>
      <c r="G6" s="899"/>
      <c r="H6" s="899"/>
      <c r="I6" s="899"/>
      <c r="J6" s="899"/>
      <c r="K6" s="899"/>
      <c r="L6" s="899"/>
      <c r="M6" s="899"/>
      <c r="N6" s="899"/>
      <c r="O6" s="899"/>
      <c r="P6" s="899"/>
      <c r="Q6" s="899"/>
      <c r="R6" s="899"/>
      <c r="S6" s="899"/>
      <c r="T6" s="899"/>
      <c r="U6" s="899"/>
      <c r="V6" s="899"/>
      <c r="W6" s="899"/>
      <c r="X6" s="899"/>
      <c r="Y6" s="900"/>
    </row>
    <row r="7" spans="1:26" ht="13.8" thickBot="1">
      <c r="B7" s="901"/>
      <c r="C7" s="902"/>
      <c r="D7" s="902"/>
      <c r="E7" s="902"/>
      <c r="F7" s="902"/>
      <c r="G7" s="902"/>
      <c r="H7" s="902"/>
      <c r="I7" s="902"/>
      <c r="J7" s="902"/>
      <c r="K7" s="902"/>
      <c r="L7" s="902"/>
      <c r="M7" s="902"/>
      <c r="N7" s="902"/>
      <c r="O7" s="902"/>
      <c r="P7" s="902"/>
      <c r="Q7" s="902"/>
      <c r="R7" s="902"/>
      <c r="S7" s="902"/>
      <c r="T7" s="902"/>
      <c r="U7" s="902"/>
      <c r="V7" s="902"/>
      <c r="W7" s="902"/>
      <c r="X7" s="902"/>
      <c r="Y7" s="903"/>
    </row>
    <row r="8" spans="1:26" s="18" customFormat="1">
      <c r="B8" s="118"/>
      <c r="C8" s="118"/>
      <c r="D8" s="118"/>
      <c r="E8" s="118"/>
      <c r="F8" s="118"/>
      <c r="G8" s="118"/>
      <c r="H8" s="118"/>
      <c r="I8" s="118"/>
      <c r="J8" s="118"/>
      <c r="K8" s="118"/>
      <c r="L8" s="118"/>
      <c r="M8" s="118"/>
      <c r="N8" s="118"/>
      <c r="O8" s="118"/>
      <c r="P8" s="118"/>
      <c r="Q8" s="118"/>
      <c r="R8" s="118"/>
      <c r="S8" s="118"/>
      <c r="T8" s="118"/>
      <c r="U8" s="118"/>
      <c r="V8" s="118"/>
      <c r="W8" s="118"/>
      <c r="X8" s="118"/>
      <c r="Y8" s="118"/>
    </row>
    <row r="9" spans="1:26">
      <c r="A9" s="57"/>
      <c r="B9" s="28" t="s">
        <v>466</v>
      </c>
      <c r="C9" s="25"/>
      <c r="D9" s="25"/>
      <c r="E9" s="25"/>
      <c r="F9" s="25"/>
      <c r="G9" s="25"/>
      <c r="H9" s="25"/>
      <c r="I9" s="25"/>
      <c r="J9" s="25"/>
      <c r="K9" s="25"/>
      <c r="L9" s="25"/>
      <c r="M9" s="25"/>
      <c r="N9" s="25"/>
      <c r="O9" s="25"/>
      <c r="P9" s="25"/>
      <c r="Q9" s="25"/>
      <c r="R9" s="25"/>
      <c r="S9" s="25"/>
      <c r="T9" s="25"/>
      <c r="U9" s="25"/>
      <c r="V9" s="25"/>
      <c r="W9" s="25"/>
      <c r="X9" s="25"/>
      <c r="Y9" s="25"/>
      <c r="Z9" s="25"/>
    </row>
    <row r="10" spans="1:26"/>
    <row r="11" spans="1:26">
      <c r="B11" s="834"/>
      <c r="C11" s="834" t="s">
        <v>603</v>
      </c>
      <c r="D11" s="834" t="s">
        <v>604</v>
      </c>
      <c r="E11" s="834" t="s">
        <v>605</v>
      </c>
      <c r="F11" s="834" t="s">
        <v>606</v>
      </c>
      <c r="G11" s="834" t="s">
        <v>607</v>
      </c>
      <c r="H11" s="834" t="s">
        <v>608</v>
      </c>
    </row>
    <row r="12" spans="1:26">
      <c r="B12" s="835" t="s">
        <v>535</v>
      </c>
      <c r="C12" s="836"/>
      <c r="D12" s="836"/>
      <c r="E12" s="836">
        <f>Failures!E41/Failures!$E$41</f>
        <v>1</v>
      </c>
      <c r="F12" s="836">
        <f>'Default Rates'!$D$13/Failures!$E$41</f>
        <v>0.27914039684377306</v>
      </c>
      <c r="G12" s="836">
        <f>'Default Rates'!$D$12/Failures!$E$41</f>
        <v>4.5266010298990224E-2</v>
      </c>
      <c r="H12" s="836">
        <f>'Default Rates'!$D$11/Failures!$E$41</f>
        <v>7.5443350498317031E-3</v>
      </c>
    </row>
    <row r="13" spans="1:26">
      <c r="B13" s="505" t="s">
        <v>609</v>
      </c>
      <c r="C13" s="505" t="s">
        <v>610</v>
      </c>
      <c r="D13" s="506"/>
      <c r="E13" s="506">
        <f>E31*10^6/'Customer Groups'!$D$12*E12</f>
        <v>49.434628990506731</v>
      </c>
      <c r="F13" s="506">
        <f>$E$13*F12</f>
        <v>13.799201954234737</v>
      </c>
      <c r="G13" s="506">
        <f t="shared" ref="G13:H13" si="0">$E$13*G12</f>
        <v>2.2377084250110384</v>
      </c>
      <c r="H13" s="506">
        <f t="shared" si="0"/>
        <v>0.37295140416850636</v>
      </c>
    </row>
    <row r="14" spans="1:26">
      <c r="B14" s="505" t="s">
        <v>107</v>
      </c>
      <c r="C14" s="23"/>
      <c r="D14" s="506"/>
      <c r="E14" s="506"/>
      <c r="F14" s="506"/>
      <c r="G14" s="506"/>
      <c r="H14" s="506"/>
    </row>
    <row r="15" spans="1:26">
      <c r="B15" s="22" t="s">
        <v>611</v>
      </c>
      <c r="C15" s="22" t="s">
        <v>210</v>
      </c>
      <c r="D15" s="507">
        <f>$H$15</f>
        <v>6.3779130355634353</v>
      </c>
      <c r="E15" s="507">
        <f t="shared" ref="E15:G15" si="1">$H$15</f>
        <v>6.3779130355634353</v>
      </c>
      <c r="F15" s="507">
        <f t="shared" si="1"/>
        <v>6.3779130355634353</v>
      </c>
      <c r="G15" s="507">
        <f t="shared" si="1"/>
        <v>6.3779130355634353</v>
      </c>
      <c r="H15" s="508">
        <f>H$13*'Consolidated Model'!$L$28</f>
        <v>6.3779130355634353</v>
      </c>
    </row>
    <row r="16" spans="1:26">
      <c r="B16" s="22" t="s">
        <v>612</v>
      </c>
      <c r="C16" s="22" t="s">
        <v>210</v>
      </c>
      <c r="D16" s="508">
        <f>E16</f>
        <v>411.5643704306184</v>
      </c>
      <c r="E16" s="508">
        <f>E$13*'Consolidated Model'!$L$29</f>
        <v>411.5643704306184</v>
      </c>
      <c r="F16" s="508">
        <f>F$13*'Consolidated Model'!$L$29</f>
        <v>114.88424168876044</v>
      </c>
      <c r="G16" s="508">
        <f>G$13*'Consolidated Model'!$L$29</f>
        <v>18.629877030609801</v>
      </c>
      <c r="H16" s="508">
        <f>H$13*'Consolidated Model'!$L$29</f>
        <v>3.1049795051016331</v>
      </c>
    </row>
    <row r="17" spans="1:26">
      <c r="B17" s="22" t="s">
        <v>613</v>
      </c>
      <c r="C17" s="22" t="s">
        <v>210</v>
      </c>
      <c r="D17" s="508">
        <f>E17</f>
        <v>187.820919073525</v>
      </c>
      <c r="E17" s="508">
        <f>E$13*'Consolidated Model'!$L$30</f>
        <v>187.820919073525</v>
      </c>
      <c r="F17" s="508">
        <f>F$13*'Consolidated Model'!$L$30</f>
        <v>52.42840588574596</v>
      </c>
      <c r="G17" s="508">
        <f>G$13*'Consolidated Model'!$L$30</f>
        <v>8.5019036571479933</v>
      </c>
      <c r="H17" s="508">
        <f>H$13*'Consolidated Model'!$L$30</f>
        <v>1.4169839428579987</v>
      </c>
    </row>
    <row r="18" spans="1:26"/>
    <row r="19" spans="1:26">
      <c r="B19" s="509" t="s">
        <v>614</v>
      </c>
      <c r="C19" s="435" t="s">
        <v>210</v>
      </c>
      <c r="D19" s="510">
        <f>SUM(D16:D17)+$H$15</f>
        <v>605.76320253970687</v>
      </c>
      <c r="E19" s="510">
        <f t="shared" ref="E19:H19" si="2">SUM(E16:E17)+$H$15</f>
        <v>605.76320253970687</v>
      </c>
      <c r="F19" s="510">
        <f t="shared" si="2"/>
        <v>173.69056061006984</v>
      </c>
      <c r="G19" s="510">
        <f t="shared" si="2"/>
        <v>33.509693723321234</v>
      </c>
      <c r="H19" s="510">
        <f t="shared" si="2"/>
        <v>10.899876483523066</v>
      </c>
    </row>
    <row r="20" spans="1:26">
      <c r="B20" s="27"/>
      <c r="C20" s="52"/>
    </row>
    <row r="21" spans="1:26">
      <c r="A21" s="57"/>
      <c r="B21" s="28" t="s">
        <v>38</v>
      </c>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s="18" customFormat="1">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row>
    <row r="23" spans="1:26" s="18" customFormat="1" ht="13.8" thickBot="1">
      <c r="B23" s="35" t="s">
        <v>615</v>
      </c>
      <c r="C23" s="34"/>
      <c r="D23" s="118"/>
      <c r="E23" s="118"/>
      <c r="F23" s="601"/>
      <c r="G23" s="118"/>
      <c r="H23" s="118"/>
      <c r="I23" s="118"/>
      <c r="J23" s="118"/>
      <c r="K23" s="118"/>
      <c r="L23" s="118"/>
      <c r="M23" s="118"/>
      <c r="N23" s="118"/>
      <c r="O23" s="118"/>
      <c r="P23" s="118"/>
      <c r="Q23" s="118"/>
      <c r="R23" s="118"/>
      <c r="S23" s="118"/>
      <c r="T23" s="118"/>
      <c r="U23" s="118"/>
      <c r="V23" s="118"/>
      <c r="W23" s="118"/>
      <c r="X23" s="118"/>
      <c r="Y23" s="118"/>
    </row>
    <row r="24" spans="1:26" s="18" customFormat="1">
      <c r="B24" s="118" t="s">
        <v>616</v>
      </c>
      <c r="C24" s="84">
        <f>E31*10^6/'Customer Groups'!$D$10</f>
        <v>178.10692115930257</v>
      </c>
      <c r="D24" s="118"/>
      <c r="E24" s="118"/>
      <c r="F24" s="118"/>
      <c r="G24" s="118"/>
      <c r="H24" s="118"/>
      <c r="I24" s="118"/>
      <c r="J24" s="118"/>
      <c r="K24" s="118"/>
      <c r="L24" s="118"/>
      <c r="M24" s="118"/>
      <c r="N24" s="118"/>
      <c r="O24" s="118"/>
      <c r="P24" s="118"/>
      <c r="Q24" s="118"/>
      <c r="R24" s="118"/>
      <c r="S24" s="118"/>
      <c r="T24" s="118"/>
      <c r="U24" s="118"/>
      <c r="V24" s="118"/>
      <c r="W24" s="118"/>
      <c r="X24" s="118"/>
      <c r="Y24" s="118"/>
    </row>
    <row r="25" spans="1:26" s="18" customFormat="1">
      <c r="B25" s="118" t="s">
        <v>121</v>
      </c>
      <c r="C25" s="10">
        <v>0</v>
      </c>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1:26" s="18" customFormat="1">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row>
    <row r="27" spans="1:26" ht="13.8" thickBot="1">
      <c r="B27" s="35" t="s">
        <v>617</v>
      </c>
      <c r="C27" s="34" t="s">
        <v>603</v>
      </c>
      <c r="D27" s="34" t="s">
        <v>618</v>
      </c>
      <c r="E27" s="34" t="s">
        <v>619</v>
      </c>
    </row>
    <row r="28" spans="1:26">
      <c r="B28" s="57" t="s">
        <v>620</v>
      </c>
      <c r="C28" s="22" t="s">
        <v>210</v>
      </c>
      <c r="D28" s="119">
        <f>'Ofgem SOLR'!$D$6/10^6</f>
        <v>1.2911820000000001</v>
      </c>
      <c r="E28" s="119">
        <f>'Ofgem SOLR'!$D$6/10^6*(E29/D29)</f>
        <v>0.58326494928005623</v>
      </c>
    </row>
    <row r="29" spans="1:26">
      <c r="B29" s="57">
        <v>2021</v>
      </c>
      <c r="C29" s="22" t="s">
        <v>210</v>
      </c>
      <c r="D29" s="52">
        <f>'Ofgem SOLR'!D11/10^6+D37</f>
        <v>5442.376410023382</v>
      </c>
      <c r="E29" s="52">
        <v>2458.4817638065447</v>
      </c>
    </row>
    <row r="30" spans="1:26">
      <c r="B30" s="57" t="s">
        <v>621</v>
      </c>
      <c r="C30" s="22" t="s">
        <v>210</v>
      </c>
      <c r="D30" s="120">
        <f>SUM(D28:D29)</f>
        <v>5443.667592023382</v>
      </c>
      <c r="E30" s="47">
        <f>SUM(E28:E29)</f>
        <v>2459.0650287558246</v>
      </c>
    </row>
    <row r="31" spans="1:26" ht="13.8" thickBot="1">
      <c r="B31" s="637" t="s">
        <v>622</v>
      </c>
      <c r="C31" s="652" t="s">
        <v>210</v>
      </c>
      <c r="D31" s="653">
        <f>D30/6</f>
        <v>907.27793200389704</v>
      </c>
      <c r="E31" s="654">
        <f>E30/6</f>
        <v>409.84417145930411</v>
      </c>
    </row>
    <row r="32" spans="1:26" ht="13.8" thickBot="1">
      <c r="B32" s="121" t="s">
        <v>623</v>
      </c>
      <c r="C32" s="122" t="s">
        <v>610</v>
      </c>
      <c r="D32" s="123"/>
      <c r="E32" s="124">
        <f>IF(C25&gt;0,C25,C24)</f>
        <v>178.10692115930257</v>
      </c>
    </row>
    <row r="33" spans="2:27"/>
    <row r="34" spans="2:27" ht="13.8" thickBot="1">
      <c r="B34" s="35" t="s">
        <v>624</v>
      </c>
      <c r="C34" s="125"/>
      <c r="D34" s="125"/>
    </row>
    <row r="35" spans="2:27">
      <c r="B35" s="10" t="s">
        <v>625</v>
      </c>
      <c r="C35" s="23" t="s">
        <v>210</v>
      </c>
      <c r="D35" s="52">
        <v>4000</v>
      </c>
    </row>
    <row r="36" spans="2:27">
      <c r="B36" s="10" t="s">
        <v>626</v>
      </c>
      <c r="C36" s="30"/>
      <c r="D36" s="30">
        <f>'Ofgem SOLR'!D12</f>
        <v>0.93234684688834557</v>
      </c>
    </row>
    <row r="37" spans="2:27">
      <c r="B37" s="62" t="s">
        <v>627</v>
      </c>
      <c r="C37" s="428" t="s">
        <v>210</v>
      </c>
      <c r="D37" s="196">
        <f>D36*D35</f>
        <v>3729.3873875533823</v>
      </c>
    </row>
    <row r="38" spans="2:27">
      <c r="C38" s="87"/>
      <c r="D38" s="126"/>
    </row>
    <row r="39" spans="2:27">
      <c r="C39" s="51"/>
    </row>
    <row r="40" spans="2:27">
      <c r="B40" s="14" t="s">
        <v>362</v>
      </c>
      <c r="C40" s="15"/>
      <c r="D40" s="15"/>
      <c r="E40" s="15"/>
      <c r="F40" s="16"/>
      <c r="G40" s="14"/>
      <c r="H40" s="15"/>
      <c r="I40" s="15"/>
      <c r="J40" s="15"/>
      <c r="K40" s="16"/>
      <c r="L40" s="14"/>
      <c r="M40" s="15"/>
      <c r="N40" s="15"/>
      <c r="O40" s="15"/>
      <c r="P40" s="15"/>
      <c r="Q40" s="15"/>
      <c r="R40" s="15"/>
      <c r="S40" s="15"/>
      <c r="T40" s="15"/>
      <c r="U40" s="15"/>
      <c r="V40" s="15"/>
      <c r="W40" s="15"/>
      <c r="X40" s="15"/>
      <c r="Y40" s="15"/>
      <c r="Z40" s="15"/>
      <c r="AA40" s="15"/>
    </row>
    <row r="41" spans="2:27"/>
    <row r="43" spans="2:27" ht="12.75" hidden="1" customHeight="1"/>
    <row r="44" spans="2:27"/>
  </sheetData>
  <mergeCells count="1">
    <mergeCell ref="B5:Y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F3704-3E82-432C-AF1A-71C694D1A4C9}">
  <sheetPr codeName="Sheet29">
    <tabColor theme="9"/>
  </sheetPr>
  <dimension ref="A1:AA83"/>
  <sheetViews>
    <sheetView showGridLines="0" zoomScale="70" zoomScaleNormal="70" workbookViewId="0"/>
  </sheetViews>
  <sheetFormatPr defaultColWidth="0" defaultRowHeight="13.8" zeroHeight="1"/>
  <cols>
    <col min="1" max="1" width="5" style="36" customWidth="1"/>
    <col min="2" max="2" width="20.33203125" style="36" bestFit="1" customWidth="1"/>
    <col min="3" max="3" width="22.6640625" style="36" bestFit="1" customWidth="1"/>
    <col min="4" max="4" width="27" style="36" customWidth="1"/>
    <col min="5" max="5" width="23.5546875" style="36" customWidth="1"/>
    <col min="6" max="12" width="22.6640625" style="36" customWidth="1"/>
    <col min="13" max="13" width="14.6640625" style="36" customWidth="1"/>
    <col min="14" max="16" width="8.6640625" style="36" customWidth="1"/>
    <col min="17" max="27" width="0" style="36" hidden="1" customWidth="1"/>
    <col min="28" max="16384" width="8.6640625" style="36" hidden="1"/>
  </cols>
  <sheetData>
    <row r="1" spans="1:27" ht="17.399999999999999">
      <c r="A1" s="43" t="s">
        <v>56</v>
      </c>
    </row>
    <row r="2" spans="1:27"/>
    <row r="3" spans="1:27">
      <c r="B3" s="28" t="s">
        <v>566</v>
      </c>
      <c r="C3" s="38"/>
      <c r="D3" s="38"/>
      <c r="E3" s="38"/>
      <c r="F3" s="38"/>
      <c r="G3" s="38"/>
      <c r="H3" s="38"/>
      <c r="I3" s="38"/>
      <c r="J3" s="38"/>
      <c r="K3" s="38"/>
      <c r="L3" s="38"/>
      <c r="M3" s="38"/>
      <c r="N3" s="38"/>
      <c r="O3" s="38"/>
      <c r="P3" s="39"/>
      <c r="Q3" s="39"/>
      <c r="R3" s="39"/>
      <c r="S3" s="39"/>
      <c r="T3" s="39"/>
      <c r="U3" s="39"/>
      <c r="V3" s="39"/>
      <c r="W3" s="39"/>
      <c r="X3" s="39"/>
      <c r="Y3" s="39"/>
      <c r="Z3" s="39"/>
      <c r="AA3" s="39"/>
    </row>
    <row r="4" spans="1:27" ht="14.4" thickBot="1"/>
    <row r="5" spans="1:27">
      <c r="B5" s="904" t="s">
        <v>628</v>
      </c>
      <c r="C5" s="905"/>
      <c r="D5" s="905"/>
      <c r="E5" s="905"/>
      <c r="F5" s="905"/>
      <c r="G5" s="905"/>
      <c r="H5" s="905"/>
      <c r="I5" s="905"/>
      <c r="J5" s="905"/>
      <c r="K5" s="905"/>
      <c r="L5" s="905"/>
      <c r="M5" s="905"/>
      <c r="N5" s="905"/>
      <c r="O5" s="906"/>
      <c r="P5" s="44"/>
      <c r="Q5" s="44"/>
      <c r="R5" s="44"/>
      <c r="S5" s="44"/>
      <c r="T5" s="44"/>
      <c r="U5" s="44"/>
      <c r="V5" s="44"/>
      <c r="W5" s="44"/>
      <c r="X5" s="44"/>
      <c r="Y5" s="44"/>
    </row>
    <row r="6" spans="1:27" ht="14.4" thickBot="1">
      <c r="B6" s="907"/>
      <c r="C6" s="908"/>
      <c r="D6" s="908"/>
      <c r="E6" s="908"/>
      <c r="F6" s="908"/>
      <c r="G6" s="908"/>
      <c r="H6" s="908"/>
      <c r="I6" s="908"/>
      <c r="J6" s="908"/>
      <c r="K6" s="908"/>
      <c r="L6" s="908"/>
      <c r="M6" s="908"/>
      <c r="N6" s="908"/>
      <c r="O6" s="909"/>
      <c r="P6" s="44"/>
      <c r="Q6" s="44"/>
      <c r="R6" s="44"/>
      <c r="S6" s="44"/>
      <c r="T6" s="44"/>
      <c r="U6" s="44"/>
      <c r="V6" s="44"/>
      <c r="W6" s="44"/>
      <c r="X6" s="44"/>
      <c r="Y6" s="44"/>
    </row>
    <row r="7" spans="1:27"/>
    <row r="8" spans="1:27">
      <c r="B8" s="37" t="s">
        <v>629</v>
      </c>
      <c r="C8" s="38"/>
      <c r="D8" s="38"/>
      <c r="E8" s="38"/>
      <c r="F8" s="38"/>
      <c r="G8" s="38"/>
      <c r="H8" s="38"/>
      <c r="I8" s="38"/>
      <c r="J8" s="38"/>
      <c r="K8" s="38"/>
      <c r="L8" s="38"/>
      <c r="M8" s="38"/>
      <c r="N8" s="38"/>
      <c r="O8" s="38"/>
    </row>
    <row r="9" spans="1:27" ht="14.4" thickBot="1"/>
    <row r="10" spans="1:27" ht="42" thickBot="1">
      <c r="B10" s="517" t="s">
        <v>630</v>
      </c>
      <c r="C10" s="518" t="s">
        <v>631</v>
      </c>
      <c r="D10" s="518" t="s">
        <v>632</v>
      </c>
      <c r="E10" s="518" t="s">
        <v>633</v>
      </c>
      <c r="F10" s="518" t="s">
        <v>634</v>
      </c>
      <c r="G10" s="518" t="s">
        <v>635</v>
      </c>
      <c r="H10" s="518" t="s">
        <v>636</v>
      </c>
    </row>
    <row r="11" spans="1:27" ht="14.4" thickBot="1">
      <c r="B11" s="39" t="s">
        <v>637</v>
      </c>
      <c r="C11" s="45">
        <v>1434488</v>
      </c>
      <c r="D11" s="41">
        <v>18526346</v>
      </c>
      <c r="E11" s="40">
        <v>4250348</v>
      </c>
      <c r="F11" s="45">
        <v>22776694</v>
      </c>
      <c r="G11" s="40">
        <v>23619200.456253927</v>
      </c>
      <c r="H11" s="516">
        <v>16.465247848886801</v>
      </c>
    </row>
    <row r="12" spans="1:27">
      <c r="B12" s="519"/>
      <c r="C12" s="519"/>
      <c r="D12" s="519"/>
      <c r="E12" s="519"/>
      <c r="F12" s="519"/>
      <c r="G12" s="519"/>
      <c r="H12" s="519"/>
    </row>
    <row r="13" spans="1:27">
      <c r="D13" s="40"/>
    </row>
    <row r="14" spans="1:27">
      <c r="B14" s="42" t="s">
        <v>638</v>
      </c>
      <c r="C14" s="38"/>
    </row>
    <row r="15" spans="1:27" ht="14.4" thickBot="1"/>
    <row r="16" spans="1:27" ht="14.4" thickBot="1">
      <c r="B16" s="515" t="s">
        <v>405</v>
      </c>
      <c r="C16" s="515" t="s">
        <v>639</v>
      </c>
    </row>
    <row r="17" spans="2:27">
      <c r="B17" s="511" t="str">
        <f>CPIH!A13</f>
        <v>2016</v>
      </c>
      <c r="C17" s="512">
        <f>CPIH!B13/100</f>
        <v>0.01</v>
      </c>
    </row>
    <row r="18" spans="2:27">
      <c r="B18" s="511" t="str">
        <f>CPIH!A14</f>
        <v>2017</v>
      </c>
      <c r="C18" s="512">
        <f>CPIH!B14/100</f>
        <v>2.6000000000000002E-2</v>
      </c>
    </row>
    <row r="19" spans="2:27">
      <c r="B19" s="511" t="str">
        <f>CPIH!A15</f>
        <v>2018</v>
      </c>
      <c r="C19" s="512">
        <f>CPIH!B15/100</f>
        <v>2.3E-2</v>
      </c>
    </row>
    <row r="20" spans="2:27">
      <c r="B20" s="511" t="str">
        <f>CPIH!A16</f>
        <v>2019</v>
      </c>
      <c r="C20" s="512">
        <f>CPIH!B16/100</f>
        <v>1.7000000000000001E-2</v>
      </c>
    </row>
    <row r="21" spans="2:27">
      <c r="B21" s="511" t="str">
        <f>CPIH!A17</f>
        <v>2020</v>
      </c>
      <c r="C21" s="512">
        <f>CPIH!B17/100</f>
        <v>0.01</v>
      </c>
    </row>
    <row r="22" spans="2:27" ht="14.4" thickBot="1">
      <c r="B22" s="513" t="str">
        <f>CPIH!A18</f>
        <v>2021</v>
      </c>
      <c r="C22" s="514">
        <f>CPIH!B18/100</f>
        <v>2.5000000000000001E-2</v>
      </c>
    </row>
    <row r="23" spans="2:27"/>
    <row r="24" spans="2:27"/>
    <row r="25" spans="2:27"/>
    <row r="26" spans="2:27"/>
    <row r="27" spans="2:27">
      <c r="B27" s="14" t="s">
        <v>362</v>
      </c>
      <c r="C27" s="15"/>
      <c r="D27" s="15"/>
      <c r="E27" s="15"/>
      <c r="F27" s="16"/>
      <c r="G27" s="14"/>
      <c r="H27" s="15"/>
      <c r="I27" s="15"/>
      <c r="J27" s="15"/>
      <c r="K27" s="16"/>
      <c r="L27" s="14"/>
      <c r="M27" s="15"/>
      <c r="N27" s="15"/>
      <c r="O27" s="15"/>
      <c r="P27" s="15"/>
      <c r="Q27" s="15"/>
      <c r="R27" s="15"/>
      <c r="S27" s="15"/>
      <c r="T27" s="15"/>
      <c r="U27" s="15"/>
      <c r="V27" s="15"/>
      <c r="W27" s="15"/>
      <c r="X27" s="15"/>
      <c r="Y27" s="15"/>
      <c r="Z27" s="15"/>
      <c r="AA27" s="15"/>
    </row>
    <row r="80"/>
    <row r="81"/>
    <row r="82"/>
    <row r="83"/>
  </sheetData>
  <mergeCells count="1">
    <mergeCell ref="B5: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F16B-8ECD-4070-9727-E7C18EAB41A9}">
  <sheetPr codeName="Sheet30">
    <tabColor theme="3"/>
  </sheetPr>
  <dimension ref="A1"/>
  <sheetViews>
    <sheetView showGridLines="0" workbookViewId="0"/>
  </sheetViews>
  <sheetFormatPr defaultRowHeight="14.4"/>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FFE5-DFBB-47C8-B04B-B42CAF53A692}">
  <sheetPr codeName="Sheet32">
    <tabColor theme="5"/>
  </sheetPr>
  <dimension ref="A1:YQ275"/>
  <sheetViews>
    <sheetView showGridLines="0" zoomScale="70" zoomScaleNormal="70" workbookViewId="0"/>
  </sheetViews>
  <sheetFormatPr defaultColWidth="0" defaultRowHeight="13.2" zeroHeight="1"/>
  <cols>
    <col min="1" max="1" width="5.33203125" style="10" bestFit="1" customWidth="1"/>
    <col min="2" max="2" width="45" style="10" bestFit="1" customWidth="1"/>
    <col min="3" max="3" width="50.5546875" style="10" bestFit="1" customWidth="1"/>
    <col min="4" max="4" width="43.33203125" style="10" bestFit="1" customWidth="1"/>
    <col min="5" max="18" width="41" style="10" bestFit="1" customWidth="1"/>
    <col min="19" max="20" width="11" style="10" bestFit="1" customWidth="1"/>
    <col min="21" max="21" width="45.44140625" style="10" bestFit="1" customWidth="1"/>
    <col min="22" max="25" width="41" style="10" bestFit="1" customWidth="1"/>
    <col min="26" max="26" width="26.6640625" style="10" bestFit="1" customWidth="1"/>
    <col min="27" max="27" width="14.6640625" style="10" bestFit="1" customWidth="1"/>
    <col min="28" max="28" width="21.6640625" style="10" hidden="1" customWidth="1"/>
    <col min="29" max="29" width="34" style="10" hidden="1" customWidth="1"/>
    <col min="30" max="31" width="0" style="10" hidden="1" customWidth="1"/>
    <col min="32" max="32" width="45.33203125" style="10" hidden="1" customWidth="1"/>
    <col min="33" max="667" width="0" style="10" hidden="1" customWidth="1"/>
    <col min="668" max="16384" width="8.6640625" style="10" hidden="1"/>
  </cols>
  <sheetData>
    <row r="1" spans="1:27" ht="17.399999999999999">
      <c r="A1" s="43" t="s">
        <v>60</v>
      </c>
    </row>
    <row r="2" spans="1:27" ht="17.399999999999999">
      <c r="A2" s="43"/>
    </row>
    <row r="3" spans="1:27" ht="17.399999999999999">
      <c r="A3" s="43"/>
      <c r="B3" s="103" t="s">
        <v>640</v>
      </c>
    </row>
    <row r="4" spans="1:27">
      <c r="B4" s="66"/>
    </row>
    <row r="5" spans="1:27">
      <c r="B5" s="28" t="s">
        <v>566</v>
      </c>
      <c r="C5" s="24"/>
      <c r="D5" s="24"/>
      <c r="E5" s="24"/>
      <c r="F5" s="24"/>
      <c r="G5" s="24"/>
      <c r="H5" s="24"/>
      <c r="I5" s="24"/>
      <c r="J5" s="24"/>
      <c r="K5" s="24"/>
      <c r="L5" s="24"/>
      <c r="M5" s="24"/>
      <c r="N5" s="24"/>
      <c r="O5" s="24"/>
      <c r="P5" s="24"/>
      <c r="Q5" s="24"/>
      <c r="R5" s="24"/>
      <c r="S5" s="24"/>
      <c r="T5" s="24"/>
      <c r="U5" s="24"/>
      <c r="V5" s="25"/>
      <c r="W5" s="25"/>
      <c r="X5" s="25"/>
      <c r="Y5" s="25"/>
      <c r="Z5" s="25"/>
    </row>
    <row r="6" spans="1:27" ht="13.8" thickBot="1"/>
    <row r="7" spans="1:27">
      <c r="B7" s="910" t="s">
        <v>641</v>
      </c>
      <c r="C7" s="911"/>
      <c r="D7" s="911"/>
      <c r="E7" s="911"/>
      <c r="F7" s="912"/>
    </row>
    <row r="8" spans="1:27" ht="13.8" thickBot="1">
      <c r="B8" s="913"/>
      <c r="C8" s="914"/>
      <c r="D8" s="914"/>
      <c r="E8" s="914"/>
      <c r="F8" s="915"/>
    </row>
    <row r="9" spans="1:27"/>
    <row r="10" spans="1:27">
      <c r="B10" s="28" t="s">
        <v>642</v>
      </c>
      <c r="C10" s="24"/>
      <c r="D10" s="24"/>
      <c r="E10" s="24"/>
      <c r="F10" s="24"/>
      <c r="G10" s="24"/>
      <c r="H10" s="24"/>
      <c r="I10" s="24"/>
      <c r="J10" s="24"/>
      <c r="K10" s="24"/>
      <c r="L10" s="24"/>
      <c r="M10" s="24"/>
      <c r="N10" s="24"/>
      <c r="O10" s="24"/>
      <c r="P10" s="24"/>
      <c r="Q10" s="24"/>
      <c r="R10" s="24"/>
      <c r="S10" s="24"/>
      <c r="T10" s="24"/>
      <c r="U10" s="24"/>
      <c r="V10" s="25"/>
      <c r="W10" s="25"/>
      <c r="X10" s="25"/>
      <c r="Y10" s="25"/>
      <c r="Z10" s="25"/>
    </row>
    <row r="11" spans="1:27"/>
    <row r="12" spans="1:27">
      <c r="B12" s="822" t="s">
        <v>576</v>
      </c>
      <c r="C12" s="837">
        <f>'Customer Groups'!BE18</f>
        <v>44012</v>
      </c>
      <c r="D12" s="837">
        <f>'Customer Groups'!BF18</f>
        <v>44043</v>
      </c>
      <c r="E12" s="837">
        <f>'Customer Groups'!BG18</f>
        <v>44074</v>
      </c>
      <c r="F12" s="837">
        <f>'Customer Groups'!BH18</f>
        <v>44104</v>
      </c>
      <c r="G12" s="837">
        <f>'Customer Groups'!BI18</f>
        <v>44135</v>
      </c>
      <c r="H12" s="837">
        <f>'Customer Groups'!BJ18</f>
        <v>44165</v>
      </c>
      <c r="I12" s="837">
        <f>'Customer Groups'!BK18</f>
        <v>44196</v>
      </c>
      <c r="J12" s="837">
        <f>'Customer Groups'!BL18</f>
        <v>44227</v>
      </c>
      <c r="K12" s="837">
        <f>'Customer Groups'!BM18</f>
        <v>44255</v>
      </c>
      <c r="L12" s="837">
        <f>'Customer Groups'!BN18</f>
        <v>44286</v>
      </c>
      <c r="M12" s="837">
        <f>'Customer Groups'!BO18</f>
        <v>44316</v>
      </c>
      <c r="N12" s="837">
        <f>'Customer Groups'!BP18</f>
        <v>44347</v>
      </c>
      <c r="O12" s="837">
        <f>'Customer Groups'!BQ18</f>
        <v>44377</v>
      </c>
      <c r="P12" s="837">
        <f>'Customer Groups'!BR18</f>
        <v>44408</v>
      </c>
      <c r="Q12" s="837">
        <f>'Customer Groups'!BS18</f>
        <v>44439</v>
      </c>
      <c r="R12" s="837">
        <f>'Customer Groups'!BT18</f>
        <v>44469</v>
      </c>
      <c r="S12" s="837">
        <f>'Customer Groups'!BU18</f>
        <v>44500</v>
      </c>
      <c r="T12" s="837">
        <f>'Customer Groups'!BV18</f>
        <v>44530</v>
      </c>
      <c r="U12" s="837">
        <f>'Customer Groups'!BW18</f>
        <v>44561</v>
      </c>
      <c r="V12" s="834" t="s">
        <v>577</v>
      </c>
      <c r="W12" s="834" t="s">
        <v>578</v>
      </c>
      <c r="X12" s="834" t="s">
        <v>643</v>
      </c>
      <c r="Y12" s="834" t="s">
        <v>644</v>
      </c>
      <c r="Z12" s="834" t="s">
        <v>645</v>
      </c>
    </row>
    <row r="13" spans="1:27">
      <c r="B13" s="838" t="s">
        <v>132</v>
      </c>
      <c r="C13" s="826">
        <f t="shared" ref="C13:R13" si="0">C39</f>
        <v>2185.4610797933137</v>
      </c>
      <c r="D13" s="826">
        <f t="shared" si="0"/>
        <v>2298.2924097098817</v>
      </c>
      <c r="E13" s="826">
        <f t="shared" si="0"/>
        <v>2595.9245980221272</v>
      </c>
      <c r="F13" s="826">
        <f t="shared" si="0"/>
        <v>2874.1940591449716</v>
      </c>
      <c r="G13" s="826">
        <f t="shared" si="0"/>
        <v>3111.0568625671522</v>
      </c>
      <c r="H13" s="826">
        <f t="shared" si="0"/>
        <v>3089.6082351080418</v>
      </c>
      <c r="I13" s="826">
        <f t="shared" si="0"/>
        <v>2770.0102662958402</v>
      </c>
      <c r="J13" s="826">
        <f t="shared" si="0"/>
        <v>2524.5645549958308</v>
      </c>
      <c r="K13" s="826">
        <f t="shared" si="0"/>
        <v>2291.2701682681595</v>
      </c>
      <c r="L13" s="826">
        <f t="shared" si="0"/>
        <v>2034.6531255800003</v>
      </c>
      <c r="M13" s="826">
        <f t="shared" si="0"/>
        <v>1995.494140601151</v>
      </c>
      <c r="N13" s="826">
        <f t="shared" si="0"/>
        <v>2070.7446465349876</v>
      </c>
      <c r="O13" s="826">
        <f t="shared" si="0"/>
        <v>2136.6856692264341</v>
      </c>
      <c r="P13" s="826">
        <f t="shared" si="0"/>
        <v>2353.3844129064341</v>
      </c>
      <c r="Q13" s="826">
        <f t="shared" si="0"/>
        <v>2687.4533280764344</v>
      </c>
      <c r="R13" s="826">
        <f t="shared" si="0"/>
        <v>2831.2477303264341</v>
      </c>
      <c r="S13" s="826">
        <f>V39</f>
        <v>3119.4242200005992</v>
      </c>
      <c r="T13" s="826">
        <f>W39</f>
        <v>3246.1402133940001</v>
      </c>
      <c r="U13" s="826">
        <f>X39</f>
        <v>2802.1705265297533</v>
      </c>
      <c r="V13" s="826">
        <f t="shared" ref="V13:V24" si="1">AVERAGE(C13:U13)</f>
        <v>2579.8831708990283</v>
      </c>
      <c r="W13" s="826">
        <f t="shared" ref="W13:W24" si="2">MAX(C13:U13)</f>
        <v>3246.1402133940001</v>
      </c>
      <c r="X13" s="826">
        <f t="shared" ref="X13:X24" si="3">AVERAGE($C13:$I13)</f>
        <v>2703.5067872344757</v>
      </c>
      <c r="Y13" s="826">
        <f t="shared" ref="Y13:Y24" si="4">MAX($C13:$I13)</f>
        <v>3111.0568625671522</v>
      </c>
      <c r="Z13" s="839"/>
    </row>
    <row r="14" spans="1:27">
      <c r="B14" s="53" t="s">
        <v>581</v>
      </c>
      <c r="C14" s="52">
        <f t="shared" ref="C14:R14" si="5">C33</f>
        <v>22946050</v>
      </c>
      <c r="D14" s="52">
        <f t="shared" si="5"/>
        <v>22921313</v>
      </c>
      <c r="E14" s="52">
        <f t="shared" si="5"/>
        <v>22912419</v>
      </c>
      <c r="F14" s="52">
        <f t="shared" si="5"/>
        <v>22822411</v>
      </c>
      <c r="G14" s="52">
        <f t="shared" si="5"/>
        <v>22918650</v>
      </c>
      <c r="H14" s="52">
        <f t="shared" si="5"/>
        <v>22929539</v>
      </c>
      <c r="I14" s="52">
        <f t="shared" si="5"/>
        <v>22563513</v>
      </c>
      <c r="J14" s="52">
        <f t="shared" si="5"/>
        <v>22375657</v>
      </c>
      <c r="K14" s="52">
        <f t="shared" si="5"/>
        <v>22955286</v>
      </c>
      <c r="L14" s="52">
        <f t="shared" si="5"/>
        <v>21911051</v>
      </c>
      <c r="M14" s="52">
        <f t="shared" si="5"/>
        <v>22043704</v>
      </c>
      <c r="N14" s="52">
        <f t="shared" si="5"/>
        <v>22037222</v>
      </c>
      <c r="O14" s="52">
        <f t="shared" si="5"/>
        <v>22029582</v>
      </c>
      <c r="P14" s="52">
        <f t="shared" si="5"/>
        <v>21965404</v>
      </c>
      <c r="Q14" s="52">
        <f t="shared" si="5"/>
        <v>21962475</v>
      </c>
      <c r="R14" s="52">
        <f t="shared" si="5"/>
        <v>22184017</v>
      </c>
      <c r="S14" s="52">
        <f>V33</f>
        <v>22964312</v>
      </c>
      <c r="T14" s="52">
        <f>W33</f>
        <v>22933618</v>
      </c>
      <c r="U14" s="52">
        <f>X33</f>
        <v>22928934</v>
      </c>
      <c r="V14" s="67">
        <f t="shared" si="1"/>
        <v>22542376.684210528</v>
      </c>
      <c r="W14" s="67">
        <f t="shared" si="2"/>
        <v>22964312</v>
      </c>
      <c r="X14" s="67">
        <f t="shared" si="3"/>
        <v>22859127.857142858</v>
      </c>
      <c r="Y14" s="67">
        <f t="shared" si="4"/>
        <v>22946050</v>
      </c>
      <c r="Z14" s="29"/>
    </row>
    <row r="15" spans="1:27">
      <c r="B15" s="53" t="s">
        <v>582</v>
      </c>
      <c r="C15" s="68">
        <f>C13/(C14*10^-6)</f>
        <v>95.243454964724378</v>
      </c>
      <c r="D15" s="68">
        <f t="shared" ref="D15:U15" si="6">D13/(D14*10^-6)</f>
        <v>100.26879392597981</v>
      </c>
      <c r="E15" s="68">
        <f t="shared" si="6"/>
        <v>113.29770977137451</v>
      </c>
      <c r="F15" s="68">
        <f t="shared" si="6"/>
        <v>125.93735425871402</v>
      </c>
      <c r="G15" s="68">
        <f t="shared" si="6"/>
        <v>135.74346056888831</v>
      </c>
      <c r="H15" s="68">
        <f t="shared" si="6"/>
        <v>134.74358272567287</v>
      </c>
      <c r="I15" s="68">
        <f t="shared" si="6"/>
        <v>122.76502627475784</v>
      </c>
      <c r="J15" s="68">
        <f t="shared" si="6"/>
        <v>112.826387846213</v>
      </c>
      <c r="K15" s="68">
        <f t="shared" si="6"/>
        <v>99.814490146982251</v>
      </c>
      <c r="L15" s="68">
        <f t="shared" si="6"/>
        <v>92.859677318993064</v>
      </c>
      <c r="M15" s="68">
        <f t="shared" si="6"/>
        <v>90.524448187162704</v>
      </c>
      <c r="N15" s="68">
        <f t="shared" si="6"/>
        <v>93.965775111535734</v>
      </c>
      <c r="O15" s="68">
        <f t="shared" si="6"/>
        <v>96.991657364467216</v>
      </c>
      <c r="P15" s="68">
        <f t="shared" si="6"/>
        <v>107.14050207801478</v>
      </c>
      <c r="Q15" s="68">
        <f t="shared" si="6"/>
        <v>122.36568638445506</v>
      </c>
      <c r="R15" s="68">
        <f t="shared" si="6"/>
        <v>127.62556620500399</v>
      </c>
      <c r="S15" s="68">
        <f t="shared" si="6"/>
        <v>135.8379131933323</v>
      </c>
      <c r="T15" s="68">
        <f t="shared" si="6"/>
        <v>141.54505466141453</v>
      </c>
      <c r="U15" s="68">
        <f t="shared" si="6"/>
        <v>122.21111223617083</v>
      </c>
      <c r="V15" s="169">
        <f t="shared" si="1"/>
        <v>114.30040280125566</v>
      </c>
      <c r="W15" s="169">
        <f t="shared" si="2"/>
        <v>141.54505466141453</v>
      </c>
      <c r="X15" s="169">
        <f t="shared" si="3"/>
        <v>118.28562607001597</v>
      </c>
      <c r="Y15" s="169">
        <f t="shared" si="4"/>
        <v>135.74346056888831</v>
      </c>
      <c r="Z15" s="68">
        <f>AVERAGE(F15:I15)</f>
        <v>129.79735595700825</v>
      </c>
      <c r="AA15" s="68"/>
    </row>
    <row r="16" spans="1:27">
      <c r="B16" s="53" t="s">
        <v>583</v>
      </c>
      <c r="C16" s="52">
        <f t="shared" ref="C16:R16" si="7">C40</f>
        <v>971.94799999999998</v>
      </c>
      <c r="D16" s="52">
        <f t="shared" si="7"/>
        <v>1004</v>
      </c>
      <c r="E16" s="52">
        <f t="shared" si="7"/>
        <v>1191.224457</v>
      </c>
      <c r="F16" s="52">
        <f t="shared" si="7"/>
        <v>1229.25</v>
      </c>
      <c r="G16" s="52">
        <f t="shared" si="7"/>
        <v>1395.646825</v>
      </c>
      <c r="H16" s="52">
        <f t="shared" si="7"/>
        <v>1383.1986299999999</v>
      </c>
      <c r="I16" s="52">
        <f t="shared" si="7"/>
        <v>1327.1986299999999</v>
      </c>
      <c r="J16" s="52">
        <f t="shared" si="7"/>
        <v>1242.1986299999999</v>
      </c>
      <c r="K16" s="52">
        <f t="shared" si="7"/>
        <v>1123.461258757</v>
      </c>
      <c r="L16" s="52">
        <f t="shared" si="7"/>
        <v>1031.6282228999999</v>
      </c>
      <c r="M16" s="52">
        <f t="shared" si="7"/>
        <v>1034.761</v>
      </c>
      <c r="N16" s="52">
        <f t="shared" si="7"/>
        <v>1087.5720000000001</v>
      </c>
      <c r="O16" s="52">
        <f t="shared" si="7"/>
        <v>1122.8029999999999</v>
      </c>
      <c r="P16" s="52">
        <f t="shared" si="7"/>
        <v>1204.6236112000001</v>
      </c>
      <c r="Q16" s="52">
        <f t="shared" si="7"/>
        <v>1383.155</v>
      </c>
      <c r="R16" s="52">
        <f t="shared" si="7"/>
        <v>1483.9332082999999</v>
      </c>
      <c r="S16" s="52">
        <f>V40</f>
        <v>1549.4542253605996</v>
      </c>
      <c r="T16" s="52">
        <f>W40</f>
        <v>1636.0092753939998</v>
      </c>
      <c r="U16" s="52">
        <f>X40</f>
        <v>1384.8574550597532</v>
      </c>
      <c r="V16" s="67">
        <f t="shared" si="1"/>
        <v>1251.9433383669132</v>
      </c>
      <c r="W16" s="67">
        <f t="shared" si="2"/>
        <v>1636.0092753939998</v>
      </c>
      <c r="X16" s="67">
        <f t="shared" si="3"/>
        <v>1214.6380774285713</v>
      </c>
      <c r="Y16" s="67">
        <f t="shared" si="4"/>
        <v>1395.646825</v>
      </c>
      <c r="Z16" s="130"/>
    </row>
    <row r="17" spans="1:27">
      <c r="B17" s="53" t="s">
        <v>584</v>
      </c>
      <c r="C17" s="52">
        <v>11780386</v>
      </c>
      <c r="D17" s="52">
        <v>11716677</v>
      </c>
      <c r="E17" s="52">
        <v>11696179</v>
      </c>
      <c r="F17" s="52">
        <v>11728961</v>
      </c>
      <c r="G17" s="52">
        <v>12082264</v>
      </c>
      <c r="H17" s="52">
        <v>12347312</v>
      </c>
      <c r="I17" s="52">
        <v>12599196</v>
      </c>
      <c r="J17" s="52">
        <v>13320108</v>
      </c>
      <c r="K17" s="52">
        <v>13664319</v>
      </c>
      <c r="L17" s="52">
        <v>13498132</v>
      </c>
      <c r="M17" s="52">
        <v>13426544</v>
      </c>
      <c r="N17" s="52">
        <v>13348110</v>
      </c>
      <c r="O17" s="52">
        <v>13283810</v>
      </c>
      <c r="P17" s="52">
        <v>13213414</v>
      </c>
      <c r="Q17" s="52">
        <v>13170382</v>
      </c>
      <c r="R17" s="52">
        <v>13821035</v>
      </c>
      <c r="S17" s="52">
        <v>14058187</v>
      </c>
      <c r="T17" s="52">
        <v>14092324</v>
      </c>
      <c r="U17" s="52">
        <v>14144514</v>
      </c>
      <c r="V17" s="67">
        <f t="shared" si="1"/>
        <v>12999571.263157895</v>
      </c>
      <c r="W17" s="67">
        <f t="shared" si="2"/>
        <v>14144514</v>
      </c>
      <c r="X17" s="67">
        <f t="shared" si="3"/>
        <v>11992996.428571429</v>
      </c>
      <c r="Y17" s="67">
        <f t="shared" si="4"/>
        <v>12599196</v>
      </c>
      <c r="Z17" s="130"/>
    </row>
    <row r="18" spans="1:27" s="27" customFormat="1">
      <c r="B18" s="53" t="s">
        <v>585</v>
      </c>
      <c r="C18" s="68">
        <f>C16/(C17*10^-6)</f>
        <v>82.505615690351746</v>
      </c>
      <c r="D18" s="68">
        <f t="shared" ref="D18:U18" si="8">D16/(D17*10^-6)</f>
        <v>85.689824853924037</v>
      </c>
      <c r="E18" s="68">
        <f t="shared" si="8"/>
        <v>101.84731757268764</v>
      </c>
      <c r="F18" s="68">
        <f t="shared" si="8"/>
        <v>104.80467963019061</v>
      </c>
      <c r="G18" s="68">
        <f t="shared" si="8"/>
        <v>115.51202862311236</v>
      </c>
      <c r="H18" s="68">
        <f t="shared" si="8"/>
        <v>112.02427135557926</v>
      </c>
      <c r="I18" s="68">
        <f t="shared" si="8"/>
        <v>105.33994629498581</v>
      </c>
      <c r="J18" s="68">
        <f t="shared" si="8"/>
        <v>93.257399264330289</v>
      </c>
      <c r="K18" s="68">
        <f t="shared" si="8"/>
        <v>82.21860590030137</v>
      </c>
      <c r="L18" s="68">
        <f t="shared" si="8"/>
        <v>76.427480698810754</v>
      </c>
      <c r="M18" s="68">
        <f t="shared" si="8"/>
        <v>77.068305887203735</v>
      </c>
      <c r="N18" s="68">
        <f t="shared" si="8"/>
        <v>81.477602447088017</v>
      </c>
      <c r="O18" s="68">
        <f t="shared" si="8"/>
        <v>84.524168894315707</v>
      </c>
      <c r="P18" s="68">
        <f t="shared" si="8"/>
        <v>91.166719759178065</v>
      </c>
      <c r="Q18" s="68">
        <f t="shared" si="8"/>
        <v>105.02011255254403</v>
      </c>
      <c r="R18" s="68">
        <f t="shared" si="8"/>
        <v>107.36773391428355</v>
      </c>
      <c r="S18" s="68">
        <f t="shared" si="8"/>
        <v>110.21721544610266</v>
      </c>
      <c r="T18" s="68">
        <f t="shared" si="8"/>
        <v>116.0922269026741</v>
      </c>
      <c r="U18" s="68">
        <f t="shared" si="8"/>
        <v>97.907743953574737</v>
      </c>
      <c r="V18" s="169">
        <f t="shared" si="1"/>
        <v>96.340473665328332</v>
      </c>
      <c r="W18" s="169">
        <f t="shared" si="2"/>
        <v>116.0922269026741</v>
      </c>
      <c r="X18" s="169">
        <f t="shared" si="3"/>
        <v>101.10338343154736</v>
      </c>
      <c r="Y18" s="169">
        <f t="shared" si="4"/>
        <v>115.51202862311236</v>
      </c>
      <c r="Z18" s="68">
        <f>AVERAGE(F18:I18)</f>
        <v>109.420231475967</v>
      </c>
      <c r="AA18" s="68"/>
    </row>
    <row r="19" spans="1:27" s="27" customFormat="1">
      <c r="B19" s="53" t="s">
        <v>588</v>
      </c>
      <c r="C19" s="52">
        <f t="shared" ref="C19:R19" si="9">C41</f>
        <v>932.67913499999997</v>
      </c>
      <c r="D19" s="52">
        <f t="shared" si="9"/>
        <v>998.40800293000007</v>
      </c>
      <c r="E19" s="52">
        <f t="shared" si="9"/>
        <v>1084.6771005599999</v>
      </c>
      <c r="F19" s="52">
        <f t="shared" si="9"/>
        <v>1181.4019421999999</v>
      </c>
      <c r="G19" s="52">
        <f t="shared" si="9"/>
        <v>1236.13982824</v>
      </c>
      <c r="H19" s="52">
        <f t="shared" si="9"/>
        <v>1239.86370865</v>
      </c>
      <c r="I19" s="52">
        <f t="shared" si="9"/>
        <v>1230.00231433</v>
      </c>
      <c r="J19" s="52">
        <f t="shared" si="9"/>
        <v>1124.11704891</v>
      </c>
      <c r="K19" s="52">
        <f t="shared" si="9"/>
        <v>1005.18509848</v>
      </c>
      <c r="L19" s="52">
        <f t="shared" si="9"/>
        <v>953.03589151000006</v>
      </c>
      <c r="M19" s="52">
        <f t="shared" si="9"/>
        <v>908.18668453999999</v>
      </c>
      <c r="N19" s="52">
        <f t="shared" si="9"/>
        <v>917.36524965000001</v>
      </c>
      <c r="O19" s="52">
        <f t="shared" si="9"/>
        <v>944.00519880000002</v>
      </c>
      <c r="P19" s="52">
        <f t="shared" si="9"/>
        <v>1078.74408333</v>
      </c>
      <c r="Q19" s="52">
        <f t="shared" si="9"/>
        <v>1229.15599707</v>
      </c>
      <c r="R19" s="52">
        <f t="shared" si="9"/>
        <v>1304.2559970699999</v>
      </c>
      <c r="S19" s="52">
        <f>V41</f>
        <v>1522.3</v>
      </c>
      <c r="T19" s="52">
        <f>W41</f>
        <v>1564.208938</v>
      </c>
      <c r="U19" s="52">
        <f>X41</f>
        <v>1373.22907147</v>
      </c>
      <c r="V19" s="67">
        <f>AVERAGE(C19:U19)</f>
        <v>1148.7874363547369</v>
      </c>
      <c r="W19" s="67">
        <f>MAX(C19:U19)</f>
        <v>1564.208938</v>
      </c>
      <c r="X19" s="67">
        <f>AVERAGE($C$19:$I$19)</f>
        <v>1129.024575987143</v>
      </c>
      <c r="Y19" s="67">
        <f>MAX($C$19:$I$19)</f>
        <v>1239.86370865</v>
      </c>
      <c r="Z19" s="130"/>
      <c r="AA19" s="68"/>
    </row>
    <row r="20" spans="1:27" s="27" customFormat="1">
      <c r="B20" s="53" t="s">
        <v>589</v>
      </c>
      <c r="C20" s="52">
        <v>7534652</v>
      </c>
      <c r="D20" s="52">
        <v>7540365</v>
      </c>
      <c r="E20" s="52">
        <v>7569675</v>
      </c>
      <c r="F20" s="52">
        <v>7608056</v>
      </c>
      <c r="G20" s="52">
        <v>7602361</v>
      </c>
      <c r="H20" s="52">
        <v>7603741</v>
      </c>
      <c r="I20" s="52">
        <v>7611524</v>
      </c>
      <c r="J20" s="52">
        <v>7649254</v>
      </c>
      <c r="K20" s="52">
        <v>7730749</v>
      </c>
      <c r="L20" s="52">
        <v>7818279</v>
      </c>
      <c r="M20" s="52">
        <v>7856457</v>
      </c>
      <c r="N20" s="52">
        <v>7893634</v>
      </c>
      <c r="O20" s="52">
        <v>7918982</v>
      </c>
      <c r="P20" s="52">
        <v>7976199</v>
      </c>
      <c r="Q20" s="52">
        <v>8009147</v>
      </c>
      <c r="R20" s="52">
        <v>8053093</v>
      </c>
      <c r="S20" s="52">
        <v>8665225</v>
      </c>
      <c r="T20" s="52">
        <v>8599807</v>
      </c>
      <c r="U20" s="52">
        <v>8591550</v>
      </c>
      <c r="V20" s="67">
        <f t="shared" ref="V20:V21" si="10">AVERAGE(C20:U20)</f>
        <v>7885934.2105263155</v>
      </c>
      <c r="W20" s="67">
        <f t="shared" ref="W20:W21" si="11">MAX(C20:U20)</f>
        <v>8665225</v>
      </c>
      <c r="X20" s="67">
        <f t="shared" si="3"/>
        <v>7581482</v>
      </c>
      <c r="Y20" s="67">
        <f t="shared" si="4"/>
        <v>7611524</v>
      </c>
      <c r="Z20" s="130"/>
      <c r="AA20" s="68"/>
    </row>
    <row r="21" spans="1:27" s="27" customFormat="1">
      <c r="B21" s="53" t="s">
        <v>590</v>
      </c>
      <c r="C21" s="68">
        <f>C19/(C20*10^-6)</f>
        <v>123.78529691882254</v>
      </c>
      <c r="D21" s="68">
        <f t="shared" ref="D21:S21" si="12">D19/(D20*10^-6)</f>
        <v>132.40844480738002</v>
      </c>
      <c r="E21" s="68">
        <f t="shared" si="12"/>
        <v>143.2924267633683</v>
      </c>
      <c r="F21" s="68">
        <f t="shared" si="12"/>
        <v>155.28302396827783</v>
      </c>
      <c r="G21" s="68">
        <f t="shared" si="12"/>
        <v>162.59946459264432</v>
      </c>
      <c r="H21" s="68">
        <f t="shared" si="12"/>
        <v>163.05969767381609</v>
      </c>
      <c r="I21" s="68">
        <f t="shared" si="12"/>
        <v>161.59737712578979</v>
      </c>
      <c r="J21" s="68">
        <f t="shared" si="12"/>
        <v>146.95773586679172</v>
      </c>
      <c r="K21" s="68">
        <f t="shared" si="12"/>
        <v>130.02428334951762</v>
      </c>
      <c r="L21" s="68">
        <f t="shared" si="12"/>
        <v>121.89842438598062</v>
      </c>
      <c r="M21" s="68">
        <f t="shared" si="12"/>
        <v>115.5974868238953</v>
      </c>
      <c r="N21" s="68">
        <f t="shared" si="12"/>
        <v>116.21583286607918</v>
      </c>
      <c r="O21" s="68">
        <f t="shared" si="12"/>
        <v>119.20789803537879</v>
      </c>
      <c r="P21" s="68">
        <f t="shared" si="12"/>
        <v>135.24538233436755</v>
      </c>
      <c r="Q21" s="68">
        <f t="shared" si="12"/>
        <v>153.469026985021</v>
      </c>
      <c r="R21" s="68">
        <f t="shared" si="12"/>
        <v>161.9571507581</v>
      </c>
      <c r="S21" s="68">
        <f t="shared" si="12"/>
        <v>175.6792235631504</v>
      </c>
      <c r="T21" s="68">
        <f t="shared" ref="T21" si="13">T19/(T20*10^-6)</f>
        <v>181.88884215657399</v>
      </c>
      <c r="U21" s="68">
        <f t="shared" ref="U21" si="14">U19/(U20*10^-6)</f>
        <v>159.83484603709459</v>
      </c>
      <c r="V21" s="169">
        <f t="shared" si="10"/>
        <v>145.26325605326576</v>
      </c>
      <c r="W21" s="169">
        <f t="shared" si="11"/>
        <v>181.88884215657399</v>
      </c>
      <c r="X21" s="169">
        <f t="shared" si="3"/>
        <v>148.86081883572842</v>
      </c>
      <c r="Y21" s="169">
        <f t="shared" si="4"/>
        <v>163.05969767381609</v>
      </c>
      <c r="Z21" s="68">
        <f>AVERAGE(F21:I21)</f>
        <v>160.63489084013202</v>
      </c>
      <c r="AA21" s="68"/>
    </row>
    <row r="22" spans="1:27">
      <c r="B22" s="53" t="s">
        <v>593</v>
      </c>
      <c r="C22" s="67">
        <f>C13-C16-C19</f>
        <v>280.83394479331389</v>
      </c>
      <c r="D22" s="67">
        <f t="shared" ref="D22:R22" si="15">D13-D16-D19</f>
        <v>295.8844067798816</v>
      </c>
      <c r="E22" s="67">
        <f t="shared" si="15"/>
        <v>320.02304046212726</v>
      </c>
      <c r="F22" s="67">
        <f t="shared" si="15"/>
        <v>463.54211694497167</v>
      </c>
      <c r="G22" s="67">
        <f t="shared" si="15"/>
        <v>479.27020932715209</v>
      </c>
      <c r="H22" s="67">
        <f t="shared" si="15"/>
        <v>466.54589645804185</v>
      </c>
      <c r="I22" s="67">
        <f t="shared" si="15"/>
        <v>212.80932196584035</v>
      </c>
      <c r="J22" s="67">
        <f t="shared" si="15"/>
        <v>158.24887608583094</v>
      </c>
      <c r="K22" s="67">
        <f t="shared" si="15"/>
        <v>162.62381103115956</v>
      </c>
      <c r="L22" s="67">
        <f t="shared" si="15"/>
        <v>49.989011170000367</v>
      </c>
      <c r="M22" s="67">
        <f t="shared" si="15"/>
        <v>52.546456061151048</v>
      </c>
      <c r="N22" s="67">
        <f t="shared" si="15"/>
        <v>65.807396884987497</v>
      </c>
      <c r="O22" s="67">
        <f t="shared" si="15"/>
        <v>69.877470426434229</v>
      </c>
      <c r="P22" s="67">
        <f t="shared" si="15"/>
        <v>70.016718376434028</v>
      </c>
      <c r="Q22" s="67">
        <f t="shared" si="15"/>
        <v>75.142331006434461</v>
      </c>
      <c r="R22" s="67">
        <f t="shared" si="15"/>
        <v>43.058524956434212</v>
      </c>
      <c r="S22" s="67">
        <f>S13-S16-S19</f>
        <v>47.669994639999686</v>
      </c>
      <c r="T22" s="67">
        <f t="shared" ref="T22" si="16">T13-T16-T19</f>
        <v>45.922000000000253</v>
      </c>
      <c r="U22" s="67">
        <f>U13-U16-U19</f>
        <v>44.08400000000006</v>
      </c>
      <c r="V22" s="67">
        <f t="shared" si="1"/>
        <v>179.15239617737873</v>
      </c>
      <c r="W22" s="67">
        <f t="shared" si="2"/>
        <v>479.27020932715209</v>
      </c>
      <c r="X22" s="67">
        <f t="shared" si="3"/>
        <v>359.84413381876124</v>
      </c>
      <c r="Y22" s="67">
        <f t="shared" si="4"/>
        <v>479.27020932715209</v>
      </c>
      <c r="Z22" s="130"/>
    </row>
    <row r="23" spans="1:27">
      <c r="B23" s="53" t="s">
        <v>594</v>
      </c>
      <c r="C23" s="52">
        <f>C14-C17-C20</f>
        <v>3631012</v>
      </c>
      <c r="D23" s="52">
        <f t="shared" ref="D23:R23" si="17">D14-D17-D20</f>
        <v>3664271</v>
      </c>
      <c r="E23" s="52">
        <f t="shared" si="17"/>
        <v>3646565</v>
      </c>
      <c r="F23" s="52">
        <f t="shared" si="17"/>
        <v>3485394</v>
      </c>
      <c r="G23" s="52">
        <f t="shared" si="17"/>
        <v>3234025</v>
      </c>
      <c r="H23" s="52">
        <f t="shared" si="17"/>
        <v>2978486</v>
      </c>
      <c r="I23" s="52">
        <f t="shared" si="17"/>
        <v>2352793</v>
      </c>
      <c r="J23" s="52">
        <f t="shared" si="17"/>
        <v>1406295</v>
      </c>
      <c r="K23" s="52">
        <f t="shared" si="17"/>
        <v>1560218</v>
      </c>
      <c r="L23" s="52">
        <f t="shared" si="17"/>
        <v>594640</v>
      </c>
      <c r="M23" s="52">
        <f t="shared" si="17"/>
        <v>760703</v>
      </c>
      <c r="N23" s="52">
        <f t="shared" si="17"/>
        <v>795478</v>
      </c>
      <c r="O23" s="52">
        <f t="shared" si="17"/>
        <v>826790</v>
      </c>
      <c r="P23" s="52">
        <f t="shared" si="17"/>
        <v>775791</v>
      </c>
      <c r="Q23" s="52">
        <f t="shared" si="17"/>
        <v>782946</v>
      </c>
      <c r="R23" s="52">
        <f t="shared" si="17"/>
        <v>309889</v>
      </c>
      <c r="S23" s="52">
        <f>S14-S17-S20</f>
        <v>240900</v>
      </c>
      <c r="T23" s="52">
        <f t="shared" ref="T23" si="18">T14-T17-T20</f>
        <v>241487</v>
      </c>
      <c r="U23" s="52">
        <f>U14-U17-U20</f>
        <v>192870</v>
      </c>
      <c r="V23" s="67">
        <f t="shared" si="1"/>
        <v>1656871.2105263157</v>
      </c>
      <c r="W23" s="67">
        <f t="shared" si="2"/>
        <v>3664271</v>
      </c>
      <c r="X23" s="67">
        <f t="shared" si="3"/>
        <v>3284649.4285714286</v>
      </c>
      <c r="Y23" s="67">
        <f t="shared" si="4"/>
        <v>3664271</v>
      </c>
      <c r="Z23" s="130"/>
    </row>
    <row r="24" spans="1:27" s="27" customFormat="1">
      <c r="B24" s="194" t="s">
        <v>595</v>
      </c>
      <c r="C24" s="181">
        <f>C22/(C23*10^-6)</f>
        <v>77.34316074783392</v>
      </c>
      <c r="D24" s="181">
        <f t="shared" ref="D24:T24" si="19">D22/(D23*10^-6)</f>
        <v>80.748505440749767</v>
      </c>
      <c r="E24" s="181">
        <f t="shared" si="19"/>
        <v>87.760136035454536</v>
      </c>
      <c r="F24" s="181">
        <f t="shared" si="19"/>
        <v>132.99561454027054</v>
      </c>
      <c r="G24" s="181">
        <f t="shared" si="19"/>
        <v>148.1961980278916</v>
      </c>
      <c r="H24" s="181">
        <f t="shared" si="19"/>
        <v>156.63860647927905</v>
      </c>
      <c r="I24" s="181">
        <f t="shared" si="19"/>
        <v>90.449657902688585</v>
      </c>
      <c r="J24" s="181">
        <f t="shared" si="19"/>
        <v>112.52893317961805</v>
      </c>
      <c r="K24" s="181">
        <f t="shared" si="19"/>
        <v>104.23146703291435</v>
      </c>
      <c r="L24" s="181">
        <f t="shared" si="19"/>
        <v>84.066008290731148</v>
      </c>
      <c r="M24" s="181">
        <f t="shared" si="19"/>
        <v>69.076178299745166</v>
      </c>
      <c r="N24" s="181">
        <f t="shared" si="19"/>
        <v>82.726859680578841</v>
      </c>
      <c r="O24" s="181">
        <f t="shared" si="19"/>
        <v>84.516588766717348</v>
      </c>
      <c r="P24" s="181">
        <f t="shared" si="19"/>
        <v>90.252037438477672</v>
      </c>
      <c r="Q24" s="181">
        <f t="shared" si="19"/>
        <v>95.973836007124973</v>
      </c>
      <c r="R24" s="181">
        <f t="shared" si="19"/>
        <v>138.94822002857222</v>
      </c>
      <c r="S24" s="181">
        <f>S22/(S23*10^-6)</f>
        <v>197.88291672893189</v>
      </c>
      <c r="T24" s="181">
        <f t="shared" si="19"/>
        <v>190.16344565131976</v>
      </c>
      <c r="U24" s="181">
        <f>U22/(U23*10^-6)</f>
        <v>228.56846580598364</v>
      </c>
      <c r="V24" s="195">
        <f t="shared" si="1"/>
        <v>118.58246505709911</v>
      </c>
      <c r="W24" s="195">
        <f t="shared" si="2"/>
        <v>228.56846580598364</v>
      </c>
      <c r="X24" s="195">
        <f t="shared" si="3"/>
        <v>110.59026845345258</v>
      </c>
      <c r="Y24" s="195">
        <f t="shared" si="4"/>
        <v>156.63860647927905</v>
      </c>
      <c r="Z24" s="181">
        <f>AVERAGE(F24:I24)</f>
        <v>132.07001923753245</v>
      </c>
      <c r="AA24" s="68"/>
    </row>
    <row r="25" spans="1:27"/>
    <row r="26" spans="1:27"/>
    <row r="27" spans="1:27"/>
    <row r="28" spans="1:27"/>
    <row r="29" spans="1:27" s="27" customFormat="1">
      <c r="A29" s="10"/>
      <c r="B29" s="28" t="s">
        <v>147</v>
      </c>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737"/>
    </row>
    <row r="30" spans="1:27" s="18" customFormat="1" ht="13.8" thickBot="1">
      <c r="A30" s="70"/>
    </row>
    <row r="31" spans="1:27" ht="13.8" thickBot="1">
      <c r="B31" s="533" t="s">
        <v>646</v>
      </c>
      <c r="C31" s="534">
        <v>43983</v>
      </c>
      <c r="D31" s="534">
        <v>44013</v>
      </c>
      <c r="E31" s="534">
        <v>44044</v>
      </c>
      <c r="F31" s="534">
        <v>44075</v>
      </c>
      <c r="G31" s="534">
        <v>44105</v>
      </c>
      <c r="H31" s="534">
        <v>44136</v>
      </c>
      <c r="I31" s="534">
        <v>44166</v>
      </c>
      <c r="J31" s="534">
        <v>44197</v>
      </c>
      <c r="K31" s="534">
        <v>44228</v>
      </c>
      <c r="L31" s="534">
        <v>44256</v>
      </c>
      <c r="M31" s="534">
        <v>44287</v>
      </c>
      <c r="N31" s="534">
        <v>44317</v>
      </c>
      <c r="O31" s="534">
        <v>44348</v>
      </c>
      <c r="P31" s="534">
        <v>44378</v>
      </c>
      <c r="Q31" s="534">
        <v>44409</v>
      </c>
      <c r="R31" s="534">
        <v>44440</v>
      </c>
      <c r="U31" s="535" t="s">
        <v>646</v>
      </c>
      <c r="V31" s="536">
        <v>44470</v>
      </c>
      <c r="W31" s="536">
        <v>44501</v>
      </c>
      <c r="X31" s="537">
        <v>44531</v>
      </c>
    </row>
    <row r="32" spans="1:27" ht="13.8" thickBot="1">
      <c r="C32" s="74" t="s">
        <v>147</v>
      </c>
      <c r="D32" s="74" t="s">
        <v>147</v>
      </c>
      <c r="E32" s="74" t="s">
        <v>147</v>
      </c>
      <c r="F32" s="74" t="s">
        <v>147</v>
      </c>
      <c r="G32" s="74" t="s">
        <v>147</v>
      </c>
      <c r="H32" s="74" t="s">
        <v>147</v>
      </c>
      <c r="I32" s="74" t="s">
        <v>147</v>
      </c>
      <c r="J32" s="74" t="s">
        <v>147</v>
      </c>
      <c r="K32" s="74" t="s">
        <v>147</v>
      </c>
      <c r="L32" s="74" t="s">
        <v>147</v>
      </c>
      <c r="M32" s="74" t="s">
        <v>147</v>
      </c>
      <c r="N32" s="74" t="s">
        <v>147</v>
      </c>
      <c r="O32" s="74" t="s">
        <v>147</v>
      </c>
      <c r="P32" s="74" t="s">
        <v>147</v>
      </c>
      <c r="Q32" s="74" t="s">
        <v>147</v>
      </c>
      <c r="R32" s="74" t="s">
        <v>147</v>
      </c>
      <c r="U32" s="75"/>
      <c r="V32" s="74" t="s">
        <v>147</v>
      </c>
      <c r="W32" s="74" t="s">
        <v>147</v>
      </c>
      <c r="X32" s="76" t="s">
        <v>147</v>
      </c>
    </row>
    <row r="33" spans="1:27" ht="13.8" thickBot="1">
      <c r="A33" s="29"/>
      <c r="B33" s="637" t="s">
        <v>621</v>
      </c>
      <c r="C33" s="655">
        <v>22946050</v>
      </c>
      <c r="D33" s="655">
        <v>22921313</v>
      </c>
      <c r="E33" s="655">
        <v>22912419</v>
      </c>
      <c r="F33" s="655">
        <v>22822411</v>
      </c>
      <c r="G33" s="655">
        <v>22918650</v>
      </c>
      <c r="H33" s="655">
        <v>22929539</v>
      </c>
      <c r="I33" s="655">
        <v>22563513</v>
      </c>
      <c r="J33" s="655">
        <v>22375657</v>
      </c>
      <c r="K33" s="655">
        <v>22955286</v>
      </c>
      <c r="L33" s="655">
        <v>21911051</v>
      </c>
      <c r="M33" s="655">
        <v>22043704</v>
      </c>
      <c r="N33" s="655">
        <v>22037222</v>
      </c>
      <c r="O33" s="655">
        <v>22029582</v>
      </c>
      <c r="P33" s="655">
        <v>21965404</v>
      </c>
      <c r="Q33" s="655">
        <v>21962475</v>
      </c>
      <c r="R33" s="655">
        <v>22184017</v>
      </c>
      <c r="U33" s="79" t="s">
        <v>621</v>
      </c>
      <c r="V33" s="80">
        <v>22964312</v>
      </c>
      <c r="W33" s="80">
        <v>22933618</v>
      </c>
      <c r="X33" s="81">
        <v>22928934</v>
      </c>
    </row>
    <row r="34" spans="1:27">
      <c r="A34" s="29"/>
    </row>
    <row r="35" spans="1:27">
      <c r="B35" s="28" t="s">
        <v>60</v>
      </c>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7" ht="13.8" thickBot="1">
      <c r="A36" s="29"/>
    </row>
    <row r="37" spans="1:27" ht="13.8" thickBot="1">
      <c r="A37" s="29"/>
      <c r="B37" s="533" t="s">
        <v>646</v>
      </c>
      <c r="C37" s="534">
        <v>43983</v>
      </c>
      <c r="D37" s="534">
        <v>44013</v>
      </c>
      <c r="E37" s="534">
        <v>44044</v>
      </c>
      <c r="F37" s="534">
        <v>44075</v>
      </c>
      <c r="G37" s="534">
        <v>44105</v>
      </c>
      <c r="H37" s="534">
        <v>44136</v>
      </c>
      <c r="I37" s="534">
        <v>44166</v>
      </c>
      <c r="J37" s="534">
        <v>44197</v>
      </c>
      <c r="K37" s="534">
        <v>44228</v>
      </c>
      <c r="L37" s="534">
        <v>44256</v>
      </c>
      <c r="M37" s="534">
        <v>44287</v>
      </c>
      <c r="N37" s="534">
        <v>44317</v>
      </c>
      <c r="O37" s="534">
        <v>44348</v>
      </c>
      <c r="P37" s="534">
        <v>44378</v>
      </c>
      <c r="Q37" s="534">
        <v>44409</v>
      </c>
      <c r="R37" s="534">
        <v>44440</v>
      </c>
      <c r="U37" s="535" t="s">
        <v>646</v>
      </c>
      <c r="V37" s="536">
        <v>44470</v>
      </c>
      <c r="W37" s="536">
        <v>44501</v>
      </c>
      <c r="X37" s="537">
        <v>44531</v>
      </c>
    </row>
    <row r="38" spans="1:27">
      <c r="A38" s="29"/>
      <c r="B38" s="27"/>
      <c r="C38" s="74" t="s">
        <v>647</v>
      </c>
      <c r="D38" s="74" t="s">
        <v>647</v>
      </c>
      <c r="E38" s="74" t="s">
        <v>647</v>
      </c>
      <c r="F38" s="74" t="s">
        <v>647</v>
      </c>
      <c r="G38" s="74" t="s">
        <v>647</v>
      </c>
      <c r="H38" s="74" t="s">
        <v>647</v>
      </c>
      <c r="I38" s="74" t="s">
        <v>647</v>
      </c>
      <c r="J38" s="74" t="s">
        <v>647</v>
      </c>
      <c r="K38" s="74" t="s">
        <v>647</v>
      </c>
      <c r="L38" s="74" t="s">
        <v>647</v>
      </c>
      <c r="M38" s="74" t="s">
        <v>647</v>
      </c>
      <c r="N38" s="74" t="s">
        <v>647</v>
      </c>
      <c r="O38" s="74" t="s">
        <v>647</v>
      </c>
      <c r="P38" s="74" t="s">
        <v>647</v>
      </c>
      <c r="Q38" s="74" t="s">
        <v>647</v>
      </c>
      <c r="R38" s="74" t="s">
        <v>647</v>
      </c>
      <c r="U38" s="75"/>
      <c r="V38" s="10" t="s">
        <v>647</v>
      </c>
      <c r="W38" s="10" t="s">
        <v>647</v>
      </c>
      <c r="X38" s="78" t="s">
        <v>647</v>
      </c>
    </row>
    <row r="39" spans="1:27">
      <c r="A39" s="29"/>
      <c r="B39" s="10" t="s">
        <v>648</v>
      </c>
      <c r="C39" s="74">
        <v>2185.4610797933137</v>
      </c>
      <c r="D39" s="74">
        <v>2298.2924097098817</v>
      </c>
      <c r="E39" s="74">
        <v>2595.9245980221272</v>
      </c>
      <c r="F39" s="74">
        <v>2874.1940591449716</v>
      </c>
      <c r="G39" s="74">
        <v>3111.0568625671522</v>
      </c>
      <c r="H39" s="74">
        <v>3089.6082351080418</v>
      </c>
      <c r="I39" s="74">
        <v>2770.0102662958402</v>
      </c>
      <c r="J39" s="74">
        <v>2524.5645549958308</v>
      </c>
      <c r="K39" s="74">
        <v>2291.2701682681595</v>
      </c>
      <c r="L39" s="74">
        <v>2034.6531255800003</v>
      </c>
      <c r="M39" s="74">
        <v>1995.494140601151</v>
      </c>
      <c r="N39" s="74">
        <v>2070.7446465349876</v>
      </c>
      <c r="O39" s="74">
        <v>2136.6856692264341</v>
      </c>
      <c r="P39" s="74">
        <v>2353.3844129064341</v>
      </c>
      <c r="Q39" s="74">
        <v>2687.4533280764344</v>
      </c>
      <c r="R39" s="74">
        <v>2831.2477303264341</v>
      </c>
      <c r="U39" s="75" t="s">
        <v>648</v>
      </c>
      <c r="V39" s="74">
        <v>3119.4242200005992</v>
      </c>
      <c r="W39" s="74">
        <v>3246.1402133940001</v>
      </c>
      <c r="X39" s="76">
        <v>2802.1705265297533</v>
      </c>
    </row>
    <row r="40" spans="1:27">
      <c r="A40" s="29"/>
      <c r="B40" s="10" t="s">
        <v>649</v>
      </c>
      <c r="C40" s="26">
        <v>971.94799999999998</v>
      </c>
      <c r="D40" s="26">
        <v>1004</v>
      </c>
      <c r="E40" s="26">
        <v>1191.224457</v>
      </c>
      <c r="F40" s="26">
        <v>1229.25</v>
      </c>
      <c r="G40" s="26">
        <v>1395.646825</v>
      </c>
      <c r="H40" s="26">
        <v>1383.1986299999999</v>
      </c>
      <c r="I40" s="26">
        <v>1327.1986299999999</v>
      </c>
      <c r="J40" s="26">
        <v>1242.1986299999999</v>
      </c>
      <c r="K40" s="26">
        <v>1123.461258757</v>
      </c>
      <c r="L40" s="26">
        <v>1031.6282228999999</v>
      </c>
      <c r="M40" s="26">
        <v>1034.761</v>
      </c>
      <c r="N40" s="26">
        <v>1087.5720000000001</v>
      </c>
      <c r="O40" s="26">
        <v>1122.8029999999999</v>
      </c>
      <c r="P40" s="26">
        <v>1204.6236112000001</v>
      </c>
      <c r="Q40" s="26">
        <v>1383.155</v>
      </c>
      <c r="R40" s="26">
        <v>1483.9332082999999</v>
      </c>
      <c r="U40" s="75" t="s">
        <v>649</v>
      </c>
      <c r="V40" s="26">
        <v>1549.4542253605996</v>
      </c>
      <c r="W40" s="26">
        <v>1636.0092753939998</v>
      </c>
      <c r="X40" s="680">
        <v>1384.8574550597532</v>
      </c>
    </row>
    <row r="41" spans="1:27" ht="13.8" thickBot="1">
      <c r="A41" s="29"/>
      <c r="B41" s="10" t="s">
        <v>650</v>
      </c>
      <c r="C41" s="26">
        <v>932.67913499999997</v>
      </c>
      <c r="D41" s="26">
        <v>998.40800293000007</v>
      </c>
      <c r="E41" s="26">
        <v>1084.6771005599999</v>
      </c>
      <c r="F41" s="26">
        <v>1181.4019421999999</v>
      </c>
      <c r="G41" s="26">
        <v>1236.13982824</v>
      </c>
      <c r="H41" s="26">
        <v>1239.86370865</v>
      </c>
      <c r="I41" s="26">
        <v>1230.00231433</v>
      </c>
      <c r="J41" s="26">
        <v>1124.11704891</v>
      </c>
      <c r="K41" s="26">
        <v>1005.18509848</v>
      </c>
      <c r="L41" s="26">
        <v>953.03589151000006</v>
      </c>
      <c r="M41" s="26">
        <v>908.18668453999999</v>
      </c>
      <c r="N41" s="26">
        <v>917.36524965000001</v>
      </c>
      <c r="O41" s="26">
        <v>944.00519880000002</v>
      </c>
      <c r="P41" s="26">
        <v>1078.74408333</v>
      </c>
      <c r="Q41" s="26">
        <v>1229.15599707</v>
      </c>
      <c r="R41" s="26">
        <v>1304.2559970699999</v>
      </c>
      <c r="U41" s="77" t="s">
        <v>650</v>
      </c>
      <c r="V41" s="681">
        <v>1522.3</v>
      </c>
      <c r="W41" s="681">
        <v>1564.208938</v>
      </c>
      <c r="X41" s="656">
        <v>1373.22907147</v>
      </c>
    </row>
    <row r="42" spans="1:27">
      <c r="A42" s="29"/>
    </row>
    <row r="43" spans="1:27">
      <c r="A43" s="29"/>
      <c r="B43" s="14" t="s">
        <v>362</v>
      </c>
      <c r="C43" s="15"/>
      <c r="D43" s="15"/>
      <c r="E43" s="15"/>
      <c r="F43" s="16"/>
      <c r="G43" s="14"/>
      <c r="H43" s="15"/>
      <c r="I43" s="15"/>
      <c r="J43" s="15"/>
      <c r="K43" s="16"/>
      <c r="L43" s="14"/>
      <c r="M43" s="15"/>
      <c r="N43" s="15"/>
      <c r="O43" s="15"/>
      <c r="P43" s="15"/>
      <c r="Q43" s="15"/>
      <c r="R43" s="15"/>
      <c r="S43" s="15"/>
      <c r="T43" s="15"/>
      <c r="U43" s="14"/>
      <c r="V43" s="15"/>
      <c r="W43" s="15"/>
      <c r="X43" s="15"/>
      <c r="Y43" s="16"/>
      <c r="Z43" s="14"/>
      <c r="AA43" s="15"/>
    </row>
    <row r="44" spans="1:27">
      <c r="A44" s="29"/>
    </row>
    <row r="45" spans="1:27">
      <c r="A45" s="29"/>
    </row>
    <row r="46" spans="1:27" hidden="1">
      <c r="A46" s="29"/>
    </row>
    <row r="47" spans="1:27" hidden="1">
      <c r="A47" s="29"/>
    </row>
    <row r="48" spans="1:27" hidden="1">
      <c r="A48" s="29"/>
    </row>
    <row r="49" spans="1:1" hidden="1">
      <c r="A49" s="29"/>
    </row>
    <row r="50" spans="1:1" hidden="1">
      <c r="A50" s="29"/>
    </row>
    <row r="51" spans="1:1" hidden="1">
      <c r="A51" s="29"/>
    </row>
    <row r="52" spans="1:1" hidden="1">
      <c r="A52" s="29"/>
    </row>
    <row r="53" spans="1:1" hidden="1">
      <c r="A53" s="29"/>
    </row>
    <row r="54" spans="1:1" hidden="1">
      <c r="A54" s="29"/>
    </row>
    <row r="55" spans="1:1" hidden="1">
      <c r="A55" s="29"/>
    </row>
    <row r="56" spans="1:1" hidden="1">
      <c r="A56" s="29"/>
    </row>
    <row r="57" spans="1:1" hidden="1">
      <c r="A57" s="29"/>
    </row>
    <row r="58" spans="1:1" hidden="1">
      <c r="A58" s="29"/>
    </row>
    <row r="59" spans="1:1" hidden="1">
      <c r="A59" s="29"/>
    </row>
    <row r="60" spans="1:1" hidden="1">
      <c r="A60" s="29"/>
    </row>
    <row r="61" spans="1:1" hidden="1">
      <c r="A61" s="29"/>
    </row>
    <row r="62" spans="1:1" hidden="1">
      <c r="A62" s="29"/>
    </row>
    <row r="63" spans="1:1" hidden="1">
      <c r="A63" s="29"/>
    </row>
    <row r="64" spans="1:1" hidden="1">
      <c r="A64" s="29"/>
    </row>
    <row r="65" spans="1:1" hidden="1">
      <c r="A65" s="29"/>
    </row>
    <row r="66" spans="1:1" hidden="1">
      <c r="A66" s="29"/>
    </row>
    <row r="67" spans="1:1" hidden="1">
      <c r="A67" s="29"/>
    </row>
    <row r="68" spans="1:1" hidden="1">
      <c r="A68" s="29"/>
    </row>
    <row r="69" spans="1:1" hidden="1">
      <c r="A69" s="29"/>
    </row>
    <row r="70" spans="1:1" hidden="1">
      <c r="A70" s="29"/>
    </row>
    <row r="71" spans="1:1" hidden="1">
      <c r="A71" s="29"/>
    </row>
    <row r="72" spans="1:1" hidden="1">
      <c r="A72" s="29"/>
    </row>
    <row r="73" spans="1:1" hidden="1">
      <c r="A73" s="29"/>
    </row>
    <row r="74" spans="1:1" hidden="1">
      <c r="A74" s="29"/>
    </row>
    <row r="75" spans="1:1" hidden="1">
      <c r="A75" s="29"/>
    </row>
    <row r="76" spans="1:1" hidden="1">
      <c r="A76" s="29"/>
    </row>
    <row r="77" spans="1:1" hidden="1">
      <c r="A77" s="29"/>
    </row>
    <row r="78" spans="1:1" hidden="1">
      <c r="A78" s="29"/>
    </row>
    <row r="79" spans="1:1" hidden="1">
      <c r="A79" s="29"/>
    </row>
    <row r="80" spans="1:1" hidden="1">
      <c r="A80" s="29"/>
    </row>
    <row r="81" spans="1:1" hidden="1">
      <c r="A81" s="29"/>
    </row>
    <row r="82" spans="1:1" hidden="1">
      <c r="A82" s="29"/>
    </row>
    <row r="83" spans="1:1" hidden="1">
      <c r="A83" s="29"/>
    </row>
    <row r="84" spans="1:1" hidden="1">
      <c r="A84" s="29"/>
    </row>
    <row r="85" spans="1:1" hidden="1">
      <c r="A85" s="29"/>
    </row>
    <row r="86" spans="1:1" hidden="1">
      <c r="A86" s="29"/>
    </row>
    <row r="87" spans="1:1" hidden="1">
      <c r="A87" s="29"/>
    </row>
    <row r="88" spans="1:1" hidden="1">
      <c r="A88" s="29"/>
    </row>
    <row r="89" spans="1:1" hidden="1">
      <c r="A89" s="29"/>
    </row>
    <row r="90" spans="1:1" hidden="1">
      <c r="A90" s="29"/>
    </row>
    <row r="91" spans="1:1" hidden="1">
      <c r="A91" s="29"/>
    </row>
    <row r="92" spans="1:1" hidden="1">
      <c r="A92" s="29"/>
    </row>
    <row r="93" spans="1:1" hidden="1">
      <c r="A93" s="29"/>
    </row>
    <row r="94" spans="1:1" hidden="1">
      <c r="A94" s="29"/>
    </row>
    <row r="95" spans="1:1" hidden="1">
      <c r="A95" s="29"/>
    </row>
    <row r="96" spans="1:1" hidden="1">
      <c r="A96" s="29"/>
    </row>
    <row r="97" spans="1:1" hidden="1">
      <c r="A97" s="29"/>
    </row>
    <row r="98" spans="1:1" hidden="1">
      <c r="A98" s="29"/>
    </row>
    <row r="99" spans="1:1" hidden="1">
      <c r="A99" s="29"/>
    </row>
    <row r="100" spans="1:1" hidden="1">
      <c r="A100" s="29"/>
    </row>
    <row r="101" spans="1:1" hidden="1">
      <c r="A101" s="29"/>
    </row>
    <row r="102" spans="1:1" hidden="1">
      <c r="A102" s="29"/>
    </row>
    <row r="103" spans="1:1" hidden="1">
      <c r="A103" s="29"/>
    </row>
    <row r="104" spans="1:1" hidden="1">
      <c r="A104" s="29"/>
    </row>
    <row r="105" spans="1:1" hidden="1">
      <c r="A105" s="29"/>
    </row>
    <row r="106" spans="1:1" hidden="1">
      <c r="A106" s="29"/>
    </row>
    <row r="107" spans="1:1" hidden="1">
      <c r="A107" s="29"/>
    </row>
    <row r="108" spans="1:1" hidden="1">
      <c r="A108" s="29"/>
    </row>
    <row r="109" spans="1:1" hidden="1">
      <c r="A109" s="29"/>
    </row>
    <row r="110" spans="1:1" hidden="1">
      <c r="A110" s="29"/>
    </row>
    <row r="111" spans="1:1" hidden="1">
      <c r="A111" s="29"/>
    </row>
    <row r="112" spans="1:1" hidden="1">
      <c r="A112" s="29"/>
    </row>
    <row r="113" spans="1:1" hidden="1">
      <c r="A113" s="29"/>
    </row>
    <row r="114" spans="1:1" hidden="1">
      <c r="A114" s="29"/>
    </row>
    <row r="115" spans="1:1" hidden="1">
      <c r="A115" s="29"/>
    </row>
    <row r="116" spans="1:1" hidden="1">
      <c r="A116" s="29"/>
    </row>
    <row r="117" spans="1:1" hidden="1">
      <c r="A117" s="29"/>
    </row>
    <row r="118" spans="1:1" hidden="1">
      <c r="A118" s="29"/>
    </row>
    <row r="119" spans="1:1" hidden="1">
      <c r="A119" s="29"/>
    </row>
    <row r="120" spans="1:1" hidden="1">
      <c r="A120" s="29"/>
    </row>
    <row r="121" spans="1:1" hidden="1">
      <c r="A121" s="29"/>
    </row>
    <row r="122" spans="1:1" hidden="1">
      <c r="A122" s="29"/>
    </row>
    <row r="123" spans="1:1" hidden="1">
      <c r="A123" s="29"/>
    </row>
    <row r="124" spans="1:1" hidden="1">
      <c r="A124" s="29"/>
    </row>
    <row r="125" spans="1:1" hidden="1">
      <c r="A125" s="29"/>
    </row>
    <row r="126" spans="1:1" hidden="1">
      <c r="A126" s="29"/>
    </row>
    <row r="127" spans="1:1" hidden="1">
      <c r="A127" s="29"/>
    </row>
    <row r="128" spans="1:1" hidden="1">
      <c r="A128" s="29"/>
    </row>
    <row r="129" spans="1:1" hidden="1">
      <c r="A129" s="29"/>
    </row>
    <row r="130" spans="1:1" hidden="1">
      <c r="A130" s="29"/>
    </row>
    <row r="131" spans="1:1" hidden="1">
      <c r="A131" s="29"/>
    </row>
    <row r="132" spans="1:1" hidden="1">
      <c r="A132" s="29"/>
    </row>
    <row r="133" spans="1:1" hidden="1">
      <c r="A133" s="29"/>
    </row>
    <row r="134" spans="1:1" hidden="1">
      <c r="A134" s="29"/>
    </row>
    <row r="135" spans="1:1" hidden="1">
      <c r="A135" s="29"/>
    </row>
    <row r="136" spans="1:1" hidden="1">
      <c r="A136" s="29"/>
    </row>
    <row r="137" spans="1:1" hidden="1">
      <c r="A137" s="29"/>
    </row>
    <row r="138" spans="1:1" hidden="1">
      <c r="A138" s="29"/>
    </row>
    <row r="139" spans="1:1" hidden="1">
      <c r="A139" s="29"/>
    </row>
    <row r="140" spans="1:1" hidden="1">
      <c r="A140" s="29"/>
    </row>
    <row r="141" spans="1:1" hidden="1">
      <c r="A141" s="29"/>
    </row>
    <row r="142" spans="1:1" hidden="1">
      <c r="A142" s="29"/>
    </row>
    <row r="143" spans="1:1" hidden="1">
      <c r="A143" s="29"/>
    </row>
    <row r="144" spans="1:1" hidden="1">
      <c r="A144" s="29"/>
    </row>
    <row r="145" spans="1:667" hidden="1">
      <c r="A145" s="29"/>
    </row>
    <row r="146" spans="1:667" hidden="1">
      <c r="A146" s="29"/>
    </row>
    <row r="147" spans="1:667" hidden="1">
      <c r="A147" s="29"/>
    </row>
    <row r="148" spans="1:667" hidden="1">
      <c r="A148" s="29"/>
    </row>
    <row r="149" spans="1:667" hidden="1">
      <c r="Y149" s="74"/>
    </row>
    <row r="151" spans="1:667" s="69" customFormat="1" hidden="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c r="HX151" s="10"/>
      <c r="HY151" s="10"/>
      <c r="HZ151" s="10"/>
      <c r="IA151" s="10"/>
      <c r="IB151" s="10"/>
      <c r="IC151" s="10"/>
      <c r="ID151" s="10"/>
      <c r="IE151" s="10"/>
      <c r="IF151" s="10"/>
      <c r="IG151" s="10"/>
      <c r="IH151" s="10"/>
      <c r="II151" s="10"/>
      <c r="IJ151" s="10"/>
      <c r="IK151" s="10"/>
      <c r="IL151" s="10"/>
      <c r="IM151" s="10"/>
      <c r="IN151" s="10"/>
      <c r="IO151" s="10"/>
      <c r="IP151" s="10"/>
      <c r="IQ151" s="10"/>
      <c r="IR151" s="10"/>
      <c r="IS151" s="10"/>
      <c r="IT151" s="10"/>
      <c r="IU151" s="10"/>
      <c r="IV151" s="10"/>
      <c r="IW151" s="10"/>
      <c r="IX151" s="10"/>
      <c r="IY151" s="10"/>
      <c r="IZ151" s="10"/>
      <c r="JA151" s="10"/>
      <c r="JB151" s="10"/>
      <c r="JC151" s="10"/>
      <c r="JD151" s="10"/>
      <c r="JE151" s="10"/>
      <c r="JF151" s="10"/>
      <c r="JG151" s="10"/>
      <c r="JH151" s="10"/>
      <c r="JI151" s="10"/>
      <c r="JJ151" s="10"/>
      <c r="JK151" s="10"/>
      <c r="JL151" s="10"/>
      <c r="JM151" s="10"/>
      <c r="JN151" s="10"/>
      <c r="JO151" s="10"/>
      <c r="JP151" s="10"/>
      <c r="JQ151" s="10"/>
      <c r="JR151" s="10"/>
      <c r="JS151" s="10"/>
      <c r="JT151" s="10"/>
      <c r="JU151" s="10"/>
      <c r="JV151" s="10"/>
      <c r="JW151" s="10"/>
      <c r="JX151" s="10"/>
      <c r="JY151" s="10"/>
      <c r="JZ151" s="10"/>
      <c r="KA151" s="10"/>
      <c r="KB151" s="10"/>
      <c r="KC151" s="10"/>
      <c r="KD151" s="10"/>
      <c r="KE151" s="10"/>
      <c r="KF151" s="10"/>
      <c r="KG151" s="10"/>
      <c r="KH151" s="10"/>
      <c r="KI151" s="10"/>
      <c r="KJ151" s="10"/>
      <c r="KK151" s="10"/>
      <c r="KL151" s="10"/>
      <c r="KM151" s="10"/>
      <c r="KN151" s="10"/>
      <c r="KO151" s="10"/>
      <c r="KP151" s="10"/>
      <c r="KQ151" s="10"/>
      <c r="KR151" s="10"/>
      <c r="KS151" s="10"/>
      <c r="KT151" s="10"/>
      <c r="KU151" s="10"/>
      <c r="KV151" s="10"/>
      <c r="KW151" s="10"/>
      <c r="KX151" s="10"/>
      <c r="KY151" s="10"/>
      <c r="KZ151" s="10"/>
      <c r="LA151" s="10"/>
      <c r="LB151" s="10"/>
      <c r="LC151" s="10"/>
      <c r="LD151" s="10"/>
      <c r="LE151" s="10"/>
      <c r="LF151" s="10"/>
      <c r="LG151" s="10"/>
      <c r="LH151" s="10"/>
      <c r="LI151" s="10"/>
      <c r="LJ151" s="10"/>
      <c r="LK151" s="10"/>
      <c r="LL151" s="10"/>
      <c r="LM151" s="10"/>
      <c r="LN151" s="10"/>
      <c r="LO151" s="10"/>
      <c r="LP151" s="10"/>
      <c r="LQ151" s="10"/>
      <c r="LR151" s="10"/>
      <c r="LS151" s="10"/>
      <c r="LT151" s="10"/>
      <c r="LU151" s="10"/>
      <c r="LV151" s="10"/>
      <c r="LW151" s="10"/>
      <c r="LX151" s="10"/>
      <c r="LY151" s="10"/>
      <c r="LZ151" s="10"/>
      <c r="MA151" s="10"/>
      <c r="MB151" s="10"/>
      <c r="MC151" s="10"/>
      <c r="MD151" s="10"/>
      <c r="ME151" s="10"/>
      <c r="MF151" s="10"/>
      <c r="MG151" s="10"/>
      <c r="MH151" s="10"/>
      <c r="MI151" s="10"/>
      <c r="MJ151" s="10"/>
      <c r="MK151" s="10"/>
      <c r="ML151" s="10"/>
      <c r="MM151" s="10"/>
      <c r="MN151" s="10"/>
      <c r="MO151" s="10"/>
      <c r="MP151" s="10"/>
      <c r="MQ151" s="10"/>
      <c r="MR151" s="10"/>
      <c r="MS151" s="10"/>
      <c r="MT151" s="10"/>
      <c r="MU151" s="10"/>
      <c r="MV151" s="10"/>
      <c r="MW151" s="10"/>
      <c r="MX151" s="10"/>
      <c r="MY151" s="10"/>
      <c r="MZ151" s="10"/>
      <c r="NA151" s="10"/>
      <c r="NB151" s="10"/>
      <c r="NC151" s="10"/>
      <c r="ND151" s="10"/>
      <c r="NE151" s="10"/>
      <c r="NF151" s="10"/>
      <c r="NG151" s="10"/>
      <c r="NH151" s="10"/>
      <c r="NI151" s="10"/>
      <c r="NJ151" s="10"/>
      <c r="NK151" s="10"/>
      <c r="NL151" s="10"/>
      <c r="NM151" s="10"/>
      <c r="NN151" s="10"/>
      <c r="NO151" s="10"/>
      <c r="NP151" s="10"/>
      <c r="NQ151" s="10"/>
      <c r="NR151" s="10"/>
      <c r="NS151" s="10"/>
      <c r="NT151" s="10"/>
      <c r="NU151" s="10"/>
      <c r="NV151" s="10"/>
      <c r="NW151" s="10"/>
      <c r="NX151" s="10"/>
      <c r="NY151" s="10"/>
      <c r="NZ151" s="10"/>
      <c r="OA151" s="10"/>
      <c r="OB151" s="10"/>
      <c r="OC151" s="10"/>
      <c r="OD151" s="10"/>
      <c r="OE151" s="10"/>
      <c r="OF151" s="10"/>
      <c r="OG151" s="10"/>
      <c r="OH151" s="10"/>
      <c r="OI151" s="10"/>
      <c r="OJ151" s="10"/>
      <c r="OK151" s="10"/>
      <c r="OL151" s="10"/>
      <c r="OM151" s="10"/>
      <c r="ON151" s="10"/>
      <c r="OO151" s="10"/>
      <c r="OP151" s="10"/>
      <c r="OQ151" s="10"/>
      <c r="OR151" s="10"/>
      <c r="OS151" s="10"/>
      <c r="OT151" s="10"/>
      <c r="OU151" s="10"/>
      <c r="OV151" s="10"/>
      <c r="OW151" s="10"/>
      <c r="OX151" s="10"/>
      <c r="OY151" s="10"/>
      <c r="OZ151" s="10"/>
      <c r="PA151" s="10"/>
      <c r="PB151" s="10"/>
      <c r="PC151" s="10"/>
      <c r="PD151" s="10"/>
      <c r="PE151" s="10"/>
      <c r="PF151" s="10"/>
      <c r="PG151" s="10"/>
      <c r="PH151" s="10"/>
      <c r="PI151" s="10"/>
      <c r="PJ151" s="10"/>
      <c r="PK151" s="10"/>
      <c r="PL151" s="10"/>
      <c r="PM151" s="10"/>
      <c r="PN151" s="10"/>
      <c r="PO151" s="10"/>
      <c r="PP151" s="10"/>
      <c r="PQ151" s="10"/>
      <c r="PR151" s="10"/>
      <c r="PS151" s="10"/>
      <c r="PT151" s="10"/>
      <c r="PU151" s="10"/>
      <c r="PV151" s="10"/>
      <c r="PW151" s="10"/>
      <c r="PX151" s="10"/>
      <c r="PY151" s="10"/>
      <c r="PZ151" s="10"/>
      <c r="QA151" s="10"/>
      <c r="QB151" s="10"/>
      <c r="QC151" s="10"/>
      <c r="QD151" s="10"/>
      <c r="QE151" s="10"/>
      <c r="QF151" s="10"/>
      <c r="QG151" s="10"/>
      <c r="QH151" s="10"/>
      <c r="QI151" s="10"/>
      <c r="QJ151" s="10"/>
      <c r="QK151" s="10"/>
      <c r="QL151" s="10"/>
      <c r="QM151" s="10"/>
      <c r="QN151" s="10"/>
      <c r="QO151" s="10"/>
      <c r="QP151" s="10"/>
      <c r="QQ151" s="10"/>
      <c r="QR151" s="10"/>
      <c r="QS151" s="10"/>
      <c r="QT151" s="10"/>
      <c r="QU151" s="10"/>
      <c r="QV151" s="10"/>
      <c r="QW151" s="10"/>
      <c r="QX151" s="10"/>
      <c r="QY151" s="10"/>
      <c r="QZ151" s="10"/>
      <c r="RA151" s="10"/>
      <c r="RB151" s="10"/>
      <c r="RC151" s="10"/>
      <c r="RD151" s="10"/>
      <c r="RE151" s="10"/>
      <c r="RF151" s="10"/>
      <c r="RG151" s="10"/>
      <c r="RH151" s="10"/>
      <c r="RI151" s="10"/>
      <c r="RJ151" s="10"/>
      <c r="RK151" s="10"/>
      <c r="RL151" s="10"/>
      <c r="RM151" s="10"/>
      <c r="RN151" s="10"/>
      <c r="RO151" s="10"/>
      <c r="RP151" s="10"/>
      <c r="RQ151" s="10"/>
      <c r="RR151" s="10"/>
      <c r="RS151" s="10"/>
      <c r="RT151" s="10"/>
      <c r="RU151" s="10"/>
      <c r="RV151" s="10"/>
      <c r="RW151" s="10"/>
      <c r="RX151" s="10"/>
      <c r="RY151" s="10"/>
      <c r="RZ151" s="10"/>
      <c r="SA151" s="10"/>
      <c r="SB151" s="10"/>
      <c r="SC151" s="10"/>
      <c r="SD151" s="10"/>
      <c r="SE151" s="10"/>
      <c r="SF151" s="10"/>
      <c r="SG151" s="10"/>
      <c r="SH151" s="10"/>
      <c r="SI151" s="10"/>
      <c r="SJ151" s="10"/>
      <c r="SK151" s="10"/>
      <c r="SL151" s="10"/>
      <c r="SM151" s="10"/>
      <c r="SN151" s="10"/>
      <c r="SO151" s="10"/>
      <c r="SP151" s="10"/>
      <c r="SQ151" s="10"/>
      <c r="SR151" s="10"/>
      <c r="SS151" s="10"/>
      <c r="ST151" s="10"/>
      <c r="SU151" s="10"/>
      <c r="SV151" s="10"/>
      <c r="SW151" s="10"/>
      <c r="SX151" s="10"/>
      <c r="SY151" s="10"/>
      <c r="SZ151" s="10"/>
      <c r="TA151" s="10"/>
      <c r="TB151" s="10"/>
      <c r="TC151" s="10"/>
      <c r="TD151" s="10"/>
      <c r="TE151" s="10"/>
      <c r="TF151" s="10"/>
      <c r="TG151" s="10"/>
      <c r="TH151" s="10"/>
      <c r="TI151" s="10"/>
      <c r="TJ151" s="10"/>
      <c r="TK151" s="10"/>
      <c r="TL151" s="10"/>
      <c r="TM151" s="10"/>
      <c r="TN151" s="10"/>
      <c r="TO151" s="10"/>
      <c r="TP151" s="10"/>
      <c r="TQ151" s="10"/>
      <c r="TR151" s="10"/>
      <c r="TS151" s="10"/>
      <c r="TT151" s="10"/>
      <c r="TU151" s="10"/>
      <c r="TV151" s="10"/>
      <c r="TW151" s="10"/>
      <c r="TX151" s="10"/>
      <c r="TY151" s="10"/>
      <c r="TZ151" s="10"/>
      <c r="UA151" s="10"/>
      <c r="UB151" s="10"/>
      <c r="UC151" s="10"/>
      <c r="UD151" s="10"/>
      <c r="UE151" s="10"/>
      <c r="UF151" s="10"/>
      <c r="UG151" s="10"/>
      <c r="UH151" s="10"/>
      <c r="UI151" s="10"/>
      <c r="UJ151" s="10"/>
      <c r="UK151" s="10"/>
      <c r="UL151" s="10"/>
      <c r="UM151" s="10"/>
      <c r="UN151" s="10"/>
      <c r="UO151" s="10"/>
      <c r="UP151" s="10"/>
      <c r="UQ151" s="10"/>
      <c r="UR151" s="10"/>
      <c r="US151" s="10"/>
      <c r="UT151" s="10"/>
      <c r="UU151" s="10"/>
      <c r="UV151" s="10"/>
      <c r="UW151" s="10"/>
      <c r="UX151" s="10"/>
      <c r="UY151" s="10"/>
      <c r="UZ151" s="10"/>
      <c r="VA151" s="10"/>
      <c r="VB151" s="10"/>
      <c r="VC151" s="10"/>
      <c r="VD151" s="10"/>
      <c r="VE151" s="10"/>
      <c r="VF151" s="10"/>
      <c r="VG151" s="10"/>
      <c r="VH151" s="10"/>
      <c r="VI151" s="10"/>
      <c r="VJ151" s="10"/>
      <c r="VK151" s="10"/>
      <c r="VL151" s="10"/>
      <c r="VM151" s="10"/>
      <c r="VN151" s="10"/>
      <c r="VO151" s="10"/>
      <c r="VP151" s="10"/>
      <c r="VQ151" s="10"/>
      <c r="VR151" s="10"/>
      <c r="VS151" s="10"/>
      <c r="VT151" s="10"/>
      <c r="VU151" s="10"/>
      <c r="VV151" s="10"/>
      <c r="VW151" s="10"/>
      <c r="VX151" s="10"/>
      <c r="VY151" s="10"/>
      <c r="VZ151" s="10"/>
      <c r="WA151" s="10"/>
      <c r="WB151" s="10"/>
      <c r="WC151" s="10"/>
      <c r="WD151" s="10"/>
      <c r="WE151" s="10"/>
      <c r="WF151" s="10"/>
      <c r="WG151" s="10"/>
      <c r="WH151" s="10"/>
      <c r="WI151" s="10"/>
      <c r="WJ151" s="10"/>
      <c r="WK151" s="10"/>
      <c r="WL151" s="10"/>
      <c r="WM151" s="10"/>
      <c r="WN151" s="10"/>
      <c r="WO151" s="10"/>
      <c r="WP151" s="10"/>
      <c r="WQ151" s="10"/>
      <c r="WR151" s="10"/>
      <c r="WS151" s="10"/>
      <c r="WT151" s="10"/>
      <c r="WU151" s="10"/>
      <c r="WV151" s="10"/>
      <c r="WW151" s="10"/>
      <c r="WX151" s="10"/>
      <c r="WY151" s="10"/>
      <c r="WZ151" s="10"/>
      <c r="XA151" s="10"/>
      <c r="XB151" s="10"/>
      <c r="XC151" s="10"/>
      <c r="XD151" s="10"/>
      <c r="XE151" s="10"/>
      <c r="XF151" s="10"/>
      <c r="XG151" s="10"/>
      <c r="XH151" s="10"/>
      <c r="XI151" s="10"/>
      <c r="XJ151" s="10"/>
      <c r="XK151" s="10"/>
      <c r="XL151" s="10"/>
      <c r="XM151" s="10"/>
      <c r="XN151" s="10"/>
      <c r="XO151" s="10"/>
      <c r="XP151" s="10"/>
      <c r="XQ151" s="10"/>
      <c r="XR151" s="10"/>
      <c r="XS151" s="10"/>
      <c r="XT151" s="10"/>
      <c r="XU151" s="10"/>
      <c r="XV151" s="10"/>
      <c r="XW151" s="10"/>
      <c r="XX151" s="10"/>
      <c r="XY151" s="10"/>
      <c r="XZ151" s="10"/>
      <c r="YA151" s="10"/>
      <c r="YB151" s="10"/>
      <c r="YC151" s="10"/>
      <c r="YD151" s="10"/>
      <c r="YE151" s="10"/>
      <c r="YF151" s="10"/>
      <c r="YG151" s="10"/>
      <c r="YH151" s="10"/>
      <c r="YI151" s="10"/>
      <c r="YJ151" s="10"/>
      <c r="YK151" s="10"/>
      <c r="YL151" s="10"/>
      <c r="YM151" s="10"/>
      <c r="YN151" s="10"/>
      <c r="YO151" s="10"/>
      <c r="YP151" s="10"/>
      <c r="YQ151" s="10"/>
    </row>
    <row r="155" spans="1:667" hidden="1">
      <c r="A155" s="29"/>
    </row>
    <row r="156" spans="1:667" hidden="1">
      <c r="A156" s="29"/>
    </row>
    <row r="157" spans="1:667" hidden="1">
      <c r="A157" s="29"/>
    </row>
    <row r="158" spans="1:667" hidden="1">
      <c r="A158" s="29"/>
    </row>
    <row r="159" spans="1:667" hidden="1">
      <c r="A159" s="29"/>
    </row>
    <row r="160" spans="1:667" hidden="1">
      <c r="A160" s="29"/>
    </row>
    <row r="161" spans="1:1" hidden="1">
      <c r="A161" s="29"/>
    </row>
    <row r="162" spans="1:1" hidden="1">
      <c r="A162" s="29"/>
    </row>
    <row r="163" spans="1:1" hidden="1">
      <c r="A163" s="29"/>
    </row>
    <row r="164" spans="1:1" hidden="1">
      <c r="A164" s="29"/>
    </row>
    <row r="165" spans="1:1" hidden="1">
      <c r="A165" s="29"/>
    </row>
    <row r="166" spans="1:1" hidden="1">
      <c r="A166" s="29"/>
    </row>
    <row r="167" spans="1:1" hidden="1">
      <c r="A167" s="29"/>
    </row>
    <row r="168" spans="1:1" hidden="1">
      <c r="A168" s="29"/>
    </row>
    <row r="169" spans="1:1" hidden="1">
      <c r="A169" s="29"/>
    </row>
    <row r="170" spans="1:1" hidden="1">
      <c r="A170" s="29"/>
    </row>
    <row r="171" spans="1:1" hidden="1">
      <c r="A171" s="29"/>
    </row>
    <row r="172" spans="1:1" hidden="1">
      <c r="A172" s="29"/>
    </row>
    <row r="173" spans="1:1" hidden="1">
      <c r="A173" s="29"/>
    </row>
    <row r="174" spans="1:1" hidden="1">
      <c r="A174" s="29"/>
    </row>
    <row r="175" spans="1:1" hidden="1">
      <c r="A175" s="29"/>
    </row>
    <row r="176" spans="1:1" hidden="1">
      <c r="A176" s="29"/>
    </row>
    <row r="177" spans="1:1" hidden="1">
      <c r="A177" s="29"/>
    </row>
    <row r="178" spans="1:1" hidden="1">
      <c r="A178" s="29"/>
    </row>
    <row r="179" spans="1:1" hidden="1">
      <c r="A179" s="29"/>
    </row>
    <row r="180" spans="1:1" hidden="1">
      <c r="A180" s="29"/>
    </row>
    <row r="181" spans="1:1" hidden="1">
      <c r="A181" s="29"/>
    </row>
    <row r="182" spans="1:1" hidden="1">
      <c r="A182" s="29"/>
    </row>
    <row r="183" spans="1:1" hidden="1">
      <c r="A183" s="29"/>
    </row>
    <row r="184" spans="1:1" hidden="1">
      <c r="A184" s="29"/>
    </row>
    <row r="185" spans="1:1" hidden="1">
      <c r="A185" s="29"/>
    </row>
    <row r="186" spans="1:1" hidden="1">
      <c r="A186" s="29"/>
    </row>
    <row r="187" spans="1:1" hidden="1">
      <c r="A187" s="29"/>
    </row>
    <row r="188" spans="1:1" hidden="1">
      <c r="A188" s="29"/>
    </row>
    <row r="189" spans="1:1" hidden="1">
      <c r="A189" s="29"/>
    </row>
    <row r="190" spans="1:1" hidden="1">
      <c r="A190" s="29"/>
    </row>
    <row r="191" spans="1:1" hidden="1">
      <c r="A191" s="29"/>
    </row>
    <row r="192" spans="1:1" hidden="1">
      <c r="A192" s="29"/>
    </row>
    <row r="193" spans="1:1" hidden="1">
      <c r="A193" s="29"/>
    </row>
    <row r="194" spans="1:1" hidden="1">
      <c r="A194" s="29"/>
    </row>
    <row r="195" spans="1:1" hidden="1">
      <c r="A195" s="29"/>
    </row>
    <row r="196" spans="1:1" hidden="1">
      <c r="A196" s="29"/>
    </row>
    <row r="197" spans="1:1" hidden="1">
      <c r="A197" s="29"/>
    </row>
    <row r="198" spans="1:1" hidden="1">
      <c r="A198" s="29"/>
    </row>
    <row r="199" spans="1:1" hidden="1">
      <c r="A199" s="29"/>
    </row>
    <row r="200" spans="1:1" hidden="1">
      <c r="A200" s="29"/>
    </row>
    <row r="201" spans="1:1" hidden="1">
      <c r="A201" s="29"/>
    </row>
    <row r="202" spans="1:1" hidden="1">
      <c r="A202" s="29"/>
    </row>
    <row r="203" spans="1:1" hidden="1">
      <c r="A203" s="29"/>
    </row>
    <row r="204" spans="1:1" hidden="1">
      <c r="A204" s="29"/>
    </row>
    <row r="205" spans="1:1" hidden="1">
      <c r="A205" s="29"/>
    </row>
    <row r="206" spans="1:1" hidden="1">
      <c r="A206" s="29"/>
    </row>
    <row r="207" spans="1:1" hidden="1">
      <c r="A207" s="29"/>
    </row>
    <row r="208" spans="1:1" hidden="1">
      <c r="A208" s="29"/>
    </row>
    <row r="209" spans="1:1" hidden="1">
      <c r="A209" s="29"/>
    </row>
    <row r="210" spans="1:1" hidden="1">
      <c r="A210" s="29"/>
    </row>
    <row r="211" spans="1:1" hidden="1">
      <c r="A211" s="29"/>
    </row>
    <row r="212" spans="1:1" hidden="1">
      <c r="A212" s="29"/>
    </row>
    <row r="213" spans="1:1" hidden="1">
      <c r="A213" s="29"/>
    </row>
    <row r="214" spans="1:1" hidden="1">
      <c r="A214" s="29"/>
    </row>
    <row r="215" spans="1:1" hidden="1">
      <c r="A215" s="29"/>
    </row>
    <row r="216" spans="1:1" hidden="1">
      <c r="A216" s="29"/>
    </row>
    <row r="217" spans="1:1" hidden="1">
      <c r="A217" s="29"/>
    </row>
    <row r="218" spans="1:1" hidden="1">
      <c r="A218" s="29"/>
    </row>
    <row r="219" spans="1:1" hidden="1">
      <c r="A219" s="29"/>
    </row>
    <row r="220" spans="1:1" hidden="1">
      <c r="A220" s="29"/>
    </row>
    <row r="221" spans="1:1" hidden="1">
      <c r="A221" s="29"/>
    </row>
    <row r="222" spans="1:1" hidden="1">
      <c r="A222" s="29"/>
    </row>
    <row r="223" spans="1:1" hidden="1">
      <c r="A223" s="29"/>
    </row>
    <row r="224" spans="1:1" hidden="1">
      <c r="A224" s="29"/>
    </row>
    <row r="225" spans="1:1" hidden="1">
      <c r="A225" s="29"/>
    </row>
    <row r="226" spans="1:1" hidden="1">
      <c r="A226" s="29"/>
    </row>
    <row r="227" spans="1:1" hidden="1">
      <c r="A227" s="29"/>
    </row>
    <row r="228" spans="1:1" hidden="1">
      <c r="A228" s="29"/>
    </row>
    <row r="229" spans="1:1" hidden="1">
      <c r="A229" s="29"/>
    </row>
    <row r="230" spans="1:1" hidden="1">
      <c r="A230" s="29"/>
    </row>
    <row r="231" spans="1:1" hidden="1">
      <c r="A231" s="29"/>
    </row>
    <row r="232" spans="1:1" hidden="1">
      <c r="A232" s="29"/>
    </row>
    <row r="233" spans="1:1" hidden="1">
      <c r="A233" s="29"/>
    </row>
    <row r="234" spans="1:1" hidden="1">
      <c r="A234" s="29"/>
    </row>
    <row r="235" spans="1:1" hidden="1">
      <c r="A235" s="29"/>
    </row>
    <row r="236" spans="1:1" hidden="1">
      <c r="A236" s="29"/>
    </row>
    <row r="237" spans="1:1" hidden="1">
      <c r="A237" s="29"/>
    </row>
    <row r="238" spans="1:1" hidden="1">
      <c r="A238" s="29"/>
    </row>
    <row r="239" spans="1:1" hidden="1">
      <c r="A239" s="29"/>
    </row>
    <row r="240" spans="1:1" hidden="1">
      <c r="A240" s="29"/>
    </row>
    <row r="241" spans="1:1" hidden="1">
      <c r="A241" s="29"/>
    </row>
    <row r="242" spans="1:1" hidden="1">
      <c r="A242" s="29"/>
    </row>
    <row r="243" spans="1:1" hidden="1">
      <c r="A243" s="29"/>
    </row>
    <row r="244" spans="1:1" hidden="1">
      <c r="A244" s="29"/>
    </row>
    <row r="245" spans="1:1" hidden="1">
      <c r="A245" s="29"/>
    </row>
    <row r="246" spans="1:1" hidden="1">
      <c r="A246" s="29"/>
    </row>
    <row r="247" spans="1:1" hidden="1">
      <c r="A247" s="29"/>
    </row>
    <row r="248" spans="1:1" hidden="1">
      <c r="A248" s="29"/>
    </row>
    <row r="249" spans="1:1" hidden="1">
      <c r="A249" s="29"/>
    </row>
    <row r="250" spans="1:1" hidden="1">
      <c r="A250" s="29"/>
    </row>
    <row r="251" spans="1:1" hidden="1">
      <c r="A251" s="29"/>
    </row>
    <row r="252" spans="1:1" hidden="1">
      <c r="A252" s="29"/>
    </row>
    <row r="253" spans="1:1" hidden="1">
      <c r="A253" s="29"/>
    </row>
    <row r="254" spans="1:1" hidden="1">
      <c r="A254" s="29"/>
    </row>
    <row r="255" spans="1:1" hidden="1">
      <c r="A255" s="29"/>
    </row>
    <row r="256" spans="1:1" hidden="1">
      <c r="A256" s="29"/>
    </row>
    <row r="257" spans="1:1" hidden="1">
      <c r="A257" s="29"/>
    </row>
    <row r="258" spans="1:1" hidden="1">
      <c r="A258" s="29"/>
    </row>
    <row r="259" spans="1:1" hidden="1">
      <c r="A259" s="29"/>
    </row>
    <row r="260" spans="1:1" hidden="1">
      <c r="A260" s="29"/>
    </row>
    <row r="261" spans="1:1" hidden="1">
      <c r="A261" s="29"/>
    </row>
    <row r="262" spans="1:1" hidden="1">
      <c r="A262" s="29"/>
    </row>
    <row r="263" spans="1:1" hidden="1">
      <c r="A263" s="29"/>
    </row>
    <row r="264" spans="1:1" hidden="1">
      <c r="A264" s="29"/>
    </row>
    <row r="265" spans="1:1" hidden="1">
      <c r="A265" s="29"/>
    </row>
    <row r="266" spans="1:1" hidden="1">
      <c r="A266" s="29"/>
    </row>
    <row r="267" spans="1:1" hidden="1">
      <c r="A267" s="29"/>
    </row>
    <row r="268" spans="1:1" hidden="1">
      <c r="A268" s="29"/>
    </row>
    <row r="269" spans="1:1" hidden="1">
      <c r="A269" s="29"/>
    </row>
    <row r="270" spans="1:1" hidden="1">
      <c r="A270" s="29"/>
    </row>
    <row r="275" spans="19:27" hidden="1">
      <c r="S275" s="15"/>
      <c r="T275" s="15"/>
      <c r="Y275" s="15"/>
      <c r="Z275" s="15"/>
      <c r="AA275" s="15"/>
    </row>
  </sheetData>
  <mergeCells count="1">
    <mergeCell ref="B7:F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AFB11-DF1E-4681-BDDD-7DE042C72E66}">
  <sheetPr codeName="Sheet36">
    <tabColor theme="5"/>
  </sheetPr>
  <dimension ref="A1:AF274"/>
  <sheetViews>
    <sheetView showGridLines="0" zoomScale="70" zoomScaleNormal="70" workbookViewId="0"/>
  </sheetViews>
  <sheetFormatPr defaultColWidth="0" defaultRowHeight="0" customHeight="1" zeroHeight="1"/>
  <cols>
    <col min="1" max="1" width="5.33203125" style="10" bestFit="1" customWidth="1"/>
    <col min="2" max="2" width="45" style="10" bestFit="1" customWidth="1"/>
    <col min="3" max="3" width="50.5546875" style="10" bestFit="1" customWidth="1"/>
    <col min="4" max="4" width="43.33203125" style="10" bestFit="1" customWidth="1"/>
    <col min="5" max="18" width="41" style="10" bestFit="1" customWidth="1"/>
    <col min="19" max="20" width="11" style="10" bestFit="1" customWidth="1"/>
    <col min="21" max="21" width="46.44140625" style="10" customWidth="1"/>
    <col min="22" max="25" width="41" style="10" bestFit="1" customWidth="1"/>
    <col min="26" max="26" width="26.6640625" style="10" bestFit="1" customWidth="1"/>
    <col min="27" max="27" width="14.6640625" style="10" bestFit="1" customWidth="1"/>
    <col min="28" max="28" width="21.6640625" style="10" customWidth="1"/>
    <col min="29" max="29" width="34" style="10" hidden="1" customWidth="1"/>
    <col min="30" max="31" width="0" style="10" hidden="1" customWidth="1"/>
    <col min="32" max="32" width="45.33203125" style="10" hidden="1" customWidth="1"/>
    <col min="33" max="16384" width="8.6640625" style="10" hidden="1"/>
  </cols>
  <sheetData>
    <row r="1" spans="1:27" ht="21">
      <c r="A1" s="43" t="s">
        <v>62</v>
      </c>
      <c r="B1" s="618"/>
    </row>
    <row r="2" spans="1:27" ht="13.2">
      <c r="B2" s="66"/>
    </row>
    <row r="3" spans="1:27" ht="13.2">
      <c r="B3" s="28" t="s">
        <v>566</v>
      </c>
      <c r="C3" s="24"/>
      <c r="D3" s="24"/>
      <c r="E3" s="24"/>
      <c r="F3" s="24"/>
      <c r="G3" s="24"/>
      <c r="H3" s="24"/>
      <c r="I3" s="24"/>
      <c r="J3" s="24"/>
      <c r="K3" s="24"/>
      <c r="L3" s="24"/>
      <c r="M3" s="24"/>
      <c r="N3" s="24"/>
      <c r="O3" s="24"/>
      <c r="P3" s="24"/>
      <c r="Q3" s="24"/>
      <c r="R3" s="24"/>
      <c r="S3" s="24"/>
      <c r="T3" s="24"/>
      <c r="U3" s="24"/>
      <c r="V3" s="25"/>
      <c r="W3" s="25"/>
      <c r="X3" s="25"/>
      <c r="Y3" s="25"/>
      <c r="Z3" s="25"/>
    </row>
    <row r="4" spans="1:27" ht="13.8" thickBot="1"/>
    <row r="5" spans="1:27" ht="13.2">
      <c r="B5" s="910" t="s">
        <v>641</v>
      </c>
      <c r="C5" s="911"/>
      <c r="D5" s="911"/>
      <c r="E5" s="911"/>
      <c r="F5" s="912"/>
    </row>
    <row r="6" spans="1:27" ht="13.8" thickBot="1">
      <c r="B6" s="913"/>
      <c r="C6" s="914"/>
      <c r="D6" s="914"/>
      <c r="E6" s="914"/>
      <c r="F6" s="915"/>
    </row>
    <row r="7" spans="1:27" ht="13.2"/>
    <row r="8" spans="1:27" ht="13.2">
      <c r="B8" s="28" t="s">
        <v>642</v>
      </c>
      <c r="C8" s="24"/>
      <c r="D8" s="24"/>
      <c r="E8" s="24"/>
      <c r="F8" s="24"/>
      <c r="G8" s="24"/>
      <c r="H8" s="24"/>
      <c r="I8" s="24"/>
      <c r="J8" s="24"/>
      <c r="K8" s="24"/>
      <c r="L8" s="24"/>
      <c r="M8" s="24"/>
      <c r="N8" s="24"/>
      <c r="O8" s="24"/>
      <c r="P8" s="24"/>
      <c r="Q8" s="24"/>
      <c r="R8" s="24"/>
      <c r="S8" s="24"/>
      <c r="T8" s="24"/>
      <c r="U8" s="24"/>
      <c r="V8" s="25"/>
      <c r="W8" s="25"/>
      <c r="X8" s="25"/>
      <c r="Y8" s="25"/>
      <c r="Z8" s="25"/>
    </row>
    <row r="9" spans="1:27" ht="13.2"/>
    <row r="10" spans="1:27" ht="13.2">
      <c r="B10" s="822" t="s">
        <v>576</v>
      </c>
      <c r="C10" s="837">
        <f>'Customer Groups'!BE18</f>
        <v>44012</v>
      </c>
      <c r="D10" s="837">
        <f>'Customer Groups'!BF18</f>
        <v>44043</v>
      </c>
      <c r="E10" s="837">
        <f>'Customer Groups'!BG18</f>
        <v>44074</v>
      </c>
      <c r="F10" s="837">
        <f>'Customer Groups'!BH18</f>
        <v>44104</v>
      </c>
      <c r="G10" s="837">
        <f>'Customer Groups'!BI18</f>
        <v>44135</v>
      </c>
      <c r="H10" s="837">
        <f>'Customer Groups'!BJ18</f>
        <v>44165</v>
      </c>
      <c r="I10" s="837">
        <f>'Customer Groups'!BK18</f>
        <v>44196</v>
      </c>
      <c r="J10" s="837">
        <f>'Customer Groups'!BL18</f>
        <v>44227</v>
      </c>
      <c r="K10" s="837">
        <f>'Customer Groups'!BM18</f>
        <v>44255</v>
      </c>
      <c r="L10" s="837">
        <f>'Customer Groups'!BN18</f>
        <v>44286</v>
      </c>
      <c r="M10" s="837">
        <f>'Customer Groups'!BO18</f>
        <v>44316</v>
      </c>
      <c r="N10" s="837">
        <f>'Customer Groups'!BP18</f>
        <v>44347</v>
      </c>
      <c r="O10" s="837">
        <f>'Customer Groups'!BQ18</f>
        <v>44377</v>
      </c>
      <c r="P10" s="837">
        <f>'Customer Groups'!BR18</f>
        <v>44408</v>
      </c>
      <c r="Q10" s="837">
        <f>'Customer Groups'!BS18</f>
        <v>44439</v>
      </c>
      <c r="R10" s="837">
        <f>'Customer Groups'!BT18</f>
        <v>44469</v>
      </c>
      <c r="S10" s="837">
        <f>'Customer Groups'!BU18</f>
        <v>44500</v>
      </c>
      <c r="T10" s="837">
        <f>'Customer Groups'!BV18</f>
        <v>44530</v>
      </c>
      <c r="U10" s="837">
        <f>'Customer Groups'!BW18</f>
        <v>44561</v>
      </c>
      <c r="V10" s="834" t="s">
        <v>577</v>
      </c>
      <c r="W10" s="834" t="s">
        <v>578</v>
      </c>
      <c r="X10" s="834" t="s">
        <v>643</v>
      </c>
      <c r="Y10" s="834" t="s">
        <v>644</v>
      </c>
      <c r="Z10" s="834" t="s">
        <v>645</v>
      </c>
    </row>
    <row r="11" spans="1:27" ht="13.2">
      <c r="B11" s="838" t="s">
        <v>132</v>
      </c>
      <c r="C11" s="826">
        <f t="shared" ref="C11:R11" si="0">C37</f>
        <v>2347.8859786830003</v>
      </c>
      <c r="D11" s="826">
        <f t="shared" si="0"/>
        <v>2382.0799941929999</v>
      </c>
      <c r="E11" s="826">
        <f t="shared" si="0"/>
        <v>1420.21954942601</v>
      </c>
      <c r="F11" s="826">
        <f t="shared" si="0"/>
        <v>1398.9439218260102</v>
      </c>
      <c r="G11" s="826">
        <f t="shared" si="0"/>
        <v>2239.8388682699997</v>
      </c>
      <c r="H11" s="826">
        <f t="shared" si="0"/>
        <v>2176.8129759800004</v>
      </c>
      <c r="I11" s="826">
        <f t="shared" si="0"/>
        <v>2042.2098981186036</v>
      </c>
      <c r="J11" s="826">
        <f t="shared" si="0"/>
        <v>1815.5390254599995</v>
      </c>
      <c r="K11" s="826">
        <f t="shared" si="0"/>
        <v>2729.6923059203482</v>
      </c>
      <c r="L11" s="826">
        <f t="shared" si="0"/>
        <v>2579.1155326634789</v>
      </c>
      <c r="M11" s="826">
        <f t="shared" si="0"/>
        <v>3126.0516602398279</v>
      </c>
      <c r="N11" s="826">
        <f t="shared" si="0"/>
        <v>3060.3667130409381</v>
      </c>
      <c r="O11" s="826">
        <f t="shared" si="0"/>
        <v>3035.0210416725413</v>
      </c>
      <c r="P11" s="826">
        <f t="shared" si="0"/>
        <v>2983.8258480088907</v>
      </c>
      <c r="Q11" s="826">
        <f t="shared" si="0"/>
        <v>3155.8638071089831</v>
      </c>
      <c r="R11" s="826">
        <f t="shared" si="0"/>
        <v>3087.3927289394833</v>
      </c>
      <c r="S11" s="826">
        <f>V37</f>
        <v>2958.1258168501995</v>
      </c>
      <c r="T11" s="826">
        <f>W37</f>
        <v>3154.2655759597947</v>
      </c>
      <c r="U11" s="826">
        <f>X37</f>
        <v>3413.8171896159988</v>
      </c>
      <c r="V11" s="826">
        <f t="shared" ref="V11:V22" si="1">AVERAGE(C11:U11)</f>
        <v>2584.5825490514267</v>
      </c>
      <c r="W11" s="826">
        <f t="shared" ref="W11:W22" si="2">MAX(C11:U11)</f>
        <v>3413.8171896159988</v>
      </c>
      <c r="X11" s="826">
        <f t="shared" ref="X11:X22" si="3">AVERAGE($C11:$I11)</f>
        <v>2001.1415980709462</v>
      </c>
      <c r="Y11" s="826">
        <f t="shared" ref="Y11:Y22" si="4">MAX($C11:$I11)</f>
        <v>2382.0799941929999</v>
      </c>
      <c r="Z11" s="839"/>
    </row>
    <row r="12" spans="1:27" ht="13.2">
      <c r="B12" s="53" t="s">
        <v>581</v>
      </c>
      <c r="C12" s="52">
        <f t="shared" ref="C12:R12" si="5">C31</f>
        <v>22946050</v>
      </c>
      <c r="D12" s="52">
        <f t="shared" si="5"/>
        <v>22776839</v>
      </c>
      <c r="E12" s="52">
        <f t="shared" si="5"/>
        <v>22758099</v>
      </c>
      <c r="F12" s="52">
        <f t="shared" si="5"/>
        <v>17439841</v>
      </c>
      <c r="G12" s="52">
        <f t="shared" si="5"/>
        <v>22697633</v>
      </c>
      <c r="H12" s="52">
        <f t="shared" si="5"/>
        <v>22686363</v>
      </c>
      <c r="I12" s="52">
        <f t="shared" si="5"/>
        <v>22314049</v>
      </c>
      <c r="J12" s="52">
        <f t="shared" si="5"/>
        <v>22318216</v>
      </c>
      <c r="K12" s="52">
        <f t="shared" si="5"/>
        <v>22705528</v>
      </c>
      <c r="L12" s="52">
        <f t="shared" si="5"/>
        <v>15631675</v>
      </c>
      <c r="M12" s="52">
        <f t="shared" si="5"/>
        <v>22059107</v>
      </c>
      <c r="N12" s="52">
        <f t="shared" si="5"/>
        <v>17936140</v>
      </c>
      <c r="O12" s="52">
        <f t="shared" si="5"/>
        <v>17937638</v>
      </c>
      <c r="P12" s="52">
        <f t="shared" si="5"/>
        <v>17883804</v>
      </c>
      <c r="Q12" s="52">
        <f t="shared" si="5"/>
        <v>21978487</v>
      </c>
      <c r="R12" s="52">
        <f t="shared" si="5"/>
        <v>22200354</v>
      </c>
      <c r="S12" s="52">
        <f>V31</f>
        <v>22981076</v>
      </c>
      <c r="T12" s="52">
        <f>W31</f>
        <v>22950812</v>
      </c>
      <c r="U12" s="52">
        <f>X31</f>
        <v>22946310</v>
      </c>
      <c r="V12" s="67">
        <f t="shared" si="1"/>
        <v>21218316.894736841</v>
      </c>
      <c r="W12" s="67">
        <f t="shared" si="2"/>
        <v>22981076</v>
      </c>
      <c r="X12" s="67">
        <f t="shared" si="3"/>
        <v>21945553.428571429</v>
      </c>
      <c r="Y12" s="67">
        <f t="shared" si="4"/>
        <v>22946050</v>
      </c>
      <c r="Z12" s="29"/>
    </row>
    <row r="13" spans="1:27" ht="13.2">
      <c r="B13" s="53" t="s">
        <v>651</v>
      </c>
      <c r="C13" s="68">
        <f>C11/(C12*10^-6)</f>
        <v>102.32201092052883</v>
      </c>
      <c r="D13" s="68">
        <f t="shared" ref="D13:U13" si="6">D11/(D12*10^-6)</f>
        <v>104.58343206416835</v>
      </c>
      <c r="E13" s="68">
        <f t="shared" si="6"/>
        <v>62.405016755837565</v>
      </c>
      <c r="F13" s="68">
        <f t="shared" si="6"/>
        <v>80.215405738275393</v>
      </c>
      <c r="G13" s="68">
        <f t="shared" si="6"/>
        <v>98.681605622489343</v>
      </c>
      <c r="H13" s="68">
        <f t="shared" si="6"/>
        <v>95.95248810838477</v>
      </c>
      <c r="I13" s="68">
        <f t="shared" si="6"/>
        <v>91.521260803837237</v>
      </c>
      <c r="J13" s="68">
        <f t="shared" si="6"/>
        <v>81.347856184383176</v>
      </c>
      <c r="K13" s="68">
        <f t="shared" si="6"/>
        <v>120.22148553076363</v>
      </c>
      <c r="L13" s="68">
        <f t="shared" si="6"/>
        <v>164.99290911968671</v>
      </c>
      <c r="M13" s="68">
        <f t="shared" si="6"/>
        <v>141.71252083050453</v>
      </c>
      <c r="N13" s="68">
        <f t="shared" si="6"/>
        <v>170.62571506695076</v>
      </c>
      <c r="O13" s="68">
        <f t="shared" si="6"/>
        <v>169.19847761854382</v>
      </c>
      <c r="P13" s="68">
        <f t="shared" si="6"/>
        <v>166.8451436846932</v>
      </c>
      <c r="Q13" s="68">
        <f t="shared" si="6"/>
        <v>143.58876510057237</v>
      </c>
      <c r="R13" s="68">
        <f t="shared" si="6"/>
        <v>139.0695269516641</v>
      </c>
      <c r="S13" s="68">
        <f t="shared" si="6"/>
        <v>128.72007458877033</v>
      </c>
      <c r="T13" s="68">
        <f t="shared" si="6"/>
        <v>137.43590318110728</v>
      </c>
      <c r="U13" s="68">
        <f t="shared" si="6"/>
        <v>148.77412488613632</v>
      </c>
      <c r="V13" s="169">
        <f t="shared" si="1"/>
        <v>123.5901959345946</v>
      </c>
      <c r="W13" s="169">
        <f t="shared" si="2"/>
        <v>170.62571506695076</v>
      </c>
      <c r="X13" s="169">
        <f t="shared" si="3"/>
        <v>90.811602859074483</v>
      </c>
      <c r="Y13" s="169">
        <f t="shared" si="4"/>
        <v>104.58343206416835</v>
      </c>
      <c r="Z13" s="68">
        <f>AVERAGE(F13:I13)</f>
        <v>91.592690068246696</v>
      </c>
      <c r="AA13" s="68"/>
    </row>
    <row r="14" spans="1:27" ht="13.2">
      <c r="B14" s="53" t="s">
        <v>652</v>
      </c>
      <c r="C14" s="52">
        <f t="shared" ref="C14:R14" si="7">C38</f>
        <v>1620.7043309999999</v>
      </c>
      <c r="D14" s="52">
        <f t="shared" si="7"/>
        <v>1575.4253309999999</v>
      </c>
      <c r="E14" s="52">
        <f t="shared" si="7"/>
        <v>606.78981900000008</v>
      </c>
      <c r="F14" s="52">
        <f t="shared" si="7"/>
        <v>586.59844399999997</v>
      </c>
      <c r="G14" s="52">
        <f t="shared" si="7"/>
        <v>1450.0005329999999</v>
      </c>
      <c r="H14" s="52">
        <f t="shared" si="7"/>
        <v>1421.8</v>
      </c>
      <c r="I14" s="52">
        <f t="shared" si="7"/>
        <v>1439.8</v>
      </c>
      <c r="J14" s="52">
        <f t="shared" si="7"/>
        <v>1472.8</v>
      </c>
      <c r="K14" s="52">
        <f t="shared" si="7"/>
        <v>2382.1710875660001</v>
      </c>
      <c r="L14" s="52">
        <f t="shared" si="7"/>
        <v>2498.7342000934791</v>
      </c>
      <c r="M14" s="52">
        <f t="shared" si="7"/>
        <v>2644.847349709828</v>
      </c>
      <c r="N14" s="52">
        <f t="shared" si="7"/>
        <v>2766.8621052609378</v>
      </c>
      <c r="O14" s="52">
        <f t="shared" si="7"/>
        <v>2749.3022690125408</v>
      </c>
      <c r="P14" s="52">
        <f t="shared" si="7"/>
        <v>2727.9028055673907</v>
      </c>
      <c r="Q14" s="52">
        <f t="shared" si="7"/>
        <v>2644.4885940574841</v>
      </c>
      <c r="R14" s="52">
        <f t="shared" si="7"/>
        <v>2598.761385099484</v>
      </c>
      <c r="S14" s="52">
        <f>V38</f>
        <v>2525.1114380101999</v>
      </c>
      <c r="T14" s="52">
        <f>W38</f>
        <v>2678.3202429597941</v>
      </c>
      <c r="U14" s="52">
        <f>X38</f>
        <v>2857.7215898659988</v>
      </c>
      <c r="V14" s="67">
        <f t="shared" si="1"/>
        <v>2065.6916592212178</v>
      </c>
      <c r="W14" s="67">
        <f t="shared" si="2"/>
        <v>2857.7215898659988</v>
      </c>
      <c r="X14" s="67">
        <f t="shared" si="3"/>
        <v>1243.0169225714287</v>
      </c>
      <c r="Y14" s="67">
        <f t="shared" si="4"/>
        <v>1620.7043309999999</v>
      </c>
      <c r="Z14" s="130"/>
    </row>
    <row r="15" spans="1:27" ht="13.2">
      <c r="B15" s="53" t="s">
        <v>584</v>
      </c>
      <c r="C15" s="52">
        <v>11780386</v>
      </c>
      <c r="D15" s="52">
        <v>11716677</v>
      </c>
      <c r="E15" s="52">
        <v>11696179</v>
      </c>
      <c r="F15" s="52">
        <v>6544941</v>
      </c>
      <c r="G15" s="52">
        <v>12082264</v>
      </c>
      <c r="H15" s="52">
        <v>12347312</v>
      </c>
      <c r="I15" s="52">
        <v>12599196</v>
      </c>
      <c r="J15" s="52">
        <v>13320108</v>
      </c>
      <c r="K15" s="52">
        <v>13664319</v>
      </c>
      <c r="L15" s="52">
        <v>13498132</v>
      </c>
      <c r="M15" s="52">
        <v>13426544</v>
      </c>
      <c r="N15" s="52">
        <v>13348110</v>
      </c>
      <c r="O15" s="52">
        <v>13283810</v>
      </c>
      <c r="P15" s="52">
        <v>13213414</v>
      </c>
      <c r="Q15" s="52">
        <v>13170382</v>
      </c>
      <c r="R15" s="52">
        <v>13821035</v>
      </c>
      <c r="S15" s="52">
        <v>14058187</v>
      </c>
      <c r="T15" s="52">
        <v>14092324</v>
      </c>
      <c r="U15" s="52">
        <v>14144514</v>
      </c>
      <c r="V15" s="67">
        <f t="shared" si="1"/>
        <v>12726728.105263159</v>
      </c>
      <c r="W15" s="67">
        <f t="shared" si="2"/>
        <v>14144514</v>
      </c>
      <c r="X15" s="67">
        <f t="shared" si="3"/>
        <v>11252422.142857144</v>
      </c>
      <c r="Y15" s="67">
        <f t="shared" si="4"/>
        <v>12599196</v>
      </c>
      <c r="Z15" s="130"/>
    </row>
    <row r="16" spans="1:27" s="27" customFormat="1" ht="13.2">
      <c r="B16" s="53" t="s">
        <v>653</v>
      </c>
      <c r="C16" s="68">
        <f>C14/(C15*10^-6)</f>
        <v>137.57650479364597</v>
      </c>
      <c r="D16" s="68">
        <f t="shared" ref="D16:U16" si="8">D14/(D15*10^-6)</f>
        <v>134.46008036237578</v>
      </c>
      <c r="E16" s="68">
        <f t="shared" si="8"/>
        <v>51.879320502875352</v>
      </c>
      <c r="F16" s="68">
        <f t="shared" si="8"/>
        <v>89.626238647529448</v>
      </c>
      <c r="G16" s="68">
        <f t="shared" si="8"/>
        <v>120.01066464033561</v>
      </c>
      <c r="H16" s="68">
        <f t="shared" si="8"/>
        <v>115.15056880396317</v>
      </c>
      <c r="I16" s="68">
        <f t="shared" si="8"/>
        <v>114.27713323929559</v>
      </c>
      <c r="J16" s="68">
        <f t="shared" si="8"/>
        <v>110.56967405969982</v>
      </c>
      <c r="K16" s="68">
        <f t="shared" si="8"/>
        <v>174.33514890614018</v>
      </c>
      <c r="L16" s="68">
        <f t="shared" si="8"/>
        <v>185.11703694211013</v>
      </c>
      <c r="M16" s="68">
        <f t="shared" si="8"/>
        <v>196.98645829558433</v>
      </c>
      <c r="N16" s="68">
        <f t="shared" si="8"/>
        <v>207.28493436605916</v>
      </c>
      <c r="O16" s="68">
        <f t="shared" si="8"/>
        <v>206.9663951089741</v>
      </c>
      <c r="P16" s="68">
        <f t="shared" si="8"/>
        <v>206.44950696068335</v>
      </c>
      <c r="Q16" s="68">
        <f t="shared" si="8"/>
        <v>200.7905764660041</v>
      </c>
      <c r="R16" s="68">
        <f t="shared" si="8"/>
        <v>188.02943376523422</v>
      </c>
      <c r="S16" s="68">
        <f t="shared" si="8"/>
        <v>179.61856945068379</v>
      </c>
      <c r="T16" s="68">
        <f t="shared" si="8"/>
        <v>190.05525582294263</v>
      </c>
      <c r="U16" s="68">
        <f t="shared" si="8"/>
        <v>202.03745352198024</v>
      </c>
      <c r="V16" s="169">
        <f t="shared" si="1"/>
        <v>158.48531340295355</v>
      </c>
      <c r="W16" s="169">
        <f t="shared" si="2"/>
        <v>207.28493436605916</v>
      </c>
      <c r="X16" s="169">
        <f t="shared" si="3"/>
        <v>108.99721585571727</v>
      </c>
      <c r="Y16" s="169">
        <f t="shared" si="4"/>
        <v>137.57650479364597</v>
      </c>
      <c r="Z16" s="68">
        <f>AVERAGE(F16:I16)</f>
        <v>109.76615133278095</v>
      </c>
      <c r="AA16" s="68"/>
    </row>
    <row r="17" spans="1:27" s="27" customFormat="1" ht="13.2">
      <c r="B17" s="53" t="s">
        <v>654</v>
      </c>
      <c r="C17" s="52">
        <f t="shared" ref="C17:R17" si="9">C39</f>
        <v>305.35620499999999</v>
      </c>
      <c r="D17" s="52">
        <f t="shared" si="9"/>
        <v>304.81444499999998</v>
      </c>
      <c r="E17" s="52">
        <f t="shared" si="9"/>
        <v>307.11476073601</v>
      </c>
      <c r="F17" s="52">
        <f t="shared" si="9"/>
        <v>304.11476073601</v>
      </c>
      <c r="G17" s="52">
        <f t="shared" si="9"/>
        <v>300</v>
      </c>
      <c r="H17" s="52">
        <f t="shared" si="9"/>
        <v>292.81756899999999</v>
      </c>
      <c r="I17" s="52">
        <f t="shared" si="9"/>
        <v>295.52060599999999</v>
      </c>
      <c r="J17" s="52">
        <f t="shared" si="9"/>
        <v>295.80256900000001</v>
      </c>
      <c r="K17" s="52">
        <f t="shared" si="9"/>
        <v>292.68096500000001</v>
      </c>
      <c r="L17" s="52">
        <f t="shared" si="9"/>
        <v>43.573999999999998</v>
      </c>
      <c r="M17" s="52">
        <f t="shared" si="9"/>
        <v>423.71321914999999</v>
      </c>
      <c r="N17" s="52">
        <f t="shared" si="9"/>
        <v>226.37763067999973</v>
      </c>
      <c r="O17" s="52">
        <f t="shared" si="9"/>
        <v>214.04819004000021</v>
      </c>
      <c r="P17" s="52">
        <f t="shared" si="9"/>
        <v>192.5931283899998</v>
      </c>
      <c r="Q17" s="52">
        <f t="shared" si="9"/>
        <v>447.13837493999961</v>
      </c>
      <c r="R17" s="52">
        <f t="shared" si="9"/>
        <v>449.0105429399996</v>
      </c>
      <c r="S17" s="52">
        <f>V39</f>
        <v>398.1</v>
      </c>
      <c r="T17" s="52">
        <f>W39</f>
        <v>439.94933300000002</v>
      </c>
      <c r="U17" s="52">
        <f>X39</f>
        <v>519.50959975000001</v>
      </c>
      <c r="V17" s="67">
        <f>AVERAGE(C17:U17)</f>
        <v>318.53873154536944</v>
      </c>
      <c r="W17" s="67">
        <f>MAX(C17:U17)</f>
        <v>519.50959975000001</v>
      </c>
      <c r="X17" s="67">
        <f>AVERAGE($C$17:$I$17)</f>
        <v>301.39119235314575</v>
      </c>
      <c r="Y17" s="67">
        <f>MAX($C$17:$I$17)</f>
        <v>307.11476073601</v>
      </c>
      <c r="Z17" s="130"/>
      <c r="AA17" s="68"/>
    </row>
    <row r="18" spans="1:27" s="27" customFormat="1" ht="13.2">
      <c r="B18" s="53" t="s">
        <v>589</v>
      </c>
      <c r="C18" s="52">
        <v>7534652</v>
      </c>
      <c r="D18" s="52">
        <v>7540365</v>
      </c>
      <c r="E18" s="52">
        <v>7569675</v>
      </c>
      <c r="F18" s="52">
        <v>7608056</v>
      </c>
      <c r="G18" s="52">
        <v>7602361</v>
      </c>
      <c r="H18" s="52">
        <v>7603741</v>
      </c>
      <c r="I18" s="52">
        <v>7611524</v>
      </c>
      <c r="J18" s="52">
        <v>7649254</v>
      </c>
      <c r="K18" s="52">
        <v>7730749</v>
      </c>
      <c r="L18" s="52">
        <v>1658277</v>
      </c>
      <c r="M18" s="52">
        <v>7856457</v>
      </c>
      <c r="N18" s="52">
        <v>3777012</v>
      </c>
      <c r="O18" s="52">
        <v>3811400</v>
      </c>
      <c r="P18" s="52">
        <v>3878797</v>
      </c>
      <c r="Q18" s="52">
        <v>8009147</v>
      </c>
      <c r="R18" s="52">
        <v>8053093</v>
      </c>
      <c r="S18" s="52">
        <v>8665225</v>
      </c>
      <c r="T18" s="52">
        <v>8599807</v>
      </c>
      <c r="U18" s="52">
        <v>8591550</v>
      </c>
      <c r="V18" s="67">
        <f t="shared" ref="V18:V19" si="10">AVERAGE(C18:U18)</f>
        <v>6913218</v>
      </c>
      <c r="W18" s="67">
        <f t="shared" ref="W18:W19" si="11">MAX(C18:U18)</f>
        <v>8665225</v>
      </c>
      <c r="X18" s="67">
        <f t="shared" si="3"/>
        <v>7581482</v>
      </c>
      <c r="Y18" s="67">
        <f t="shared" si="4"/>
        <v>7611524</v>
      </c>
      <c r="Z18" s="130"/>
      <c r="AA18" s="68"/>
    </row>
    <row r="19" spans="1:27" s="27" customFormat="1" ht="13.2">
      <c r="B19" s="53" t="s">
        <v>591</v>
      </c>
      <c r="C19" s="68">
        <f>C17/(C18*10^-6)</f>
        <v>40.526915509833763</v>
      </c>
      <c r="D19" s="68">
        <f t="shared" ref="D19:U19" si="12">D17/(D18*10^-6)</f>
        <v>40.424362083267852</v>
      </c>
      <c r="E19" s="68">
        <f t="shared" si="12"/>
        <v>40.571723453914473</v>
      </c>
      <c r="F19" s="68">
        <f t="shared" si="12"/>
        <v>39.972729004099079</v>
      </c>
      <c r="G19" s="68">
        <f t="shared" si="12"/>
        <v>39.461425207248119</v>
      </c>
      <c r="H19" s="68">
        <f t="shared" si="12"/>
        <v>38.509671620850845</v>
      </c>
      <c r="I19" s="68">
        <f t="shared" si="12"/>
        <v>38.825418667798985</v>
      </c>
      <c r="J19" s="68">
        <f t="shared" si="12"/>
        <v>38.670773515953321</v>
      </c>
      <c r="K19" s="68">
        <f t="shared" si="12"/>
        <v>37.859328378142926</v>
      </c>
      <c r="L19" s="68">
        <f t="shared" si="12"/>
        <v>26.276671509042217</v>
      </c>
      <c r="M19" s="68">
        <f t="shared" si="12"/>
        <v>53.931844742483797</v>
      </c>
      <c r="N19" s="68">
        <f t="shared" si="12"/>
        <v>59.935639780863745</v>
      </c>
      <c r="O19" s="68">
        <f t="shared" si="12"/>
        <v>56.159991089888287</v>
      </c>
      <c r="P19" s="68">
        <f t="shared" si="12"/>
        <v>49.652799151386326</v>
      </c>
      <c r="Q19" s="68">
        <f t="shared" si="12"/>
        <v>55.828463997476831</v>
      </c>
      <c r="R19" s="68">
        <f t="shared" si="12"/>
        <v>55.756284317094014</v>
      </c>
      <c r="S19" s="68">
        <f t="shared" si="12"/>
        <v>45.942257702483204</v>
      </c>
      <c r="T19" s="68">
        <f t="shared" si="12"/>
        <v>51.158047267804967</v>
      </c>
      <c r="U19" s="68">
        <f t="shared" si="12"/>
        <v>60.467505834220837</v>
      </c>
      <c r="V19" s="169">
        <f t="shared" si="10"/>
        <v>45.78588699125546</v>
      </c>
      <c r="W19" s="169">
        <f t="shared" si="11"/>
        <v>60.467505834220837</v>
      </c>
      <c r="X19" s="169">
        <f t="shared" si="3"/>
        <v>39.756035078144734</v>
      </c>
      <c r="Y19" s="169">
        <f t="shared" si="4"/>
        <v>40.571723453914473</v>
      </c>
      <c r="Z19" s="68">
        <f>AVERAGE(F19:I19)</f>
        <v>39.19231112499925</v>
      </c>
      <c r="AA19" s="68"/>
    </row>
    <row r="20" spans="1:27" ht="13.2">
      <c r="B20" s="53" t="s">
        <v>655</v>
      </c>
      <c r="C20" s="67">
        <f>C11-C14-C17</f>
        <v>421.8254426830004</v>
      </c>
      <c r="D20" s="67">
        <f t="shared" ref="D20:R21" si="13">D11-D14-D17</f>
        <v>501.84021819300006</v>
      </c>
      <c r="E20" s="67">
        <f t="shared" si="13"/>
        <v>506.31496968999988</v>
      </c>
      <c r="F20" s="67">
        <f t="shared" si="13"/>
        <v>508.23071709000021</v>
      </c>
      <c r="G20" s="67">
        <f t="shared" si="13"/>
        <v>489.83833526999979</v>
      </c>
      <c r="H20" s="67">
        <f t="shared" si="13"/>
        <v>462.19540698000043</v>
      </c>
      <c r="I20" s="67">
        <f t="shared" si="13"/>
        <v>306.88929211860369</v>
      </c>
      <c r="J20" s="67">
        <f t="shared" si="13"/>
        <v>46.936456459999533</v>
      </c>
      <c r="K20" s="67">
        <f t="shared" si="13"/>
        <v>54.840253354348079</v>
      </c>
      <c r="L20" s="67">
        <f t="shared" si="13"/>
        <v>36.807332569999815</v>
      </c>
      <c r="M20" s="67">
        <f t="shared" si="13"/>
        <v>57.491091379999943</v>
      </c>
      <c r="N20" s="67">
        <f t="shared" si="13"/>
        <v>67.126977100000516</v>
      </c>
      <c r="O20" s="67">
        <f t="shared" si="13"/>
        <v>71.67058262000026</v>
      </c>
      <c r="P20" s="67">
        <f t="shared" si="13"/>
        <v>63.329914051500197</v>
      </c>
      <c r="Q20" s="67">
        <f t="shared" si="13"/>
        <v>64.236838111499424</v>
      </c>
      <c r="R20" s="67">
        <f t="shared" si="13"/>
        <v>39.620800899999722</v>
      </c>
      <c r="S20" s="67">
        <f>S11-S14-S17</f>
        <v>34.914378839999586</v>
      </c>
      <c r="T20" s="67">
        <f t="shared" ref="T20:T21" si="14">T11-T14-T17</f>
        <v>35.996000000000549</v>
      </c>
      <c r="U20" s="67">
        <f>U11-U14-U17</f>
        <v>36.586000000000013</v>
      </c>
      <c r="V20" s="67">
        <f t="shared" si="1"/>
        <v>200.35215828483959</v>
      </c>
      <c r="W20" s="67">
        <f t="shared" si="2"/>
        <v>508.23071709000021</v>
      </c>
      <c r="X20" s="67">
        <f t="shared" si="3"/>
        <v>456.73348314637212</v>
      </c>
      <c r="Y20" s="67">
        <f t="shared" si="4"/>
        <v>508.23071709000021</v>
      </c>
      <c r="Z20" s="130"/>
    </row>
    <row r="21" spans="1:27" ht="13.2">
      <c r="B21" s="53" t="s">
        <v>594</v>
      </c>
      <c r="C21" s="52">
        <f>C12-C15-C18</f>
        <v>3631012</v>
      </c>
      <c r="D21" s="52">
        <f t="shared" si="13"/>
        <v>3519797</v>
      </c>
      <c r="E21" s="52">
        <f t="shared" si="13"/>
        <v>3492245</v>
      </c>
      <c r="F21" s="52">
        <f t="shared" si="13"/>
        <v>3286844</v>
      </c>
      <c r="G21" s="52">
        <f t="shared" si="13"/>
        <v>3013008</v>
      </c>
      <c r="H21" s="52">
        <f t="shared" si="13"/>
        <v>2735310</v>
      </c>
      <c r="I21" s="52">
        <f t="shared" si="13"/>
        <v>2103329</v>
      </c>
      <c r="J21" s="52">
        <f t="shared" si="13"/>
        <v>1348854</v>
      </c>
      <c r="K21" s="52">
        <f t="shared" si="13"/>
        <v>1310460</v>
      </c>
      <c r="L21" s="52">
        <f t="shared" si="13"/>
        <v>475266</v>
      </c>
      <c r="M21" s="52">
        <f t="shared" si="13"/>
        <v>776106</v>
      </c>
      <c r="N21" s="52">
        <f t="shared" si="13"/>
        <v>811018</v>
      </c>
      <c r="O21" s="52">
        <f t="shared" si="13"/>
        <v>842428</v>
      </c>
      <c r="P21" s="52">
        <f t="shared" si="13"/>
        <v>791593</v>
      </c>
      <c r="Q21" s="52">
        <f t="shared" si="13"/>
        <v>798958</v>
      </c>
      <c r="R21" s="52">
        <f t="shared" si="13"/>
        <v>326226</v>
      </c>
      <c r="S21" s="52">
        <f>S12-S15-S18</f>
        <v>257664</v>
      </c>
      <c r="T21" s="52">
        <f t="shared" si="14"/>
        <v>258681</v>
      </c>
      <c r="U21" s="52">
        <f>U12-U15-U18</f>
        <v>210246</v>
      </c>
      <c r="V21" s="67">
        <f t="shared" si="1"/>
        <v>1578370.7894736843</v>
      </c>
      <c r="W21" s="67">
        <f t="shared" si="2"/>
        <v>3631012</v>
      </c>
      <c r="X21" s="67">
        <f t="shared" si="3"/>
        <v>3111649.2857142859</v>
      </c>
      <c r="Y21" s="67">
        <f t="shared" si="4"/>
        <v>3631012</v>
      </c>
      <c r="Z21" s="130"/>
    </row>
    <row r="22" spans="1:27" s="27" customFormat="1" ht="13.2">
      <c r="B22" s="194" t="s">
        <v>596</v>
      </c>
      <c r="C22" s="181">
        <f>C20/(C21*10^-6)</f>
        <v>116.17296849556004</v>
      </c>
      <c r="D22" s="181">
        <f t="shared" ref="D22:T22" si="15">D20/(D21*10^-6)</f>
        <v>142.57646625444596</v>
      </c>
      <c r="E22" s="181">
        <f t="shared" si="15"/>
        <v>144.98266006250989</v>
      </c>
      <c r="F22" s="181">
        <f t="shared" si="15"/>
        <v>154.62574953055278</v>
      </c>
      <c r="G22" s="181">
        <f t="shared" si="15"/>
        <v>162.57452196276938</v>
      </c>
      <c r="H22" s="181">
        <f t="shared" si="15"/>
        <v>168.9736837799008</v>
      </c>
      <c r="I22" s="181">
        <f t="shared" si="15"/>
        <v>145.90646167033483</v>
      </c>
      <c r="J22" s="181">
        <f t="shared" si="15"/>
        <v>34.797284554147097</v>
      </c>
      <c r="K22" s="181">
        <f t="shared" si="15"/>
        <v>41.848094069523739</v>
      </c>
      <c r="L22" s="181">
        <f t="shared" si="15"/>
        <v>77.44575157911531</v>
      </c>
      <c r="M22" s="181">
        <f t="shared" si="15"/>
        <v>74.076339288705341</v>
      </c>
      <c r="N22" s="181">
        <f t="shared" si="15"/>
        <v>82.768788238979297</v>
      </c>
      <c r="O22" s="181">
        <f t="shared" si="15"/>
        <v>85.076211403230019</v>
      </c>
      <c r="P22" s="181">
        <f t="shared" si="15"/>
        <v>80.003125408511949</v>
      </c>
      <c r="Q22" s="181">
        <f t="shared" si="15"/>
        <v>80.400769641832767</v>
      </c>
      <c r="R22" s="181">
        <f t="shared" si="15"/>
        <v>121.45200229288814</v>
      </c>
      <c r="S22" s="181">
        <f>S20/(S21*10^-6)</f>
        <v>135.5035194672115</v>
      </c>
      <c r="T22" s="181">
        <f t="shared" si="15"/>
        <v>139.15208306756409</v>
      </c>
      <c r="U22" s="181">
        <f>U20/(U21*10^-6)</f>
        <v>174.01520124045174</v>
      </c>
      <c r="V22" s="195">
        <f t="shared" si="1"/>
        <v>113.80798326359131</v>
      </c>
      <c r="W22" s="195">
        <f t="shared" si="2"/>
        <v>174.01520124045174</v>
      </c>
      <c r="X22" s="195">
        <f t="shared" si="3"/>
        <v>147.9732159651534</v>
      </c>
      <c r="Y22" s="195">
        <f t="shared" si="4"/>
        <v>168.9736837799008</v>
      </c>
      <c r="Z22" s="181">
        <f>AVERAGE(F22:I22)</f>
        <v>158.02010423588945</v>
      </c>
      <c r="AA22" s="68"/>
    </row>
    <row r="23" spans="1:27" ht="13.2"/>
    <row r="24" spans="1:27" ht="13.2"/>
    <row r="25" spans="1:27" ht="13.2"/>
    <row r="26" spans="1:27" ht="13.2"/>
    <row r="27" spans="1:27" ht="13.2">
      <c r="B27" s="28" t="s">
        <v>147</v>
      </c>
      <c r="C27" s="25"/>
      <c r="D27" s="25"/>
      <c r="E27" s="25"/>
      <c r="F27" s="25"/>
      <c r="G27" s="25"/>
      <c r="H27" s="25"/>
      <c r="I27" s="25"/>
      <c r="J27" s="25"/>
      <c r="K27" s="25"/>
      <c r="L27" s="25"/>
      <c r="M27" s="25"/>
      <c r="N27" s="25"/>
      <c r="O27" s="25"/>
      <c r="P27" s="25"/>
      <c r="Q27" s="25"/>
      <c r="R27" s="25"/>
      <c r="S27" s="25"/>
      <c r="T27" s="25"/>
      <c r="U27" s="25"/>
      <c r="V27" s="25"/>
      <c r="W27" s="25"/>
      <c r="X27" s="25"/>
    </row>
    <row r="28" spans="1:27" s="18" customFormat="1" ht="13.8" thickBot="1">
      <c r="A28" s="70"/>
    </row>
    <row r="29" spans="1:27" ht="13.8" thickBot="1">
      <c r="B29" s="34" t="s">
        <v>646</v>
      </c>
      <c r="C29" s="48">
        <v>43983</v>
      </c>
      <c r="D29" s="48">
        <v>44013</v>
      </c>
      <c r="E29" s="48">
        <v>44044</v>
      </c>
      <c r="F29" s="48">
        <v>44075</v>
      </c>
      <c r="G29" s="48">
        <v>44105</v>
      </c>
      <c r="H29" s="48">
        <v>44136</v>
      </c>
      <c r="I29" s="48">
        <v>44166</v>
      </c>
      <c r="J29" s="48">
        <v>44197</v>
      </c>
      <c r="K29" s="48">
        <v>44228</v>
      </c>
      <c r="L29" s="48">
        <v>44256</v>
      </c>
      <c r="M29" s="48">
        <v>44287</v>
      </c>
      <c r="N29" s="48">
        <v>44317</v>
      </c>
      <c r="O29" s="48">
        <v>44348</v>
      </c>
      <c r="P29" s="48">
        <v>44378</v>
      </c>
      <c r="Q29" s="48">
        <v>44409</v>
      </c>
      <c r="R29" s="48">
        <v>44440</v>
      </c>
      <c r="U29" s="71" t="s">
        <v>646</v>
      </c>
      <c r="V29" s="72">
        <v>44470</v>
      </c>
      <c r="W29" s="72">
        <v>44501</v>
      </c>
      <c r="X29" s="73">
        <v>44531</v>
      </c>
    </row>
    <row r="30" spans="1:27" ht="13.8" thickBot="1">
      <c r="C30" s="74" t="s">
        <v>147</v>
      </c>
      <c r="D30" s="74" t="s">
        <v>147</v>
      </c>
      <c r="E30" s="74" t="s">
        <v>147</v>
      </c>
      <c r="F30" s="74" t="s">
        <v>147</v>
      </c>
      <c r="G30" s="74" t="s">
        <v>147</v>
      </c>
      <c r="H30" s="74" t="s">
        <v>147</v>
      </c>
      <c r="I30" s="74" t="s">
        <v>147</v>
      </c>
      <c r="J30" s="74" t="s">
        <v>147</v>
      </c>
      <c r="K30" s="74" t="s">
        <v>147</v>
      </c>
      <c r="L30" s="74" t="s">
        <v>147</v>
      </c>
      <c r="M30" s="74" t="s">
        <v>147</v>
      </c>
      <c r="N30" s="74" t="s">
        <v>147</v>
      </c>
      <c r="O30" s="74" t="s">
        <v>147</v>
      </c>
      <c r="P30" s="74" t="s">
        <v>147</v>
      </c>
      <c r="Q30" s="74" t="s">
        <v>147</v>
      </c>
      <c r="R30" s="74" t="s">
        <v>147</v>
      </c>
      <c r="U30" s="75"/>
      <c r="V30" s="74" t="s">
        <v>147</v>
      </c>
      <c r="W30" s="74" t="s">
        <v>147</v>
      </c>
      <c r="X30" s="76" t="s">
        <v>147</v>
      </c>
    </row>
    <row r="31" spans="1:27" ht="13.8" thickBot="1">
      <c r="A31" s="29"/>
      <c r="B31" s="637" t="s">
        <v>621</v>
      </c>
      <c r="C31" s="655">
        <v>22946050</v>
      </c>
      <c r="D31" s="655">
        <v>22776839</v>
      </c>
      <c r="E31" s="655">
        <v>22758099</v>
      </c>
      <c r="F31" s="655">
        <v>17439841</v>
      </c>
      <c r="G31" s="655">
        <v>22697633</v>
      </c>
      <c r="H31" s="655">
        <v>22686363</v>
      </c>
      <c r="I31" s="655">
        <v>22314049</v>
      </c>
      <c r="J31" s="655">
        <v>22318216</v>
      </c>
      <c r="K31" s="655">
        <v>22705528</v>
      </c>
      <c r="L31" s="655">
        <v>15631675</v>
      </c>
      <c r="M31" s="655">
        <v>22059107</v>
      </c>
      <c r="N31" s="655">
        <v>17936140</v>
      </c>
      <c r="O31" s="655">
        <v>17937638</v>
      </c>
      <c r="P31" s="655">
        <v>17883804</v>
      </c>
      <c r="Q31" s="655">
        <v>21978487</v>
      </c>
      <c r="R31" s="655">
        <v>22200354</v>
      </c>
      <c r="U31" s="79" t="s">
        <v>621</v>
      </c>
      <c r="V31" s="80">
        <v>22981076</v>
      </c>
      <c r="W31" s="80">
        <v>22950812</v>
      </c>
      <c r="X31" s="81">
        <v>22946310</v>
      </c>
    </row>
    <row r="32" spans="1:27" ht="13.2">
      <c r="A32" s="29"/>
    </row>
    <row r="33" spans="1:24" ht="13.2">
      <c r="B33" s="28" t="s">
        <v>656</v>
      </c>
      <c r="C33" s="25"/>
      <c r="D33" s="25"/>
      <c r="E33" s="25"/>
      <c r="F33" s="25"/>
      <c r="G33" s="25"/>
      <c r="H33" s="25"/>
      <c r="I33" s="25"/>
      <c r="J33" s="25"/>
      <c r="K33" s="25"/>
      <c r="L33" s="25"/>
      <c r="M33" s="25"/>
      <c r="N33" s="25"/>
      <c r="O33" s="25"/>
      <c r="P33" s="25"/>
      <c r="Q33" s="25"/>
      <c r="R33" s="25"/>
      <c r="S33" s="25"/>
      <c r="T33" s="25"/>
      <c r="U33" s="25"/>
      <c r="V33" s="25"/>
      <c r="W33" s="25"/>
      <c r="X33" s="25"/>
    </row>
    <row r="34" spans="1:24" ht="13.8" thickBot="1">
      <c r="A34" s="29"/>
    </row>
    <row r="35" spans="1:24" ht="13.8" thickBot="1">
      <c r="A35" s="29"/>
      <c r="B35" s="34" t="s">
        <v>646</v>
      </c>
      <c r="C35" s="48">
        <v>43983</v>
      </c>
      <c r="D35" s="48">
        <v>44013</v>
      </c>
      <c r="E35" s="48">
        <v>44044</v>
      </c>
      <c r="F35" s="48">
        <v>44075</v>
      </c>
      <c r="G35" s="48">
        <v>44105</v>
      </c>
      <c r="H35" s="48">
        <v>44136</v>
      </c>
      <c r="I35" s="48">
        <v>44166</v>
      </c>
      <c r="J35" s="48">
        <v>44197</v>
      </c>
      <c r="K35" s="48">
        <v>44228</v>
      </c>
      <c r="L35" s="48">
        <v>44256</v>
      </c>
      <c r="M35" s="48">
        <v>44287</v>
      </c>
      <c r="N35" s="48">
        <v>44317</v>
      </c>
      <c r="O35" s="48">
        <v>44348</v>
      </c>
      <c r="P35" s="48">
        <v>44378</v>
      </c>
      <c r="Q35" s="48">
        <v>44409</v>
      </c>
      <c r="R35" s="48">
        <v>44440</v>
      </c>
      <c r="U35" s="71" t="s">
        <v>646</v>
      </c>
      <c r="V35" s="72">
        <v>44470</v>
      </c>
      <c r="W35" s="72">
        <v>44501</v>
      </c>
      <c r="X35" s="73">
        <v>44531</v>
      </c>
    </row>
    <row r="36" spans="1:24" ht="13.8" thickBot="1">
      <c r="A36" s="29"/>
      <c r="B36" s="27"/>
      <c r="C36" s="74" t="s">
        <v>657</v>
      </c>
      <c r="D36" s="74" t="s">
        <v>657</v>
      </c>
      <c r="E36" s="74" t="s">
        <v>657</v>
      </c>
      <c r="F36" s="74" t="s">
        <v>657</v>
      </c>
      <c r="G36" s="74" t="s">
        <v>657</v>
      </c>
      <c r="H36" s="74" t="s">
        <v>657</v>
      </c>
      <c r="I36" s="74" t="s">
        <v>657</v>
      </c>
      <c r="J36" s="74" t="s">
        <v>657</v>
      </c>
      <c r="K36" s="74" t="s">
        <v>657</v>
      </c>
      <c r="L36" s="74" t="s">
        <v>657</v>
      </c>
      <c r="M36" s="74" t="s">
        <v>657</v>
      </c>
      <c r="N36" s="74" t="s">
        <v>657</v>
      </c>
      <c r="O36" s="74" t="s">
        <v>657</v>
      </c>
      <c r="P36" s="74" t="s">
        <v>657</v>
      </c>
      <c r="Q36" s="74" t="s">
        <v>657</v>
      </c>
      <c r="R36" s="74" t="s">
        <v>657</v>
      </c>
      <c r="U36" s="75"/>
      <c r="V36" s="74" t="s">
        <v>657</v>
      </c>
      <c r="W36" s="74" t="s">
        <v>657</v>
      </c>
      <c r="X36" s="74" t="s">
        <v>657</v>
      </c>
    </row>
    <row r="37" spans="1:24" ht="13.2">
      <c r="A37" s="29"/>
      <c r="B37" s="787" t="s">
        <v>648</v>
      </c>
      <c r="C37" s="840">
        <v>2347.8859786830003</v>
      </c>
      <c r="D37" s="840">
        <v>2382.0799941929999</v>
      </c>
      <c r="E37" s="840">
        <v>1420.21954942601</v>
      </c>
      <c r="F37" s="840">
        <v>1398.9439218260102</v>
      </c>
      <c r="G37" s="840">
        <v>2239.8388682699997</v>
      </c>
      <c r="H37" s="840">
        <v>2176.8129759800004</v>
      </c>
      <c r="I37" s="840">
        <v>2042.2098981186036</v>
      </c>
      <c r="J37" s="840">
        <v>1815.5390254599995</v>
      </c>
      <c r="K37" s="840">
        <v>2729.6923059203482</v>
      </c>
      <c r="L37" s="840">
        <v>2579.1155326634789</v>
      </c>
      <c r="M37" s="840">
        <v>3126.0516602398279</v>
      </c>
      <c r="N37" s="840">
        <v>3060.3667130409381</v>
      </c>
      <c r="O37" s="840">
        <v>3035.0210416725413</v>
      </c>
      <c r="P37" s="840">
        <v>2983.8258480088907</v>
      </c>
      <c r="Q37" s="840">
        <v>3155.8638071089831</v>
      </c>
      <c r="R37" s="840">
        <v>3087.3927289394833</v>
      </c>
      <c r="U37" s="679" t="s">
        <v>648</v>
      </c>
      <c r="V37" s="614">
        <v>2958.1258168501995</v>
      </c>
      <c r="W37" s="614">
        <v>3154.2655759597947</v>
      </c>
      <c r="X37" s="82">
        <v>3413.8171896159988</v>
      </c>
    </row>
    <row r="38" spans="1:24" ht="13.2">
      <c r="A38" s="29"/>
      <c r="B38" s="10" t="s">
        <v>649</v>
      </c>
      <c r="C38" s="52">
        <v>1620.7043309999999</v>
      </c>
      <c r="D38" s="52">
        <v>1575.4253309999999</v>
      </c>
      <c r="E38" s="52">
        <v>606.78981900000008</v>
      </c>
      <c r="F38" s="52">
        <v>586.59844399999997</v>
      </c>
      <c r="G38" s="52">
        <v>1450.0005329999999</v>
      </c>
      <c r="H38" s="52">
        <v>1421.8</v>
      </c>
      <c r="I38" s="52">
        <v>1439.8</v>
      </c>
      <c r="J38" s="52">
        <v>1472.8</v>
      </c>
      <c r="K38" s="52">
        <v>2382.1710875660001</v>
      </c>
      <c r="L38" s="52">
        <v>2498.7342000934791</v>
      </c>
      <c r="M38" s="52">
        <v>2644.847349709828</v>
      </c>
      <c r="N38" s="52">
        <v>2766.8621052609378</v>
      </c>
      <c r="O38" s="52">
        <v>2749.3022690125408</v>
      </c>
      <c r="P38" s="52">
        <v>2727.9028055673907</v>
      </c>
      <c r="Q38" s="52">
        <v>2644.4885940574841</v>
      </c>
      <c r="R38" s="52">
        <v>2598.761385099484</v>
      </c>
      <c r="U38" s="75" t="s">
        <v>649</v>
      </c>
      <c r="V38" s="26">
        <v>2525.1114380101999</v>
      </c>
      <c r="W38" s="26">
        <v>2678.3202429597941</v>
      </c>
      <c r="X38" s="680">
        <v>2857.7215898659988</v>
      </c>
    </row>
    <row r="39" spans="1:24" ht="13.8" thickBot="1">
      <c r="A39" s="29"/>
      <c r="B39" s="62" t="s">
        <v>650</v>
      </c>
      <c r="C39" s="200">
        <v>305.35620499999999</v>
      </c>
      <c r="D39" s="200">
        <v>304.81444499999998</v>
      </c>
      <c r="E39" s="200">
        <v>307.11476073601</v>
      </c>
      <c r="F39" s="200">
        <v>304.11476073601</v>
      </c>
      <c r="G39" s="200">
        <v>300</v>
      </c>
      <c r="H39" s="200">
        <v>292.81756899999999</v>
      </c>
      <c r="I39" s="200">
        <v>295.52060599999999</v>
      </c>
      <c r="J39" s="200">
        <v>295.80256900000001</v>
      </c>
      <c r="K39" s="200">
        <v>292.68096500000001</v>
      </c>
      <c r="L39" s="200">
        <v>43.573999999999998</v>
      </c>
      <c r="M39" s="200">
        <v>423.71321914999999</v>
      </c>
      <c r="N39" s="200">
        <v>226.37763067999973</v>
      </c>
      <c r="O39" s="200">
        <v>214.04819004000021</v>
      </c>
      <c r="P39" s="200">
        <v>192.5931283899998</v>
      </c>
      <c r="Q39" s="200">
        <v>447.13837493999961</v>
      </c>
      <c r="R39" s="200">
        <v>449.0105429399996</v>
      </c>
      <c r="U39" s="77" t="s">
        <v>650</v>
      </c>
      <c r="V39" s="681">
        <v>398.1</v>
      </c>
      <c r="W39" s="681">
        <v>439.94933300000002</v>
      </c>
      <c r="X39" s="656">
        <v>519.50959975000001</v>
      </c>
    </row>
    <row r="40" spans="1:24" ht="13.2">
      <c r="A40" s="29"/>
    </row>
    <row r="41" spans="1:24" ht="13.2">
      <c r="A41" s="29"/>
      <c r="B41" s="14" t="s">
        <v>362</v>
      </c>
      <c r="C41" s="15"/>
      <c r="D41" s="15"/>
      <c r="E41" s="15"/>
      <c r="F41" s="16"/>
      <c r="G41" s="14"/>
      <c r="H41" s="15"/>
      <c r="I41" s="15"/>
      <c r="J41" s="15"/>
      <c r="K41" s="16"/>
      <c r="L41" s="14"/>
      <c r="M41" s="15"/>
      <c r="N41" s="15"/>
      <c r="O41" s="15"/>
      <c r="P41" s="15"/>
      <c r="Q41" s="15"/>
      <c r="R41" s="15"/>
      <c r="U41" s="15"/>
      <c r="V41" s="15"/>
      <c r="W41" s="15"/>
      <c r="X41" s="15"/>
    </row>
    <row r="42" spans="1:24" ht="13.2">
      <c r="A42" s="29"/>
    </row>
    <row r="43" spans="1:24" ht="13.2" hidden="1">
      <c r="A43" s="29"/>
    </row>
    <row r="44" spans="1:24" ht="13.2" hidden="1">
      <c r="A44" s="29"/>
    </row>
    <row r="45" spans="1:24" ht="13.2" hidden="1">
      <c r="A45" s="29"/>
    </row>
    <row r="46" spans="1:24" ht="13.2" hidden="1">
      <c r="A46" s="29"/>
    </row>
    <row r="47" spans="1:24" ht="13.2" hidden="1">
      <c r="A47" s="29"/>
    </row>
    <row r="48" spans="1:24" ht="13.2" hidden="1">
      <c r="A48" s="29"/>
    </row>
    <row r="49" spans="1:1" ht="13.2" hidden="1">
      <c r="A49" s="29"/>
    </row>
    <row r="50" spans="1:1" ht="13.2" hidden="1">
      <c r="A50" s="29"/>
    </row>
    <row r="51" spans="1:1" ht="13.2" hidden="1">
      <c r="A51" s="29"/>
    </row>
    <row r="52" spans="1:1" ht="13.2" hidden="1">
      <c r="A52" s="29"/>
    </row>
    <row r="53" spans="1:1" ht="13.2" hidden="1">
      <c r="A53" s="29"/>
    </row>
    <row r="54" spans="1:1" ht="13.2" hidden="1">
      <c r="A54" s="29"/>
    </row>
    <row r="55" spans="1:1" ht="13.2" hidden="1">
      <c r="A55" s="29"/>
    </row>
    <row r="56" spans="1:1" ht="13.2" hidden="1">
      <c r="A56" s="29"/>
    </row>
    <row r="57" spans="1:1" ht="13.2" hidden="1">
      <c r="A57" s="29"/>
    </row>
    <row r="58" spans="1:1" ht="13.2" hidden="1">
      <c r="A58" s="29"/>
    </row>
    <row r="59" spans="1:1" ht="13.2" hidden="1">
      <c r="A59" s="29"/>
    </row>
    <row r="60" spans="1:1" ht="13.2" hidden="1">
      <c r="A60" s="29"/>
    </row>
    <row r="61" spans="1:1" ht="13.2" hidden="1">
      <c r="A61" s="29"/>
    </row>
    <row r="62" spans="1:1" ht="13.2" hidden="1">
      <c r="A62" s="29"/>
    </row>
    <row r="63" spans="1:1" ht="13.2" hidden="1">
      <c r="A63" s="29"/>
    </row>
    <row r="64" spans="1:1" ht="13.2" hidden="1">
      <c r="A64" s="29"/>
    </row>
    <row r="65" spans="1:1" ht="13.2" hidden="1">
      <c r="A65" s="29"/>
    </row>
    <row r="66" spans="1:1" ht="13.2" hidden="1">
      <c r="A66" s="29"/>
    </row>
    <row r="67" spans="1:1" ht="13.2" hidden="1">
      <c r="A67" s="29"/>
    </row>
    <row r="68" spans="1:1" ht="13.2" hidden="1">
      <c r="A68" s="29"/>
    </row>
    <row r="69" spans="1:1" ht="13.2" hidden="1">
      <c r="A69" s="29"/>
    </row>
    <row r="70" spans="1:1" ht="13.2" hidden="1">
      <c r="A70" s="29"/>
    </row>
    <row r="71" spans="1:1" ht="13.2" hidden="1">
      <c r="A71" s="29"/>
    </row>
    <row r="72" spans="1:1" ht="13.2" hidden="1">
      <c r="A72" s="29"/>
    </row>
    <row r="73" spans="1:1" ht="13.2" hidden="1">
      <c r="A73" s="29"/>
    </row>
    <row r="74" spans="1:1" ht="13.2" hidden="1">
      <c r="A74" s="29"/>
    </row>
    <row r="75" spans="1:1" ht="13.2" hidden="1">
      <c r="A75" s="29"/>
    </row>
    <row r="76" spans="1:1" ht="13.2" hidden="1">
      <c r="A76" s="29"/>
    </row>
    <row r="77" spans="1:1" ht="13.2" hidden="1">
      <c r="A77" s="29"/>
    </row>
    <row r="78" spans="1:1" ht="13.2" hidden="1">
      <c r="A78" s="29"/>
    </row>
    <row r="79" spans="1:1" ht="13.2" hidden="1">
      <c r="A79" s="29"/>
    </row>
    <row r="80" spans="1:1" ht="13.2" hidden="1">
      <c r="A80" s="29"/>
    </row>
    <row r="81" spans="1:1" ht="13.2" hidden="1">
      <c r="A81" s="29"/>
    </row>
    <row r="82" spans="1:1" ht="13.2" hidden="1">
      <c r="A82" s="29"/>
    </row>
    <row r="83" spans="1:1" ht="13.2" hidden="1">
      <c r="A83" s="29"/>
    </row>
    <row r="84" spans="1:1" ht="13.2" hidden="1">
      <c r="A84" s="29"/>
    </row>
    <row r="85" spans="1:1" ht="13.2" hidden="1">
      <c r="A85" s="29"/>
    </row>
    <row r="86" spans="1:1" ht="13.2" hidden="1">
      <c r="A86" s="29"/>
    </row>
    <row r="87" spans="1:1" ht="13.2" hidden="1">
      <c r="A87" s="29"/>
    </row>
    <row r="88" spans="1:1" ht="13.2" hidden="1">
      <c r="A88" s="29"/>
    </row>
    <row r="89" spans="1:1" ht="13.2" hidden="1">
      <c r="A89" s="29"/>
    </row>
    <row r="90" spans="1:1" ht="13.2" hidden="1">
      <c r="A90" s="29"/>
    </row>
    <row r="91" spans="1:1" ht="13.2" hidden="1">
      <c r="A91" s="29"/>
    </row>
    <row r="92" spans="1:1" ht="13.2" hidden="1">
      <c r="A92" s="29"/>
    </row>
    <row r="93" spans="1:1" ht="13.2" hidden="1">
      <c r="A93" s="29"/>
    </row>
    <row r="94" spans="1:1" ht="13.2" hidden="1">
      <c r="A94" s="29"/>
    </row>
    <row r="95" spans="1:1" ht="13.2" hidden="1">
      <c r="A95" s="29"/>
    </row>
    <row r="96" spans="1:1" ht="13.2" hidden="1">
      <c r="A96" s="29"/>
    </row>
    <row r="97" spans="1:1" ht="13.2" hidden="1">
      <c r="A97" s="29"/>
    </row>
    <row r="98" spans="1:1" ht="13.2" hidden="1">
      <c r="A98" s="29"/>
    </row>
    <row r="99" spans="1:1" ht="13.2" hidden="1">
      <c r="A99" s="29"/>
    </row>
    <row r="100" spans="1:1" ht="13.2" hidden="1">
      <c r="A100" s="29"/>
    </row>
    <row r="101" spans="1:1" ht="13.2" hidden="1">
      <c r="A101" s="29"/>
    </row>
    <row r="102" spans="1:1" ht="13.2" hidden="1">
      <c r="A102" s="29"/>
    </row>
    <row r="103" spans="1:1" ht="13.2" hidden="1">
      <c r="A103" s="29"/>
    </row>
    <row r="104" spans="1:1" ht="13.2" hidden="1">
      <c r="A104" s="29"/>
    </row>
    <row r="105" spans="1:1" ht="13.2" hidden="1">
      <c r="A105" s="29"/>
    </row>
    <row r="106" spans="1:1" ht="13.2" hidden="1">
      <c r="A106" s="29"/>
    </row>
    <row r="107" spans="1:1" ht="13.2" hidden="1">
      <c r="A107" s="29"/>
    </row>
    <row r="108" spans="1:1" ht="13.2" hidden="1">
      <c r="A108" s="29"/>
    </row>
    <row r="109" spans="1:1" ht="13.2" hidden="1">
      <c r="A109" s="29"/>
    </row>
    <row r="110" spans="1:1" ht="13.2" hidden="1">
      <c r="A110" s="29"/>
    </row>
    <row r="111" spans="1:1" ht="13.2" hidden="1">
      <c r="A111" s="29"/>
    </row>
    <row r="112" spans="1:1" ht="13.2" hidden="1">
      <c r="A112" s="29"/>
    </row>
    <row r="113" spans="1:1" ht="13.2" hidden="1">
      <c r="A113" s="29"/>
    </row>
    <row r="114" spans="1:1" ht="13.2" hidden="1">
      <c r="A114" s="29"/>
    </row>
    <row r="115" spans="1:1" ht="13.2" hidden="1">
      <c r="A115" s="29"/>
    </row>
    <row r="116" spans="1:1" ht="13.2" hidden="1">
      <c r="A116" s="29"/>
    </row>
    <row r="117" spans="1:1" ht="13.2" hidden="1">
      <c r="A117" s="29"/>
    </row>
    <row r="118" spans="1:1" ht="13.2" hidden="1">
      <c r="A118" s="29"/>
    </row>
    <row r="119" spans="1:1" ht="13.2" hidden="1">
      <c r="A119" s="29"/>
    </row>
    <row r="120" spans="1:1" ht="13.2" hidden="1">
      <c r="A120" s="29"/>
    </row>
    <row r="121" spans="1:1" ht="13.2" hidden="1">
      <c r="A121" s="29"/>
    </row>
    <row r="122" spans="1:1" ht="13.2" hidden="1">
      <c r="A122" s="29"/>
    </row>
    <row r="123" spans="1:1" ht="13.2" hidden="1">
      <c r="A123" s="29"/>
    </row>
    <row r="124" spans="1:1" ht="13.2" hidden="1">
      <c r="A124" s="29"/>
    </row>
    <row r="125" spans="1:1" ht="13.2" hidden="1">
      <c r="A125" s="29"/>
    </row>
    <row r="126" spans="1:1" ht="13.2" hidden="1">
      <c r="A126" s="29"/>
    </row>
    <row r="127" spans="1:1" ht="13.2" hidden="1">
      <c r="A127" s="29"/>
    </row>
    <row r="128" spans="1:1" ht="13.2" hidden="1">
      <c r="A128" s="29"/>
    </row>
    <row r="129" spans="1:1" ht="13.2" hidden="1">
      <c r="A129" s="29"/>
    </row>
    <row r="130" spans="1:1" ht="13.2" hidden="1">
      <c r="A130" s="29"/>
    </row>
    <row r="131" spans="1:1" ht="13.2" hidden="1">
      <c r="A131" s="29"/>
    </row>
    <row r="132" spans="1:1" ht="13.2" hidden="1">
      <c r="A132" s="29"/>
    </row>
    <row r="133" spans="1:1" ht="13.2" hidden="1">
      <c r="A133" s="29"/>
    </row>
    <row r="134" spans="1:1" ht="13.2" hidden="1">
      <c r="A134" s="29"/>
    </row>
    <row r="135" spans="1:1" ht="13.2" hidden="1">
      <c r="A135" s="29"/>
    </row>
    <row r="136" spans="1:1" ht="13.2" hidden="1">
      <c r="A136" s="29"/>
    </row>
    <row r="137" spans="1:1" ht="13.2" hidden="1">
      <c r="A137" s="29"/>
    </row>
    <row r="138" spans="1:1" ht="13.2" hidden="1">
      <c r="A138" s="29"/>
    </row>
    <row r="139" spans="1:1" ht="13.2" hidden="1">
      <c r="A139" s="29"/>
    </row>
    <row r="140" spans="1:1" ht="13.2" hidden="1">
      <c r="A140" s="29"/>
    </row>
    <row r="141" spans="1:1" ht="13.2" hidden="1">
      <c r="A141" s="29"/>
    </row>
    <row r="142" spans="1:1" ht="13.2" hidden="1">
      <c r="A142" s="29"/>
    </row>
    <row r="143" spans="1:1" ht="13.2" hidden="1">
      <c r="A143" s="29"/>
    </row>
    <row r="144" spans="1:1" ht="13.2" hidden="1">
      <c r="A144" s="29"/>
    </row>
    <row r="145" spans="1:25" ht="13.2" hidden="1">
      <c r="A145" s="29"/>
    </row>
    <row r="146" spans="1:25" ht="13.2" hidden="1">
      <c r="A146" s="29"/>
    </row>
    <row r="147" spans="1:25" ht="13.2" hidden="1">
      <c r="Y147" s="74"/>
    </row>
    <row r="148" spans="1:25" ht="13.2" hidden="1"/>
    <row r="149" spans="1:25" ht="13.2" hidden="1"/>
    <row r="150" spans="1:25" ht="13.2" hidden="1"/>
    <row r="151" spans="1:25" ht="13.2" hidden="1"/>
    <row r="152" spans="1:25" ht="13.2" hidden="1"/>
    <row r="153" spans="1:25" ht="13.2" hidden="1">
      <c r="A153" s="29"/>
    </row>
    <row r="154" spans="1:25" ht="13.2" hidden="1">
      <c r="A154" s="29"/>
    </row>
    <row r="155" spans="1:25" ht="13.2" hidden="1">
      <c r="A155" s="29"/>
    </row>
    <row r="156" spans="1:25" ht="13.2" hidden="1">
      <c r="A156" s="29"/>
    </row>
    <row r="157" spans="1:25" ht="13.2" hidden="1">
      <c r="A157" s="29"/>
    </row>
    <row r="158" spans="1:25" ht="13.2" hidden="1">
      <c r="A158" s="29"/>
    </row>
    <row r="159" spans="1:25" ht="13.2" hidden="1">
      <c r="A159" s="29"/>
    </row>
    <row r="160" spans="1:25" ht="13.2" hidden="1">
      <c r="A160" s="29"/>
    </row>
    <row r="161" spans="1:1" ht="13.2" hidden="1">
      <c r="A161" s="29"/>
    </row>
    <row r="162" spans="1:1" ht="13.2" hidden="1">
      <c r="A162" s="29"/>
    </row>
    <row r="163" spans="1:1" ht="13.2" hidden="1">
      <c r="A163" s="29"/>
    </row>
    <row r="164" spans="1:1" ht="13.2" hidden="1">
      <c r="A164" s="29"/>
    </row>
    <row r="165" spans="1:1" ht="13.2" hidden="1">
      <c r="A165" s="29"/>
    </row>
    <row r="166" spans="1:1" ht="13.2" hidden="1">
      <c r="A166" s="29"/>
    </row>
    <row r="167" spans="1:1" ht="13.2" hidden="1">
      <c r="A167" s="29"/>
    </row>
    <row r="168" spans="1:1" ht="13.2" hidden="1">
      <c r="A168" s="29"/>
    </row>
    <row r="169" spans="1:1" ht="13.2" hidden="1">
      <c r="A169" s="29"/>
    </row>
    <row r="170" spans="1:1" ht="13.2" hidden="1">
      <c r="A170" s="29"/>
    </row>
    <row r="171" spans="1:1" ht="13.2" hidden="1">
      <c r="A171" s="29"/>
    </row>
    <row r="172" spans="1:1" ht="13.2" hidden="1">
      <c r="A172" s="29"/>
    </row>
    <row r="173" spans="1:1" ht="13.2" hidden="1">
      <c r="A173" s="29"/>
    </row>
    <row r="174" spans="1:1" ht="13.2" hidden="1">
      <c r="A174" s="29"/>
    </row>
    <row r="175" spans="1:1" ht="13.2" hidden="1">
      <c r="A175" s="29"/>
    </row>
    <row r="176" spans="1:1" ht="13.2" hidden="1">
      <c r="A176" s="29"/>
    </row>
    <row r="177" spans="1:1" ht="13.2" hidden="1">
      <c r="A177" s="29"/>
    </row>
    <row r="178" spans="1:1" ht="13.2" hidden="1">
      <c r="A178" s="29"/>
    </row>
    <row r="179" spans="1:1" ht="13.2" hidden="1">
      <c r="A179" s="29"/>
    </row>
    <row r="180" spans="1:1" ht="13.2" hidden="1">
      <c r="A180" s="29"/>
    </row>
    <row r="181" spans="1:1" ht="13.2" hidden="1">
      <c r="A181" s="29"/>
    </row>
    <row r="182" spans="1:1" ht="13.2" hidden="1">
      <c r="A182" s="29"/>
    </row>
    <row r="183" spans="1:1" ht="13.2" hidden="1">
      <c r="A183" s="29"/>
    </row>
    <row r="184" spans="1:1" ht="13.2" hidden="1">
      <c r="A184" s="29"/>
    </row>
    <row r="185" spans="1:1" ht="13.2" hidden="1">
      <c r="A185" s="29"/>
    </row>
    <row r="186" spans="1:1" ht="13.2" hidden="1">
      <c r="A186" s="29"/>
    </row>
    <row r="187" spans="1:1" ht="13.2" hidden="1">
      <c r="A187" s="29"/>
    </row>
    <row r="188" spans="1:1" ht="13.2" hidden="1">
      <c r="A188" s="29"/>
    </row>
    <row r="189" spans="1:1" ht="13.2" hidden="1">
      <c r="A189" s="29"/>
    </row>
    <row r="190" spans="1:1" ht="13.2" hidden="1">
      <c r="A190" s="29"/>
    </row>
    <row r="191" spans="1:1" ht="13.2" hidden="1">
      <c r="A191" s="29"/>
    </row>
    <row r="192" spans="1:1" ht="13.2" hidden="1">
      <c r="A192" s="29"/>
    </row>
    <row r="193" spans="1:1" ht="13.2" hidden="1">
      <c r="A193" s="29"/>
    </row>
    <row r="194" spans="1:1" ht="13.2" hidden="1">
      <c r="A194" s="29"/>
    </row>
    <row r="195" spans="1:1" ht="13.2" hidden="1">
      <c r="A195" s="29"/>
    </row>
    <row r="196" spans="1:1" ht="13.2" hidden="1">
      <c r="A196" s="29"/>
    </row>
    <row r="197" spans="1:1" ht="13.2" hidden="1">
      <c r="A197" s="29"/>
    </row>
    <row r="198" spans="1:1" ht="13.2" hidden="1">
      <c r="A198" s="29"/>
    </row>
    <row r="199" spans="1:1" ht="13.2" hidden="1">
      <c r="A199" s="29"/>
    </row>
    <row r="200" spans="1:1" ht="13.2" hidden="1">
      <c r="A200" s="29"/>
    </row>
    <row r="201" spans="1:1" ht="13.2" hidden="1">
      <c r="A201" s="29"/>
    </row>
    <row r="202" spans="1:1" ht="13.2" hidden="1">
      <c r="A202" s="29"/>
    </row>
    <row r="203" spans="1:1" ht="13.2" hidden="1">
      <c r="A203" s="29"/>
    </row>
    <row r="204" spans="1:1" ht="13.2" hidden="1">
      <c r="A204" s="29"/>
    </row>
    <row r="205" spans="1:1" ht="13.2" hidden="1">
      <c r="A205" s="29"/>
    </row>
    <row r="206" spans="1:1" ht="13.2" hidden="1">
      <c r="A206" s="29"/>
    </row>
    <row r="207" spans="1:1" ht="13.2" hidden="1">
      <c r="A207" s="29"/>
    </row>
    <row r="208" spans="1:1" ht="13.2" hidden="1">
      <c r="A208" s="29"/>
    </row>
    <row r="209" spans="1:1" ht="13.2" hidden="1">
      <c r="A209" s="29"/>
    </row>
    <row r="210" spans="1:1" ht="13.2" hidden="1">
      <c r="A210" s="29"/>
    </row>
    <row r="211" spans="1:1" ht="13.2" hidden="1">
      <c r="A211" s="29"/>
    </row>
    <row r="212" spans="1:1" ht="13.2" hidden="1">
      <c r="A212" s="29"/>
    </row>
    <row r="213" spans="1:1" ht="13.2" hidden="1">
      <c r="A213" s="29"/>
    </row>
    <row r="214" spans="1:1" ht="13.2" hidden="1">
      <c r="A214" s="29"/>
    </row>
    <row r="215" spans="1:1" ht="13.2" hidden="1">
      <c r="A215" s="29"/>
    </row>
    <row r="216" spans="1:1" ht="13.2" hidden="1">
      <c r="A216" s="29"/>
    </row>
    <row r="217" spans="1:1" ht="13.2" hidden="1">
      <c r="A217" s="29"/>
    </row>
    <row r="218" spans="1:1" ht="13.2" hidden="1">
      <c r="A218" s="29"/>
    </row>
    <row r="219" spans="1:1" ht="13.2" hidden="1">
      <c r="A219" s="29"/>
    </row>
    <row r="220" spans="1:1" ht="13.2" hidden="1">
      <c r="A220" s="29"/>
    </row>
    <row r="221" spans="1:1" ht="13.2" hidden="1">
      <c r="A221" s="29"/>
    </row>
    <row r="222" spans="1:1" ht="13.2" hidden="1">
      <c r="A222" s="29"/>
    </row>
    <row r="223" spans="1:1" ht="13.2" hidden="1">
      <c r="A223" s="29"/>
    </row>
    <row r="224" spans="1:1" ht="13.2" hidden="1">
      <c r="A224" s="29"/>
    </row>
    <row r="225" spans="1:1" ht="13.2" hidden="1">
      <c r="A225" s="29"/>
    </row>
    <row r="226" spans="1:1" ht="13.2" hidden="1">
      <c r="A226" s="29"/>
    </row>
    <row r="227" spans="1:1" ht="13.2" hidden="1">
      <c r="A227" s="29"/>
    </row>
    <row r="228" spans="1:1" ht="13.2" hidden="1">
      <c r="A228" s="29"/>
    </row>
    <row r="229" spans="1:1" ht="13.2" hidden="1">
      <c r="A229" s="29"/>
    </row>
    <row r="230" spans="1:1" ht="13.2" hidden="1">
      <c r="A230" s="29"/>
    </row>
    <row r="231" spans="1:1" ht="13.2" hidden="1">
      <c r="A231" s="29"/>
    </row>
    <row r="232" spans="1:1" ht="13.2" hidden="1">
      <c r="A232" s="29"/>
    </row>
    <row r="233" spans="1:1" ht="13.2" hidden="1">
      <c r="A233" s="29"/>
    </row>
    <row r="234" spans="1:1" ht="13.2" hidden="1">
      <c r="A234" s="29"/>
    </row>
    <row r="235" spans="1:1" ht="13.2" hidden="1">
      <c r="A235" s="29"/>
    </row>
    <row r="236" spans="1:1" ht="13.2" hidden="1">
      <c r="A236" s="29"/>
    </row>
    <row r="237" spans="1:1" ht="13.2" hidden="1">
      <c r="A237" s="29"/>
    </row>
    <row r="238" spans="1:1" ht="13.2" hidden="1">
      <c r="A238" s="29"/>
    </row>
    <row r="239" spans="1:1" ht="13.2" hidden="1">
      <c r="A239" s="29"/>
    </row>
    <row r="240" spans="1:1" ht="13.2" hidden="1">
      <c r="A240" s="29"/>
    </row>
    <row r="241" spans="1:1" ht="13.2" hidden="1">
      <c r="A241" s="29"/>
    </row>
    <row r="242" spans="1:1" ht="13.2" hidden="1">
      <c r="A242" s="29"/>
    </row>
    <row r="243" spans="1:1" ht="13.2" hidden="1">
      <c r="A243" s="29"/>
    </row>
    <row r="244" spans="1:1" ht="13.2" hidden="1">
      <c r="A244" s="29"/>
    </row>
    <row r="245" spans="1:1" ht="13.2" hidden="1">
      <c r="A245" s="29"/>
    </row>
    <row r="246" spans="1:1" ht="13.2" hidden="1">
      <c r="A246" s="29"/>
    </row>
    <row r="247" spans="1:1" ht="13.2" hidden="1">
      <c r="A247" s="29"/>
    </row>
    <row r="248" spans="1:1" ht="13.2" hidden="1">
      <c r="A248" s="29"/>
    </row>
    <row r="249" spans="1:1" ht="13.2" hidden="1">
      <c r="A249" s="29"/>
    </row>
    <row r="250" spans="1:1" ht="13.2" hidden="1">
      <c r="A250" s="29"/>
    </row>
    <row r="251" spans="1:1" ht="13.2" hidden="1">
      <c r="A251" s="29"/>
    </row>
    <row r="252" spans="1:1" ht="13.2" hidden="1">
      <c r="A252" s="29"/>
    </row>
    <row r="253" spans="1:1" ht="13.2" hidden="1">
      <c r="A253" s="29"/>
    </row>
    <row r="254" spans="1:1" ht="13.2" hidden="1">
      <c r="A254" s="29"/>
    </row>
    <row r="255" spans="1:1" ht="13.2" hidden="1">
      <c r="A255" s="29"/>
    </row>
    <row r="256" spans="1:1" ht="13.2" hidden="1">
      <c r="A256" s="29"/>
    </row>
    <row r="257" spans="1:1" ht="13.2" hidden="1">
      <c r="A257" s="29"/>
    </row>
    <row r="258" spans="1:1" ht="13.2" hidden="1">
      <c r="A258" s="29"/>
    </row>
    <row r="259" spans="1:1" ht="13.2" hidden="1">
      <c r="A259" s="29"/>
    </row>
    <row r="260" spans="1:1" ht="13.2" hidden="1">
      <c r="A260" s="29"/>
    </row>
    <row r="261" spans="1:1" ht="13.2" hidden="1">
      <c r="A261" s="29"/>
    </row>
    <row r="262" spans="1:1" ht="13.2" hidden="1">
      <c r="A262" s="29"/>
    </row>
    <row r="263" spans="1:1" ht="13.2" hidden="1">
      <c r="A263" s="29"/>
    </row>
    <row r="264" spans="1:1" ht="13.2" hidden="1">
      <c r="A264" s="29"/>
    </row>
    <row r="265" spans="1:1" ht="13.2" hidden="1">
      <c r="A265" s="29"/>
    </row>
    <row r="266" spans="1:1" ht="13.2" hidden="1">
      <c r="A266" s="29"/>
    </row>
    <row r="267" spans="1:1" ht="13.2" hidden="1">
      <c r="A267" s="29"/>
    </row>
    <row r="268" spans="1:1" ht="13.2" hidden="1">
      <c r="A268" s="29"/>
    </row>
    <row r="269" spans="1:1" ht="13.2" hidden="1"/>
    <row r="270" spans="1:1" ht="13.2" hidden="1"/>
    <row r="271" spans="1:1" ht="13.2" hidden="1"/>
    <row r="272" spans="1:1" ht="13.2" hidden="1"/>
    <row r="273" spans="25:27" ht="13.2" hidden="1">
      <c r="Y273" s="15"/>
      <c r="Z273" s="15"/>
      <c r="AA273" s="15"/>
    </row>
    <row r="274" spans="25:27" ht="13.2" hidden="1"/>
  </sheetData>
  <mergeCells count="1">
    <mergeCell ref="B5:F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C20F5-AF30-45B9-970E-AB112FCAF3EF}">
  <sheetPr codeName="Sheet33">
    <tabColor theme="5"/>
  </sheetPr>
  <dimension ref="A1:AA26"/>
  <sheetViews>
    <sheetView showGridLines="0" zoomScale="70" zoomScaleNormal="70" workbookViewId="0"/>
  </sheetViews>
  <sheetFormatPr defaultColWidth="0" defaultRowHeight="13.2" zeroHeight="1"/>
  <cols>
    <col min="1" max="1" width="8.6640625" style="10" customWidth="1"/>
    <col min="2" max="2" width="22.5546875" style="10" bestFit="1" customWidth="1"/>
    <col min="3" max="14" width="14.6640625" style="10" bestFit="1" customWidth="1"/>
    <col min="15" max="15" width="8.6640625" style="10" customWidth="1"/>
    <col min="16" max="27" width="0" style="10" hidden="1" customWidth="1"/>
    <col min="28" max="16384" width="8.6640625" style="10" hidden="1"/>
  </cols>
  <sheetData>
    <row r="1" spans="1:26" ht="17.399999999999999">
      <c r="A1" s="43" t="s">
        <v>64</v>
      </c>
    </row>
    <row r="2" spans="1:26"/>
    <row r="3" spans="1:26">
      <c r="B3" s="28" t="s">
        <v>466</v>
      </c>
      <c r="C3" s="25"/>
      <c r="D3" s="25"/>
      <c r="E3" s="25"/>
      <c r="F3" s="25"/>
      <c r="G3" s="25"/>
      <c r="H3" s="25"/>
      <c r="I3" s="25"/>
      <c r="J3" s="25"/>
      <c r="K3" s="25"/>
      <c r="L3" s="25"/>
      <c r="M3" s="25"/>
      <c r="N3" s="25"/>
      <c r="O3" s="25"/>
      <c r="P3" s="25"/>
      <c r="Q3" s="25"/>
      <c r="R3" s="25"/>
      <c r="S3" s="25"/>
      <c r="T3" s="25"/>
      <c r="U3" s="25"/>
      <c r="V3" s="25"/>
      <c r="W3" s="25"/>
      <c r="X3" s="25"/>
      <c r="Y3" s="25"/>
      <c r="Z3" s="25"/>
    </row>
    <row r="4" spans="1:26"/>
    <row r="5" spans="1:26" ht="13.8" thickBot="1">
      <c r="B5" s="56" t="s">
        <v>658</v>
      </c>
      <c r="C5" s="187" t="s">
        <v>659</v>
      </c>
      <c r="D5" s="187" t="s">
        <v>660</v>
      </c>
      <c r="E5" s="187" t="s">
        <v>661</v>
      </c>
      <c r="F5" s="187" t="s">
        <v>662</v>
      </c>
      <c r="G5" s="187" t="s">
        <v>663</v>
      </c>
      <c r="H5" s="187" t="s">
        <v>664</v>
      </c>
      <c r="I5" s="187" t="s">
        <v>665</v>
      </c>
      <c r="J5" s="187" t="s">
        <v>666</v>
      </c>
      <c r="K5" s="187" t="s">
        <v>667</v>
      </c>
      <c r="L5" s="187" t="s">
        <v>668</v>
      </c>
      <c r="M5" s="187" t="s">
        <v>669</v>
      </c>
      <c r="N5" s="187" t="s">
        <v>670</v>
      </c>
      <c r="O5" s="13"/>
    </row>
    <row r="6" spans="1:26">
      <c r="B6" s="53" t="s">
        <v>671</v>
      </c>
      <c r="C6" s="175">
        <f>AVERAGE(C23,C18,C13)</f>
        <v>0.42536672434757872</v>
      </c>
      <c r="D6" s="175">
        <f t="shared" ref="D6:N6" si="0">AVERAGE(D23,D18,D13)</f>
        <v>0.39563306900793194</v>
      </c>
      <c r="E6" s="175">
        <f t="shared" si="0"/>
        <v>0.40945829212687096</v>
      </c>
      <c r="F6" s="175">
        <f t="shared" si="0"/>
        <v>0.44301408672738335</v>
      </c>
      <c r="G6" s="175">
        <f t="shared" si="0"/>
        <v>0.45773060625678352</v>
      </c>
      <c r="H6" s="175">
        <f t="shared" si="0"/>
        <v>0.47704982127054418</v>
      </c>
      <c r="I6" s="175">
        <f t="shared" si="0"/>
        <v>0.51330032908815726</v>
      </c>
      <c r="J6" s="175">
        <f t="shared" si="0"/>
        <v>0.55229336614828295</v>
      </c>
      <c r="K6" s="175">
        <f t="shared" si="0"/>
        <v>0.58296096919211049</v>
      </c>
      <c r="L6" s="175">
        <f t="shared" si="0"/>
        <v>0.57276101211934238</v>
      </c>
      <c r="M6" s="175">
        <f t="shared" si="0"/>
        <v>0.53776420378630108</v>
      </c>
      <c r="N6" s="175">
        <f t="shared" si="0"/>
        <v>0.48525400527825502</v>
      </c>
      <c r="O6" s="13"/>
    </row>
    <row r="7" spans="1:26">
      <c r="C7" s="13"/>
      <c r="D7" s="13"/>
      <c r="E7" s="13"/>
      <c r="F7" s="13"/>
      <c r="G7" s="13"/>
      <c r="H7" s="13"/>
      <c r="I7" s="13"/>
      <c r="J7" s="13"/>
      <c r="K7" s="13"/>
      <c r="L7" s="13"/>
      <c r="M7" s="13"/>
      <c r="N7" s="13"/>
      <c r="O7" s="13"/>
    </row>
    <row r="8" spans="1:26">
      <c r="B8" s="28" t="s">
        <v>672</v>
      </c>
      <c r="C8" s="189"/>
      <c r="D8" s="189"/>
      <c r="E8" s="189"/>
      <c r="F8" s="189"/>
      <c r="G8" s="189"/>
      <c r="H8" s="189"/>
      <c r="I8" s="189"/>
      <c r="J8" s="189"/>
      <c r="K8" s="189"/>
      <c r="L8" s="189"/>
      <c r="M8" s="189"/>
      <c r="N8" s="189"/>
      <c r="O8" s="189"/>
      <c r="P8" s="25"/>
      <c r="Q8" s="25"/>
      <c r="R8" s="25"/>
      <c r="S8" s="25"/>
      <c r="T8" s="25"/>
      <c r="U8" s="25"/>
      <c r="V8" s="25"/>
      <c r="W8" s="25"/>
      <c r="X8" s="25"/>
      <c r="Y8" s="25"/>
      <c r="Z8" s="25"/>
    </row>
    <row r="9" spans="1:26">
      <c r="C9" s="13"/>
      <c r="D9" s="13"/>
      <c r="E9" s="13"/>
      <c r="F9" s="13"/>
      <c r="G9" s="13"/>
      <c r="H9" s="13"/>
      <c r="I9" s="13"/>
      <c r="J9" s="13"/>
      <c r="K9" s="13"/>
      <c r="L9" s="13"/>
      <c r="M9" s="13"/>
      <c r="N9" s="13"/>
      <c r="O9" s="13"/>
    </row>
    <row r="10" spans="1:26" ht="13.8" thickBot="1">
      <c r="B10" s="125"/>
      <c r="C10" s="190">
        <v>43466</v>
      </c>
      <c r="D10" s="190">
        <v>43497</v>
      </c>
      <c r="E10" s="190">
        <v>43525</v>
      </c>
      <c r="F10" s="190">
        <v>43556</v>
      </c>
      <c r="G10" s="190">
        <v>43586</v>
      </c>
      <c r="H10" s="190">
        <v>43617</v>
      </c>
      <c r="I10" s="190">
        <v>43647</v>
      </c>
      <c r="J10" s="190">
        <v>43678</v>
      </c>
      <c r="K10" s="190">
        <v>43709</v>
      </c>
      <c r="L10" s="190">
        <v>43739</v>
      </c>
      <c r="M10" s="190">
        <v>43770</v>
      </c>
      <c r="N10" s="190">
        <v>43800</v>
      </c>
      <c r="O10" s="191"/>
      <c r="P10" s="49"/>
    </row>
    <row r="11" spans="1:26">
      <c r="B11" s="27" t="s">
        <v>673</v>
      </c>
      <c r="C11" s="128">
        <v>1493847598.23</v>
      </c>
      <c r="D11" s="128">
        <v>1396407390.6100001</v>
      </c>
      <c r="E11" s="128">
        <v>1247003884.4200001</v>
      </c>
      <c r="F11" s="128">
        <v>1109692032.4799998</v>
      </c>
      <c r="G11" s="128">
        <v>1086993978.72</v>
      </c>
      <c r="H11" s="128">
        <v>1048529741.15</v>
      </c>
      <c r="I11" s="128">
        <v>1137922982.2000003</v>
      </c>
      <c r="J11" s="128">
        <v>1334265392.2199998</v>
      </c>
      <c r="K11" s="128">
        <v>1520538547.6199999</v>
      </c>
      <c r="L11" s="128">
        <v>1737117856.8199997</v>
      </c>
      <c r="M11" s="128">
        <v>1912381763.3199995</v>
      </c>
      <c r="N11" s="128">
        <v>1805642659.4400001</v>
      </c>
      <c r="O11" s="13"/>
    </row>
    <row r="12" spans="1:26">
      <c r="B12" s="27" t="s">
        <v>674</v>
      </c>
      <c r="C12" s="128">
        <v>601677647.58999991</v>
      </c>
      <c r="D12" s="128">
        <v>551615019.1500001</v>
      </c>
      <c r="E12" s="128">
        <v>529568720.89000005</v>
      </c>
      <c r="F12" s="128">
        <v>478242718.09999996</v>
      </c>
      <c r="G12" s="128">
        <v>516240934.74999994</v>
      </c>
      <c r="H12" s="128">
        <v>522449540.51000011</v>
      </c>
      <c r="I12" s="128">
        <v>620617873.05000007</v>
      </c>
      <c r="J12" s="128">
        <v>778203675.5</v>
      </c>
      <c r="K12" s="128">
        <v>936892351.22000003</v>
      </c>
      <c r="L12" s="128">
        <v>1042204609.3099999</v>
      </c>
      <c r="M12" s="128">
        <v>1058494959.8300002</v>
      </c>
      <c r="N12" s="128">
        <v>892768124.88</v>
      </c>
      <c r="O12" s="13"/>
    </row>
    <row r="13" spans="1:26">
      <c r="B13" s="27" t="s">
        <v>675</v>
      </c>
      <c r="C13" s="192">
        <f t="shared" ref="C13:N13" si="1">C12/C11</f>
        <v>0.4027704354198538</v>
      </c>
      <c r="D13" s="192">
        <f t="shared" si="1"/>
        <v>0.39502441970679858</v>
      </c>
      <c r="E13" s="192">
        <f t="shared" si="1"/>
        <v>0.42467287191836639</v>
      </c>
      <c r="F13" s="192">
        <f t="shared" si="1"/>
        <v>0.43096886712901533</v>
      </c>
      <c r="G13" s="192">
        <f t="shared" si="1"/>
        <v>0.47492529384376564</v>
      </c>
      <c r="H13" s="192">
        <f t="shared" si="1"/>
        <v>0.4982686899629486</v>
      </c>
      <c r="I13" s="192">
        <f t="shared" si="1"/>
        <v>0.54539532354828635</v>
      </c>
      <c r="J13" s="192">
        <f t="shared" si="1"/>
        <v>0.58324504258121856</v>
      </c>
      <c r="K13" s="192">
        <f t="shared" si="1"/>
        <v>0.61615823728142682</v>
      </c>
      <c r="L13" s="192">
        <f t="shared" si="1"/>
        <v>0.59996194571269856</v>
      </c>
      <c r="M13" s="192">
        <f t="shared" si="1"/>
        <v>0.55349563572097393</v>
      </c>
      <c r="N13" s="192">
        <f t="shared" si="1"/>
        <v>0.49443233976144652</v>
      </c>
      <c r="O13" s="13"/>
    </row>
    <row r="14" spans="1:26">
      <c r="C14" s="13"/>
      <c r="D14" s="13"/>
      <c r="E14" s="13"/>
      <c r="F14" s="13"/>
      <c r="G14" s="13"/>
      <c r="H14" s="13"/>
      <c r="I14" s="13"/>
      <c r="J14" s="13"/>
      <c r="K14" s="13"/>
      <c r="L14" s="13"/>
      <c r="M14" s="13"/>
      <c r="N14" s="13"/>
      <c r="O14" s="13"/>
    </row>
    <row r="15" spans="1:26" ht="13.8" thickBot="1">
      <c r="B15" s="125"/>
      <c r="C15" s="190">
        <v>43831</v>
      </c>
      <c r="D15" s="190">
        <v>43862</v>
      </c>
      <c r="E15" s="190">
        <v>43891</v>
      </c>
      <c r="F15" s="190">
        <v>43922</v>
      </c>
      <c r="G15" s="190">
        <v>43952</v>
      </c>
      <c r="H15" s="190">
        <v>43983</v>
      </c>
      <c r="I15" s="190">
        <v>44013</v>
      </c>
      <c r="J15" s="190">
        <v>44044</v>
      </c>
      <c r="K15" s="190">
        <v>44075</v>
      </c>
      <c r="L15" s="190">
        <v>44105</v>
      </c>
      <c r="M15" s="190">
        <v>44136</v>
      </c>
      <c r="N15" s="190">
        <v>44166</v>
      </c>
      <c r="O15" s="13"/>
    </row>
    <row r="16" spans="1:26">
      <c r="B16" s="27" t="s">
        <v>673</v>
      </c>
      <c r="C16" s="128">
        <v>1686027755.2899997</v>
      </c>
      <c r="D16" s="128">
        <v>1460230062.4499996</v>
      </c>
      <c r="E16" s="128">
        <v>1338111872.3599999</v>
      </c>
      <c r="F16" s="128">
        <v>1274823127.03</v>
      </c>
      <c r="G16" s="128">
        <v>1655832249.1899998</v>
      </c>
      <c r="H16" s="128">
        <v>1657613363.8499997</v>
      </c>
      <c r="I16" s="128">
        <v>1817137626.24</v>
      </c>
      <c r="J16" s="128">
        <v>1950106480.5599999</v>
      </c>
      <c r="K16" s="128">
        <v>2166420728.3799996</v>
      </c>
      <c r="L16" s="128">
        <v>2449672437.5999999</v>
      </c>
      <c r="M16" s="128">
        <v>2576421419.75</v>
      </c>
      <c r="N16" s="128">
        <v>2662908774.1300001</v>
      </c>
      <c r="O16" s="13"/>
    </row>
    <row r="17" spans="2:27">
      <c r="B17" s="27" t="s">
        <v>674</v>
      </c>
      <c r="C17" s="128">
        <v>786206828.38999999</v>
      </c>
      <c r="D17" s="128">
        <v>639609377.44000018</v>
      </c>
      <c r="E17" s="128">
        <v>595620314.04999995</v>
      </c>
      <c r="F17" s="128">
        <v>624018917.66000009</v>
      </c>
      <c r="G17" s="128">
        <v>729453581.06000018</v>
      </c>
      <c r="H17" s="128">
        <v>755591478.64999998</v>
      </c>
      <c r="I17" s="128">
        <v>874416319.50000012</v>
      </c>
      <c r="J17" s="128">
        <v>1016671807.6999998</v>
      </c>
      <c r="K17" s="128">
        <v>1191019477.7799997</v>
      </c>
      <c r="L17" s="128">
        <v>1336443487.4200001</v>
      </c>
      <c r="M17" s="128">
        <v>1344976415.2099998</v>
      </c>
      <c r="N17" s="128">
        <v>1267746080.9100001</v>
      </c>
      <c r="O17" s="13"/>
    </row>
    <row r="18" spans="2:27">
      <c r="B18" s="27" t="s">
        <v>675</v>
      </c>
      <c r="C18" s="192">
        <f t="shared" ref="C18:N18" si="2">C17/C16</f>
        <v>0.46630716838630631</v>
      </c>
      <c r="D18" s="192">
        <f t="shared" si="2"/>
        <v>0.43801959286254682</v>
      </c>
      <c r="E18" s="192">
        <f t="shared" si="2"/>
        <v>0.44511996818286714</v>
      </c>
      <c r="F18" s="192">
        <f t="shared" si="2"/>
        <v>0.48949450667230893</v>
      </c>
      <c r="G18" s="192">
        <f t="shared" si="2"/>
        <v>0.44053591866980146</v>
      </c>
      <c r="H18" s="192">
        <f t="shared" si="2"/>
        <v>0.45583095257813977</v>
      </c>
      <c r="I18" s="192">
        <f t="shared" si="2"/>
        <v>0.48120533462802823</v>
      </c>
      <c r="J18" s="192">
        <f t="shared" si="2"/>
        <v>0.52134168971534744</v>
      </c>
      <c r="K18" s="192">
        <f t="shared" si="2"/>
        <v>0.54976370110279416</v>
      </c>
      <c r="L18" s="192">
        <f t="shared" si="2"/>
        <v>0.5455600785259862</v>
      </c>
      <c r="M18" s="192">
        <f t="shared" si="2"/>
        <v>0.52203277185162822</v>
      </c>
      <c r="N18" s="192">
        <f t="shared" si="2"/>
        <v>0.47607567079506352</v>
      </c>
      <c r="O18" s="13"/>
    </row>
    <row r="19" spans="2:27">
      <c r="C19" s="13"/>
      <c r="D19" s="13"/>
      <c r="E19" s="13"/>
      <c r="F19" s="13"/>
      <c r="G19" s="13"/>
      <c r="H19" s="13"/>
      <c r="I19" s="13"/>
      <c r="J19" s="13"/>
      <c r="K19" s="13"/>
      <c r="L19" s="13"/>
      <c r="M19" s="13"/>
      <c r="N19" s="13"/>
      <c r="O19" s="13"/>
    </row>
    <row r="20" spans="2:27" ht="13.8" thickBot="1">
      <c r="B20" s="125"/>
      <c r="C20" s="190">
        <v>44197</v>
      </c>
      <c r="D20" s="190">
        <v>44228</v>
      </c>
      <c r="E20" s="190">
        <v>44256</v>
      </c>
      <c r="F20" s="190">
        <v>44287</v>
      </c>
      <c r="G20" s="13"/>
      <c r="H20" s="13"/>
      <c r="I20" s="13"/>
      <c r="J20" s="13"/>
      <c r="K20" s="13"/>
      <c r="L20" s="13"/>
      <c r="M20" s="13"/>
      <c r="N20" s="13"/>
      <c r="O20" s="13"/>
    </row>
    <row r="21" spans="2:27">
      <c r="B21" s="27" t="s">
        <v>673</v>
      </c>
      <c r="C21" s="193">
        <v>2658590369.5700002</v>
      </c>
      <c r="D21" s="193">
        <v>2351345761.5700006</v>
      </c>
      <c r="E21" s="193">
        <v>2166994130.8899994</v>
      </c>
      <c r="F21" s="193">
        <v>2012080055.1199996</v>
      </c>
      <c r="G21" s="13"/>
      <c r="H21" s="13"/>
      <c r="I21" s="13"/>
      <c r="J21" s="13"/>
      <c r="K21" s="13"/>
      <c r="L21" s="13"/>
      <c r="M21" s="13"/>
      <c r="N21" s="13"/>
      <c r="O21" s="13"/>
    </row>
    <row r="22" spans="2:27">
      <c r="B22" s="27" t="s">
        <v>674</v>
      </c>
      <c r="C22" s="193">
        <v>1082106282.77</v>
      </c>
      <c r="D22" s="193">
        <v>832035911.68999994</v>
      </c>
      <c r="E22" s="193">
        <v>777045168.05999994</v>
      </c>
      <c r="F22" s="193">
        <v>822093428.23000002</v>
      </c>
      <c r="G22" s="13"/>
      <c r="H22" s="13"/>
      <c r="I22" s="13"/>
      <c r="J22" s="13"/>
      <c r="K22" s="13"/>
      <c r="L22" s="13"/>
      <c r="M22" s="13"/>
      <c r="N22" s="13"/>
      <c r="O22" s="13"/>
    </row>
    <row r="23" spans="2:27">
      <c r="B23" s="27" t="s">
        <v>675</v>
      </c>
      <c r="C23" s="192">
        <f>C22/C21</f>
        <v>0.40702256923657615</v>
      </c>
      <c r="D23" s="192">
        <f>D22/D21</f>
        <v>0.35385519445445024</v>
      </c>
      <c r="E23" s="192">
        <f>E22/E21</f>
        <v>0.3585820362793794</v>
      </c>
      <c r="F23" s="192">
        <f>F22/F21</f>
        <v>0.40857888638082579</v>
      </c>
      <c r="G23" s="192"/>
      <c r="H23" s="192"/>
      <c r="I23" s="192"/>
      <c r="J23" s="192"/>
      <c r="K23" s="192"/>
      <c r="L23" s="192"/>
      <c r="M23" s="192"/>
      <c r="N23" s="192"/>
      <c r="O23" s="13"/>
    </row>
    <row r="24" spans="2:27"/>
    <row r="25" spans="2:27">
      <c r="B25" s="14" t="s">
        <v>362</v>
      </c>
      <c r="C25" s="15"/>
      <c r="D25" s="15"/>
      <c r="E25" s="15"/>
      <c r="F25" s="16"/>
      <c r="G25" s="14"/>
      <c r="H25" s="15"/>
      <c r="I25" s="15"/>
      <c r="J25" s="15"/>
      <c r="K25" s="16"/>
      <c r="L25" s="14"/>
      <c r="M25" s="15"/>
      <c r="N25" s="15"/>
      <c r="O25" s="15"/>
      <c r="P25" s="15"/>
      <c r="Q25" s="15"/>
      <c r="R25" s="15"/>
      <c r="S25" s="15"/>
      <c r="T25" s="15"/>
      <c r="U25" s="15"/>
      <c r="V25" s="15"/>
      <c r="W25" s="15"/>
      <c r="X25" s="15"/>
      <c r="Y25" s="15"/>
      <c r="Z25" s="15"/>
      <c r="AA25" s="15"/>
    </row>
    <row r="26" spans="2:27"/>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6C65-9962-45AC-AF03-BA3E29EFEF77}">
  <sheetPr codeName="Sheet37">
    <tabColor theme="5"/>
  </sheetPr>
  <dimension ref="A1:AA55"/>
  <sheetViews>
    <sheetView showGridLines="0" zoomScale="55" zoomScaleNormal="55" workbookViewId="0"/>
  </sheetViews>
  <sheetFormatPr defaultColWidth="0" defaultRowHeight="13.2" zeroHeight="1"/>
  <cols>
    <col min="1" max="1" width="3.33203125" style="10" customWidth="1"/>
    <col min="2" max="2" width="48.109375" style="10" customWidth="1"/>
    <col min="3" max="3" width="46.88671875" style="10" customWidth="1"/>
    <col min="4" max="4" width="34.109375" style="10" customWidth="1"/>
    <col min="5" max="5" width="36.88671875" style="10" customWidth="1"/>
    <col min="6" max="6" width="30" style="10" bestFit="1" customWidth="1"/>
    <col min="7" max="7" width="18.5546875" style="10" bestFit="1" customWidth="1"/>
    <col min="8" max="8" width="34" style="10" bestFit="1" customWidth="1"/>
    <col min="9" max="9" width="23.33203125" style="10" bestFit="1" customWidth="1"/>
    <col min="10" max="10" width="21.33203125" style="10" bestFit="1" customWidth="1"/>
    <col min="11" max="11" width="8.6640625" style="10" customWidth="1"/>
    <col min="12" max="27" width="0" style="10" hidden="1" customWidth="1"/>
    <col min="28" max="16384" width="8.6640625" style="10" hidden="1"/>
  </cols>
  <sheetData>
    <row r="1" spans="1:9" s="18" customFormat="1" ht="17.399999999999999">
      <c r="A1" s="60" t="s">
        <v>66</v>
      </c>
    </row>
    <row r="2" spans="1:9" s="18" customFormat="1">
      <c r="B2" s="61"/>
    </row>
    <row r="3" spans="1:9"/>
    <row r="4" spans="1:9" ht="13.8" thickBot="1">
      <c r="B4" s="916" t="s">
        <v>676</v>
      </c>
      <c r="C4" s="916"/>
      <c r="D4" s="916"/>
      <c r="E4" s="916"/>
      <c r="F4" s="916"/>
      <c r="G4" s="916"/>
      <c r="H4" s="916"/>
    </row>
    <row r="5" spans="1:9">
      <c r="B5" s="497" t="s">
        <v>405</v>
      </c>
      <c r="C5" s="497" t="s">
        <v>677</v>
      </c>
      <c r="D5" s="497" t="s">
        <v>678</v>
      </c>
      <c r="E5" s="497" t="s">
        <v>679</v>
      </c>
      <c r="F5" s="497" t="s">
        <v>680</v>
      </c>
      <c r="G5" s="497" t="s">
        <v>681</v>
      </c>
      <c r="H5" s="497" t="s">
        <v>682</v>
      </c>
    </row>
    <row r="6" spans="1:9">
      <c r="B6" s="13" t="s">
        <v>683</v>
      </c>
      <c r="C6" s="13">
        <v>40</v>
      </c>
      <c r="D6" s="13">
        <v>3</v>
      </c>
      <c r="E6" s="13">
        <v>0</v>
      </c>
      <c r="F6" s="128">
        <f>C6-'Customer Groups'!$D$13</f>
        <v>34.541666666666664</v>
      </c>
      <c r="G6" s="131"/>
      <c r="H6" s="131"/>
      <c r="I6" s="91"/>
    </row>
    <row r="7" spans="1:9">
      <c r="B7" s="13" t="s">
        <v>684</v>
      </c>
      <c r="C7" s="13">
        <v>43</v>
      </c>
      <c r="D7" s="13">
        <v>1</v>
      </c>
      <c r="E7" s="13">
        <v>0</v>
      </c>
      <c r="F7" s="128">
        <f>C7-'Customer Groups'!$D$13</f>
        <v>37.541666666666664</v>
      </c>
      <c r="G7" s="131"/>
      <c r="H7" s="131"/>
      <c r="I7" s="91"/>
    </row>
    <row r="8" spans="1:9">
      <c r="B8" s="13" t="s">
        <v>685</v>
      </c>
      <c r="C8" s="13">
        <v>44</v>
      </c>
      <c r="D8" s="13">
        <v>4</v>
      </c>
      <c r="E8" s="13">
        <v>0</v>
      </c>
      <c r="F8" s="128">
        <f>C8-'Customer Groups'!$D$13</f>
        <v>38.541666666666664</v>
      </c>
      <c r="G8" s="131"/>
      <c r="H8" s="131"/>
      <c r="I8" s="91"/>
    </row>
    <row r="9" spans="1:9">
      <c r="B9" s="13" t="s">
        <v>686</v>
      </c>
      <c r="C9" s="13">
        <v>48</v>
      </c>
      <c r="D9" s="13">
        <v>5</v>
      </c>
      <c r="E9" s="13">
        <v>-2</v>
      </c>
      <c r="F9" s="128">
        <f>C9-'Customer Groups'!$D$13</f>
        <v>42.541666666666664</v>
      </c>
      <c r="G9" s="131"/>
      <c r="H9" s="131">
        <f>SUM(E6:E9)*(-1)/MAX(F6+SUM(D6:D9))</f>
        <v>4.2068361086765996E-2</v>
      </c>
      <c r="I9" s="91"/>
    </row>
    <row r="10" spans="1:9">
      <c r="B10" s="13" t="s">
        <v>687</v>
      </c>
      <c r="C10" s="13">
        <v>51</v>
      </c>
      <c r="D10" s="13">
        <v>2</v>
      </c>
      <c r="E10" s="13"/>
      <c r="F10" s="128">
        <f>C10-'Customer Groups'!$D$13</f>
        <v>45.541666666666664</v>
      </c>
      <c r="G10" s="131"/>
      <c r="H10" s="131"/>
      <c r="I10" s="91"/>
    </row>
    <row r="11" spans="1:9">
      <c r="B11" s="13" t="s">
        <v>688</v>
      </c>
      <c r="C11" s="13">
        <v>53</v>
      </c>
      <c r="D11" s="13">
        <v>6</v>
      </c>
      <c r="E11" s="13"/>
      <c r="F11" s="128">
        <f>C11-'Customer Groups'!$D$13</f>
        <v>47.541666666666664</v>
      </c>
      <c r="G11" s="131"/>
      <c r="H11" s="131"/>
      <c r="I11" s="91"/>
    </row>
    <row r="12" spans="1:9">
      <c r="B12" s="13" t="s">
        <v>689</v>
      </c>
      <c r="C12" s="13">
        <v>59</v>
      </c>
      <c r="D12" s="13">
        <v>7</v>
      </c>
      <c r="E12" s="13">
        <v>-1</v>
      </c>
      <c r="F12" s="128">
        <f>C12-'Customer Groups'!$D$13</f>
        <v>53.541666666666664</v>
      </c>
      <c r="G12" s="131"/>
      <c r="H12" s="131"/>
      <c r="I12" s="91"/>
    </row>
    <row r="13" spans="1:9">
      <c r="B13" s="13" t="s">
        <v>690</v>
      </c>
      <c r="C13" s="13">
        <v>65</v>
      </c>
      <c r="D13" s="13">
        <v>3</v>
      </c>
      <c r="E13" s="13"/>
      <c r="F13" s="128">
        <f>C13-'Customer Groups'!$D$13</f>
        <v>59.541666666666664</v>
      </c>
      <c r="G13" s="131"/>
      <c r="H13" s="131">
        <f>SUM(E10:E13)*(-1)/MAX(F10+SUM(D10:D13))</f>
        <v>1.5737704918032787E-2</v>
      </c>
      <c r="I13" s="91"/>
    </row>
    <row r="14" spans="1:9">
      <c r="B14" s="13" t="s">
        <v>691</v>
      </c>
      <c r="C14" s="13">
        <v>68</v>
      </c>
      <c r="D14" s="13">
        <v>3</v>
      </c>
      <c r="E14" s="13">
        <v>-1</v>
      </c>
      <c r="F14" s="128">
        <f>C14-'Customer Groups'!$D$13</f>
        <v>62.541666666666664</v>
      </c>
      <c r="G14" s="131"/>
      <c r="H14" s="131"/>
      <c r="I14" s="91"/>
    </row>
    <row r="15" spans="1:9">
      <c r="B15" s="13" t="s">
        <v>692</v>
      </c>
      <c r="C15" s="13">
        <v>70</v>
      </c>
      <c r="D15" s="13">
        <v>1</v>
      </c>
      <c r="E15" s="13">
        <v>-1</v>
      </c>
      <c r="F15" s="128">
        <f>C15-'Customer Groups'!$D$13</f>
        <v>64.541666666666671</v>
      </c>
      <c r="G15" s="131"/>
      <c r="H15" s="131"/>
      <c r="I15" s="91"/>
    </row>
    <row r="16" spans="1:9">
      <c r="B16" s="13" t="s">
        <v>693</v>
      </c>
      <c r="C16" s="13">
        <v>70</v>
      </c>
      <c r="D16" s="13">
        <v>0</v>
      </c>
      <c r="E16" s="13">
        <v>-3</v>
      </c>
      <c r="F16" s="128">
        <f>C16-'Customer Groups'!$D$13</f>
        <v>64.541666666666671</v>
      </c>
      <c r="G16" s="131"/>
      <c r="H16" s="131"/>
      <c r="I16" s="91"/>
    </row>
    <row r="17" spans="2:9">
      <c r="B17" s="13" t="s">
        <v>694</v>
      </c>
      <c r="C17" s="13">
        <v>67</v>
      </c>
      <c r="D17" s="13">
        <v>0</v>
      </c>
      <c r="E17" s="13">
        <v>-5</v>
      </c>
      <c r="F17" s="128">
        <f>C17-'Customer Groups'!$D$13</f>
        <v>61.541666666666664</v>
      </c>
      <c r="G17" s="131">
        <f>SUM(E6:E17)*(-1)/MAX(F6+SUM(D6:D17))</f>
        <v>0.18693828639904136</v>
      </c>
      <c r="H17" s="131">
        <f>SUM(E14:E17)*(-1)/MAX(F14+SUM(D14:D17))</f>
        <v>0.15028177833437698</v>
      </c>
      <c r="I17" s="91"/>
    </row>
    <row r="18" spans="2:9">
      <c r="B18" s="13" t="s">
        <v>695</v>
      </c>
      <c r="C18" s="13">
        <v>62</v>
      </c>
      <c r="D18" s="13">
        <v>1</v>
      </c>
      <c r="E18" s="13">
        <v>-4</v>
      </c>
      <c r="F18" s="128">
        <f>C18-'Customer Groups'!$D$13</f>
        <v>56.541666666666664</v>
      </c>
      <c r="G18" s="131"/>
      <c r="H18" s="131"/>
      <c r="I18" s="91"/>
    </row>
    <row r="19" spans="2:9">
      <c r="B19" s="13" t="s">
        <v>696</v>
      </c>
      <c r="C19" s="13">
        <v>59</v>
      </c>
      <c r="D19" s="13">
        <v>5</v>
      </c>
      <c r="E19" s="13"/>
      <c r="F19" s="128">
        <f>C19-'Customer Groups'!$D$13</f>
        <v>53.541666666666664</v>
      </c>
      <c r="G19" s="131"/>
      <c r="H19" s="131"/>
      <c r="I19" s="91"/>
    </row>
    <row r="20" spans="2:9">
      <c r="B20" s="13" t="s">
        <v>697</v>
      </c>
      <c r="C20" s="13">
        <v>64</v>
      </c>
      <c r="D20" s="13">
        <v>1</v>
      </c>
      <c r="E20" s="13">
        <v>-4</v>
      </c>
      <c r="F20" s="128">
        <f>C20-'Customer Groups'!$D$13</f>
        <v>58.541666666666664</v>
      </c>
      <c r="G20" s="131"/>
      <c r="H20" s="131"/>
      <c r="I20" s="91"/>
    </row>
    <row r="21" spans="2:9">
      <c r="B21" s="13" t="s">
        <v>698</v>
      </c>
      <c r="C21" s="13">
        <v>61</v>
      </c>
      <c r="D21" s="13">
        <v>1</v>
      </c>
      <c r="E21" s="13">
        <v>-4</v>
      </c>
      <c r="F21" s="128">
        <f>C21-'Customer Groups'!$D$13</f>
        <v>55.541666666666664</v>
      </c>
      <c r="G21" s="131">
        <f>SUM(E10:E21)*(-1)/MAX(F10+SUM(D10:D21))</f>
        <v>0.30446773303916164</v>
      </c>
      <c r="H21" s="131">
        <f>SUM(E18:E21)*(-1)/MAX(F18+SUM(D18:D21))</f>
        <v>0.18592640413169789</v>
      </c>
      <c r="I21" s="91"/>
    </row>
    <row r="22" spans="2:9">
      <c r="B22" s="13" t="s">
        <v>699</v>
      </c>
      <c r="C22" s="13">
        <v>58</v>
      </c>
      <c r="D22" s="13">
        <v>1</v>
      </c>
      <c r="E22" s="13">
        <v>-2</v>
      </c>
      <c r="F22" s="128">
        <f>C22-'Customer Groups'!$D$13</f>
        <v>52.541666666666664</v>
      </c>
      <c r="G22" s="131"/>
      <c r="H22" s="131"/>
      <c r="I22" s="91"/>
    </row>
    <row r="23" spans="2:9">
      <c r="B23" s="13" t="s">
        <v>700</v>
      </c>
      <c r="C23" s="13">
        <v>57</v>
      </c>
      <c r="D23" s="13">
        <v>1</v>
      </c>
      <c r="E23" s="13">
        <v>-2</v>
      </c>
      <c r="F23" s="128">
        <f>C23-'Customer Groups'!$D$13</f>
        <v>51.541666666666664</v>
      </c>
      <c r="G23" s="131"/>
      <c r="H23" s="131"/>
      <c r="I23" s="91"/>
    </row>
    <row r="24" spans="2:9">
      <c r="B24" s="13" t="s">
        <v>701</v>
      </c>
      <c r="C24" s="13">
        <v>56</v>
      </c>
      <c r="D24" s="13">
        <v>0</v>
      </c>
      <c r="E24" s="13">
        <v>-1</v>
      </c>
      <c r="F24" s="128">
        <f>C24-'Customer Groups'!$D$13</f>
        <v>50.541666666666664</v>
      </c>
      <c r="G24" s="131"/>
      <c r="H24" s="131"/>
      <c r="I24" s="91"/>
    </row>
    <row r="25" spans="2:9">
      <c r="B25" s="13" t="s">
        <v>702</v>
      </c>
      <c r="C25" s="13">
        <v>55</v>
      </c>
      <c r="D25" s="13">
        <v>0</v>
      </c>
      <c r="E25" s="13">
        <v>-3</v>
      </c>
      <c r="F25" s="128">
        <f>C25-'Customer Groups'!$D$13</f>
        <v>49.541666666666664</v>
      </c>
      <c r="G25" s="131">
        <f>SUM(E14:E25)*(-1)/MAX(F14+SUM(D14:D25))</f>
        <v>0.39194338595536204</v>
      </c>
      <c r="H25" s="131">
        <f>SUM(E22:E25)*(-1)/MAX(F22+SUM(D22:D25))</f>
        <v>0.14667685255920551</v>
      </c>
      <c r="I25" s="91"/>
    </row>
    <row r="26" spans="2:9">
      <c r="B26" s="13" t="s">
        <v>703</v>
      </c>
      <c r="C26" s="13">
        <v>52</v>
      </c>
      <c r="D26" s="13">
        <v>1</v>
      </c>
      <c r="E26" s="13">
        <v>-4</v>
      </c>
      <c r="F26" s="128">
        <f>C26-'Customer Groups'!$D$13</f>
        <v>46.541666666666664</v>
      </c>
      <c r="G26" s="131"/>
      <c r="H26" s="131"/>
      <c r="I26" s="91"/>
    </row>
    <row r="27" spans="2:9">
      <c r="B27" s="13" t="s">
        <v>704</v>
      </c>
      <c r="C27" s="13">
        <v>49</v>
      </c>
      <c r="D27" s="13">
        <v>1</v>
      </c>
      <c r="E27" s="13">
        <v>-1</v>
      </c>
      <c r="F27" s="128">
        <f>C27-'Customer Groups'!$D$13</f>
        <v>43.541666666666664</v>
      </c>
      <c r="G27" s="131"/>
      <c r="H27" s="131"/>
      <c r="I27" s="91"/>
    </row>
    <row r="28" spans="2:9">
      <c r="B28" s="13" t="s">
        <v>705</v>
      </c>
      <c r="C28" s="13">
        <v>49</v>
      </c>
      <c r="D28" s="13">
        <v>0</v>
      </c>
      <c r="E28" s="13">
        <v>-5</v>
      </c>
      <c r="F28" s="128">
        <f>C28-'Customer Groups'!$D$13</f>
        <v>43.541666666666664</v>
      </c>
      <c r="G28" s="131"/>
      <c r="H28" s="131"/>
      <c r="I28" s="91"/>
    </row>
    <row r="29" spans="2:9">
      <c r="B29" s="13" t="s">
        <v>706</v>
      </c>
      <c r="C29" s="13">
        <v>38</v>
      </c>
      <c r="D29" s="13">
        <v>1</v>
      </c>
      <c r="E29" s="13">
        <v>-19</v>
      </c>
      <c r="F29" s="128">
        <f>C29-'Customer Groups'!$D$13</f>
        <v>32.541666666666664</v>
      </c>
      <c r="G29" s="131">
        <f>SUM(E18:E29)*(-1)/MAX(F18+SUM(D18:D29))</f>
        <v>0.70461354104254059</v>
      </c>
      <c r="H29" s="131">
        <f>SUM(E26:E29)*(-1)/MAX(F26+SUM(D26:D29))</f>
        <v>0.58536585365853666</v>
      </c>
      <c r="I29" s="91"/>
    </row>
    <row r="30" spans="2:9" ht="13.8" thickBot="1">
      <c r="B30" s="544" t="s">
        <v>707</v>
      </c>
      <c r="C30" s="544">
        <v>22</v>
      </c>
      <c r="D30" s="544"/>
      <c r="E30" s="544"/>
      <c r="F30" s="600">
        <f>C30-'Customer Groups'!$D$13</f>
        <v>16.541666666666668</v>
      </c>
      <c r="G30" s="657"/>
      <c r="H30" s="544"/>
      <c r="I30" s="91"/>
    </row>
    <row r="31" spans="2:9">
      <c r="B31" s="13"/>
      <c r="C31" s="13"/>
      <c r="D31" s="13"/>
      <c r="E31" s="13"/>
      <c r="F31" s="13"/>
      <c r="G31" s="175">
        <f>AVERAGE(G6:G30)</f>
        <v>0.3969907366090264</v>
      </c>
      <c r="H31" s="175">
        <f>AVERAGE(H6:H30)</f>
        <v>0.18767615911476931</v>
      </c>
    </row>
    <row r="32" spans="2:9">
      <c r="B32" s="13"/>
      <c r="C32" s="13"/>
      <c r="D32" s="13"/>
      <c r="E32" s="13"/>
    </row>
    <row r="33" spans="1:8">
      <c r="B33" s="735" t="s">
        <v>708</v>
      </c>
      <c r="C33" s="736"/>
      <c r="D33" s="736"/>
      <c r="E33" s="736"/>
      <c r="F33" s="490"/>
      <c r="G33" s="490"/>
      <c r="H33" s="490"/>
    </row>
    <row r="34" spans="1:8">
      <c r="B34" s="180" t="s">
        <v>405</v>
      </c>
      <c r="C34" s="180" t="s">
        <v>709</v>
      </c>
      <c r="D34" s="180" t="s">
        <v>710</v>
      </c>
      <c r="E34" s="180" t="s">
        <v>682</v>
      </c>
    </row>
    <row r="35" spans="1:8">
      <c r="A35" s="31"/>
      <c r="B35" s="788">
        <v>2016</v>
      </c>
      <c r="C35" s="809">
        <v>160000</v>
      </c>
      <c r="D35" s="809">
        <f>'Customer Groups'!$D$12</f>
        <v>8290629.055555555</v>
      </c>
      <c r="E35" s="823">
        <f t="shared" ref="E35:E40" si="0">C35/D35</f>
        <v>1.9298897457338766E-2</v>
      </c>
    </row>
    <row r="36" spans="1:8">
      <c r="A36" s="31"/>
      <c r="B36" s="13">
        <f>B35+1</f>
        <v>2017</v>
      </c>
      <c r="C36" s="128">
        <v>0</v>
      </c>
      <c r="D36" s="128">
        <f>'Customer Groups'!$D$12</f>
        <v>8290629.055555555</v>
      </c>
      <c r="E36" s="131">
        <f t="shared" si="0"/>
        <v>0</v>
      </c>
    </row>
    <row r="37" spans="1:8">
      <c r="A37" s="31"/>
      <c r="B37" s="13">
        <f>B36+1</f>
        <v>2018</v>
      </c>
      <c r="C37" s="128">
        <v>702688</v>
      </c>
      <c r="D37" s="128">
        <f>'Customer Groups'!$D$12</f>
        <v>8290629.055555555</v>
      </c>
      <c r="E37" s="131">
        <f t="shared" si="0"/>
        <v>8.4756897853140389E-2</v>
      </c>
    </row>
    <row r="38" spans="1:8">
      <c r="A38" s="31"/>
      <c r="B38" s="13">
        <f>B37+1</f>
        <v>2019</v>
      </c>
      <c r="C38" s="128">
        <v>290500</v>
      </c>
      <c r="D38" s="128">
        <f>'Customer Groups'!$D$12</f>
        <v>8290629.055555555</v>
      </c>
      <c r="E38" s="131">
        <f t="shared" si="0"/>
        <v>3.5039560695980701E-2</v>
      </c>
    </row>
    <row r="39" spans="1:8">
      <c r="A39" s="31"/>
      <c r="B39" s="13">
        <f>B38+1</f>
        <v>2020</v>
      </c>
      <c r="C39" s="128">
        <v>205800</v>
      </c>
      <c r="D39" s="128">
        <f>'Customer Groups'!$D$12</f>
        <v>8290629.055555555</v>
      </c>
      <c r="E39" s="131">
        <f t="shared" si="0"/>
        <v>2.4823206854501987E-2</v>
      </c>
    </row>
    <row r="40" spans="1:8">
      <c r="A40" s="31"/>
      <c r="B40" s="13">
        <f>B39+1</f>
        <v>2021</v>
      </c>
      <c r="C40" s="128">
        <v>2597128</v>
      </c>
      <c r="D40" s="128">
        <f>'Customer Groups'!$D$12</f>
        <v>8290629.055555555</v>
      </c>
      <c r="E40" s="131">
        <f t="shared" si="0"/>
        <v>0.3132606684723957</v>
      </c>
    </row>
    <row r="41" spans="1:8">
      <c r="A41" s="31"/>
      <c r="B41" s="319"/>
      <c r="C41" s="319"/>
      <c r="D41" s="334"/>
      <c r="E41" s="335">
        <f>AVERAGE(E35:E40)</f>
        <v>7.952987188889292E-2</v>
      </c>
    </row>
    <row r="42" spans="1:8">
      <c r="A42" s="31"/>
      <c r="C42" s="173"/>
      <c r="D42" s="174"/>
      <c r="E42" s="128"/>
    </row>
    <row r="43" spans="1:8">
      <c r="A43" s="31"/>
      <c r="C43" s="173"/>
      <c r="D43" s="174"/>
      <c r="E43" s="128"/>
    </row>
    <row r="44" spans="1:8">
      <c r="E44" s="52"/>
    </row>
    <row r="45" spans="1:8"/>
    <row r="46" spans="1:8"/>
    <row r="47" spans="1:8">
      <c r="A47" s="31"/>
      <c r="B47" s="18"/>
    </row>
    <row r="48" spans="1:8">
      <c r="A48" s="31"/>
    </row>
    <row r="49" spans="1:27">
      <c r="A49" s="31"/>
    </row>
    <row r="50" spans="1:27">
      <c r="A50" s="31"/>
    </row>
    <row r="51" spans="1:27">
      <c r="A51" s="31"/>
    </row>
    <row r="52" spans="1:27"/>
    <row r="53" spans="1:27">
      <c r="B53" s="364" t="s">
        <v>362</v>
      </c>
      <c r="C53" s="15"/>
      <c r="D53" s="15"/>
      <c r="E53" s="15"/>
      <c r="F53" s="16"/>
      <c r="G53" s="14"/>
      <c r="H53" s="15"/>
      <c r="I53" s="15"/>
      <c r="J53" s="15"/>
      <c r="K53" s="16"/>
      <c r="L53" s="14"/>
      <c r="M53" s="15"/>
      <c r="N53" s="15"/>
      <c r="O53" s="15"/>
      <c r="P53" s="15"/>
      <c r="Q53" s="15"/>
      <c r="R53" s="15"/>
      <c r="S53" s="15"/>
      <c r="T53" s="15"/>
      <c r="U53" s="15"/>
      <c r="V53" s="15"/>
      <c r="W53" s="15"/>
      <c r="X53" s="15"/>
      <c r="Y53" s="15"/>
      <c r="Z53" s="15"/>
      <c r="AA53" s="15"/>
    </row>
    <row r="54" spans="1:27"/>
    <row r="55" spans="1:27"/>
  </sheetData>
  <sortState xmlns:xlrd2="http://schemas.microsoft.com/office/spreadsheetml/2017/richdata2" ref="B36:E43">
    <sortCondition ref="B35:B43"/>
  </sortState>
  <mergeCells count="1">
    <mergeCell ref="B4:H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E974-6487-4788-A83C-F7AA68535A7A}">
  <sheetPr codeName="Sheet39">
    <tabColor theme="5"/>
  </sheetPr>
  <dimension ref="A1:AP33"/>
  <sheetViews>
    <sheetView showGridLines="0" zoomScale="55" zoomScaleNormal="55" workbookViewId="0"/>
  </sheetViews>
  <sheetFormatPr defaultColWidth="0" defaultRowHeight="14.4" zeroHeight="1"/>
  <cols>
    <col min="1" max="1" width="4" customWidth="1"/>
    <col min="2" max="2" width="13" customWidth="1"/>
    <col min="3" max="3" width="21" bestFit="1" customWidth="1"/>
    <col min="4" max="4" width="18" bestFit="1" customWidth="1"/>
    <col min="5" max="18" width="8.6640625" customWidth="1"/>
    <col min="19" max="42" width="0" hidden="1" customWidth="1"/>
    <col min="43" max="16384" width="8.6640625" hidden="1"/>
  </cols>
  <sheetData>
    <row r="1" spans="1:42" s="7" customFormat="1" ht="18">
      <c r="A1" s="59" t="s">
        <v>68</v>
      </c>
    </row>
    <row r="2" spans="1:42" s="7" customFormat="1" ht="18">
      <c r="B2" s="59"/>
    </row>
    <row r="3" spans="1:42" s="7" customFormat="1">
      <c r="B3" s="615" t="s">
        <v>711</v>
      </c>
    </row>
    <row r="4" spans="1:42" s="7" customFormat="1">
      <c r="B4" s="12"/>
    </row>
    <row r="5" spans="1:42" s="58" customFormat="1" ht="13.2">
      <c r="A5" s="29"/>
      <c r="B5" s="46" t="s">
        <v>642</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5"/>
      <c r="AP5" s="55"/>
    </row>
    <row r="6" spans="1:42"/>
    <row r="7" spans="1:42" ht="15" thickBot="1">
      <c r="B7" s="33" t="s">
        <v>712</v>
      </c>
      <c r="C7" s="33" t="s">
        <v>713</v>
      </c>
      <c r="D7" s="33" t="s">
        <v>714</v>
      </c>
    </row>
    <row r="8" spans="1:42">
      <c r="B8" t="s">
        <v>497</v>
      </c>
      <c r="C8" s="8">
        <v>0</v>
      </c>
      <c r="D8" s="8">
        <v>0</v>
      </c>
    </row>
    <row r="9" spans="1:42">
      <c r="B9" t="s">
        <v>501</v>
      </c>
      <c r="C9" s="8">
        <v>5.0000000000000001E-4</v>
      </c>
      <c r="D9" s="8">
        <v>0</v>
      </c>
    </row>
    <row r="10" spans="1:42">
      <c r="B10" t="s">
        <v>503</v>
      </c>
      <c r="C10" s="8">
        <v>1E-3</v>
      </c>
      <c r="D10" s="8">
        <v>2.9999999999999997E-4</v>
      </c>
    </row>
    <row r="11" spans="1:42">
      <c r="B11" t="s">
        <v>141</v>
      </c>
      <c r="C11" s="8">
        <v>3.0000000000000001E-3</v>
      </c>
      <c r="D11" s="8">
        <v>5.9999999999999995E-4</v>
      </c>
    </row>
    <row r="12" spans="1:42">
      <c r="B12" t="s">
        <v>143</v>
      </c>
      <c r="C12" s="8">
        <v>1.89E-2</v>
      </c>
      <c r="D12" s="8">
        <v>3.5999999999999999E-3</v>
      </c>
    </row>
    <row r="13" spans="1:42">
      <c r="B13" t="s">
        <v>144</v>
      </c>
      <c r="C13" s="8">
        <v>8.8900000000000007E-2</v>
      </c>
      <c r="D13" s="8">
        <v>2.2200000000000001E-2</v>
      </c>
    </row>
    <row r="14" spans="1:42" ht="15" thickBot="1">
      <c r="B14" s="473" t="s">
        <v>715</v>
      </c>
      <c r="C14" s="470">
        <v>0.42749999999999999</v>
      </c>
      <c r="D14" s="470">
        <v>0.28639999999999999</v>
      </c>
    </row>
    <row r="15" spans="1:42"/>
    <row r="16" spans="1:42" ht="15" thickBot="1">
      <c r="B16" t="s">
        <v>716</v>
      </c>
    </row>
    <row r="17" spans="1:27" ht="15" thickBot="1">
      <c r="B17" s="541"/>
      <c r="C17" s="542">
        <f>Failures!G31</f>
        <v>0.3969907366090264</v>
      </c>
      <c r="D17" s="542">
        <f>Failures!$H$31</f>
        <v>0.18767615911476931</v>
      </c>
    </row>
    <row r="18" spans="1:27">
      <c r="B18" s="469" t="s">
        <v>717</v>
      </c>
      <c r="C18" s="539">
        <f>(C17-C14)/(C13-C14)</f>
        <v>9.0104144686868268E-2</v>
      </c>
      <c r="D18" s="539">
        <f>(D17-D14)/(D13-D14)</f>
        <v>0.37367085876317441</v>
      </c>
    </row>
    <row r="19" spans="1:27" ht="15" thickBot="1">
      <c r="B19" s="473" t="s">
        <v>718</v>
      </c>
      <c r="C19" s="538">
        <f>1-C18</f>
        <v>0.90989585531313177</v>
      </c>
      <c r="D19" s="538">
        <f>1-D18</f>
        <v>0.62632914123682559</v>
      </c>
    </row>
    <row r="20" spans="1:27"/>
    <row r="21" spans="1:27"/>
    <row r="22" spans="1:27"/>
    <row r="23" spans="1:27">
      <c r="D23" s="9"/>
    </row>
    <row r="24" spans="1:27">
      <c r="D24" s="9"/>
    </row>
    <row r="25" spans="1:27"/>
    <row r="26" spans="1:27"/>
    <row r="27" spans="1:27"/>
    <row r="28" spans="1:27"/>
    <row r="29" spans="1:27"/>
    <row r="30" spans="1:27">
      <c r="B30" s="65"/>
    </row>
    <row r="31" spans="1:27"/>
    <row r="32" spans="1:27" s="32" customFormat="1" ht="13.2">
      <c r="A32" s="10"/>
      <c r="B32" s="14" t="s">
        <v>362</v>
      </c>
      <c r="C32" s="15"/>
      <c r="D32" s="15"/>
      <c r="E32" s="15"/>
      <c r="F32" s="16"/>
      <c r="G32" s="14"/>
      <c r="H32" s="15"/>
      <c r="I32" s="15"/>
      <c r="J32" s="15"/>
      <c r="K32" s="16"/>
      <c r="L32" s="14"/>
      <c r="M32" s="15"/>
      <c r="N32" s="15"/>
      <c r="O32" s="15"/>
      <c r="P32" s="15"/>
      <c r="Q32" s="15"/>
      <c r="R32" s="15"/>
      <c r="S32" s="15"/>
      <c r="T32" s="15"/>
      <c r="U32" s="15"/>
      <c r="V32" s="15"/>
      <c r="W32" s="15"/>
      <c r="X32" s="15"/>
      <c r="Y32" s="15"/>
      <c r="Z32" s="15"/>
      <c r="AA32" s="15"/>
    </row>
    <row r="33"/>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9F9A1-7E15-4304-B4D5-3844ADE97790}">
  <sheetPr codeName="Sheet31">
    <tabColor theme="5"/>
  </sheetPr>
  <dimension ref="A1:AA48"/>
  <sheetViews>
    <sheetView showGridLines="0" zoomScale="70" zoomScaleNormal="70" workbookViewId="0">
      <selection activeCell="F26" sqref="F26"/>
    </sheetView>
  </sheetViews>
  <sheetFormatPr defaultColWidth="0" defaultRowHeight="12.6" customHeight="1" zeroHeight="1"/>
  <cols>
    <col min="1" max="1" width="9" style="10" customWidth="1"/>
    <col min="2" max="2" width="25.33203125" style="10" bestFit="1" customWidth="1"/>
    <col min="3" max="3" width="12.6640625" style="10" customWidth="1"/>
    <col min="4" max="6" width="12.5546875" style="10" customWidth="1"/>
    <col min="7" max="7" width="9" style="10" customWidth="1"/>
    <col min="8" max="8" width="10.6640625" style="10" bestFit="1" customWidth="1"/>
    <col min="9" max="10" width="9" style="10" customWidth="1"/>
    <col min="11" max="27" width="0" style="10" hidden="1" customWidth="1"/>
    <col min="28" max="16384" width="9" style="10" hidden="1"/>
  </cols>
  <sheetData>
    <row r="1" spans="1:6" ht="18">
      <c r="A1" s="59" t="s">
        <v>71</v>
      </c>
    </row>
    <row r="2" spans="1:6" ht="13.2">
      <c r="B2" s="616" t="s">
        <v>719</v>
      </c>
    </row>
    <row r="3" spans="1:6" ht="13.2"/>
    <row r="4" spans="1:6" s="205" customFormat="1" ht="13.2">
      <c r="A4" s="93" t="s">
        <v>720</v>
      </c>
    </row>
    <row r="5" spans="1:6" ht="13.2"/>
    <row r="6" spans="1:6" ht="13.2">
      <c r="B6" s="10" t="s">
        <v>721</v>
      </c>
    </row>
    <row r="7" spans="1:6" ht="13.2"/>
    <row r="8" spans="1:6" ht="13.8" thickBot="1">
      <c r="C8" s="115"/>
      <c r="D8" s="555" t="s">
        <v>722</v>
      </c>
      <c r="E8" s="555" t="s">
        <v>723</v>
      </c>
      <c r="F8" s="555" t="s">
        <v>107</v>
      </c>
    </row>
    <row r="9" spans="1:6" ht="13.2">
      <c r="C9" s="481" t="s">
        <v>724</v>
      </c>
      <c r="D9" s="543">
        <v>2.9</v>
      </c>
      <c r="E9" s="543">
        <v>10.199999999999999</v>
      </c>
      <c r="F9" s="543">
        <f>SUM(D9:E9)</f>
        <v>13.1</v>
      </c>
    </row>
    <row r="10" spans="1:6" ht="13.2">
      <c r="C10" s="10" t="s">
        <v>725</v>
      </c>
      <c r="D10" s="13">
        <v>4.3</v>
      </c>
      <c r="E10" s="13">
        <v>11.1</v>
      </c>
      <c r="F10" s="13">
        <f>SUM(D10:E10)</f>
        <v>15.399999999999999</v>
      </c>
    </row>
    <row r="11" spans="1:6" ht="13.8" thickBot="1">
      <c r="C11" s="482" t="s">
        <v>107</v>
      </c>
      <c r="D11" s="544">
        <f>SUM(D9:D10)</f>
        <v>7.1999999999999993</v>
      </c>
      <c r="E11" s="544">
        <f>SUM(E9:E10)</f>
        <v>21.299999999999997</v>
      </c>
      <c r="F11" s="544">
        <f>SUM(D11:E11)</f>
        <v>28.499999999999996</v>
      </c>
    </row>
    <row r="12" spans="1:6" ht="13.2">
      <c r="D12" s="13"/>
      <c r="E12" s="13"/>
      <c r="F12" s="13"/>
    </row>
    <row r="13" spans="1:6" ht="13.2">
      <c r="D13" s="13"/>
      <c r="E13" s="13"/>
      <c r="F13" s="13"/>
    </row>
    <row r="14" spans="1:6" ht="13.2">
      <c r="B14" s="10" t="s">
        <v>726</v>
      </c>
      <c r="D14" s="13"/>
      <c r="E14" s="13"/>
      <c r="F14" s="13"/>
    </row>
    <row r="15" spans="1:6" ht="13.2">
      <c r="D15" s="13"/>
      <c r="E15" s="13"/>
      <c r="F15" s="13"/>
    </row>
    <row r="16" spans="1:6" ht="13.8" thickBot="1">
      <c r="C16" s="556"/>
      <c r="D16" s="557" t="s">
        <v>722</v>
      </c>
      <c r="E16" s="557" t="s">
        <v>723</v>
      </c>
      <c r="F16" s="557" t="s">
        <v>107</v>
      </c>
    </row>
    <row r="17" spans="1:6" ht="13.2">
      <c r="C17" s="547" t="s">
        <v>724</v>
      </c>
      <c r="D17" s="548">
        <f>D9/$F9</f>
        <v>0.22137404580152673</v>
      </c>
      <c r="E17" s="548">
        <f>E9/$F9</f>
        <v>0.77862595419847325</v>
      </c>
      <c r="F17" s="548">
        <f>F9/$F9</f>
        <v>1</v>
      </c>
    </row>
    <row r="18" spans="1:6" ht="13.2">
      <c r="C18" s="545" t="s">
        <v>725</v>
      </c>
      <c r="D18" s="164">
        <f>D10/$F10</f>
        <v>0.27922077922077926</v>
      </c>
      <c r="E18" s="164">
        <f>E10/$F10</f>
        <v>0.72077922077922085</v>
      </c>
      <c r="F18" s="164">
        <f t="shared" ref="D18:F19" si="0">F10/$F10</f>
        <v>1</v>
      </c>
    </row>
    <row r="19" spans="1:6" ht="13.8" thickBot="1">
      <c r="C19" s="549" t="s">
        <v>107</v>
      </c>
      <c r="D19" s="550">
        <f t="shared" si="0"/>
        <v>0.25263157894736843</v>
      </c>
      <c r="E19" s="550">
        <f t="shared" si="0"/>
        <v>0.74736842105263157</v>
      </c>
      <c r="F19" s="550">
        <f t="shared" si="0"/>
        <v>1</v>
      </c>
    </row>
    <row r="20" spans="1:6" ht="13.2">
      <c r="D20" s="13"/>
      <c r="E20" s="13"/>
      <c r="F20" s="13"/>
    </row>
    <row r="21" spans="1:6" ht="13.2">
      <c r="D21" s="13"/>
      <c r="E21" s="13"/>
      <c r="F21" s="13"/>
    </row>
    <row r="22" spans="1:6" ht="13.2">
      <c r="B22" s="10" t="s">
        <v>727</v>
      </c>
      <c r="D22" s="13"/>
      <c r="E22" s="13"/>
      <c r="F22" s="13"/>
    </row>
    <row r="23" spans="1:6" ht="13.2">
      <c r="D23" s="13"/>
      <c r="E23" s="13"/>
      <c r="F23" s="13"/>
    </row>
    <row r="24" spans="1:6" ht="13.8" thickBot="1">
      <c r="C24" s="556"/>
      <c r="D24" s="557" t="s">
        <v>722</v>
      </c>
      <c r="E24" s="557" t="s">
        <v>723</v>
      </c>
      <c r="F24" s="557" t="s">
        <v>107</v>
      </c>
    </row>
    <row r="25" spans="1:6" ht="13.2">
      <c r="C25" s="547" t="s">
        <v>724</v>
      </c>
      <c r="D25" s="548">
        <f>D9/D$11</f>
        <v>0.40277777777777779</v>
      </c>
      <c r="E25" s="548">
        <f>E9/E$11</f>
        <v>0.47887323943661975</v>
      </c>
      <c r="F25" s="548">
        <f>F9/F$11</f>
        <v>0.45964912280701758</v>
      </c>
    </row>
    <row r="26" spans="1:6" ht="13.2">
      <c r="C26" s="545" t="s">
        <v>725</v>
      </c>
      <c r="D26" s="164">
        <f t="shared" ref="D26:F27" si="1">D10/D$11</f>
        <v>0.59722222222222221</v>
      </c>
      <c r="E26" s="164">
        <f t="shared" si="1"/>
        <v>0.52112676056338036</v>
      </c>
      <c r="F26" s="164">
        <f t="shared" si="1"/>
        <v>0.54035087719298247</v>
      </c>
    </row>
    <row r="27" spans="1:6" ht="13.8" thickBot="1">
      <c r="C27" s="549" t="s">
        <v>107</v>
      </c>
      <c r="D27" s="550">
        <f t="shared" si="1"/>
        <v>1</v>
      </c>
      <c r="E27" s="550">
        <f t="shared" si="1"/>
        <v>1</v>
      </c>
      <c r="F27" s="550">
        <f t="shared" si="1"/>
        <v>1</v>
      </c>
    </row>
    <row r="28" spans="1:6" ht="13.2">
      <c r="D28" s="13"/>
      <c r="E28" s="13"/>
      <c r="F28" s="13"/>
    </row>
    <row r="29" spans="1:6" ht="13.2">
      <c r="D29" s="13"/>
      <c r="E29" s="13"/>
      <c r="F29" s="13"/>
    </row>
    <row r="30" spans="1:6" s="205" customFormat="1" ht="13.2">
      <c r="A30" s="93" t="s">
        <v>96</v>
      </c>
      <c r="D30" s="216"/>
      <c r="E30" s="216"/>
      <c r="F30" s="216"/>
    </row>
    <row r="31" spans="1:6" ht="13.2">
      <c r="D31" s="13"/>
      <c r="E31" s="13"/>
      <c r="F31" s="13"/>
    </row>
    <row r="32" spans="1:6" ht="13.2">
      <c r="B32" s="10" t="s">
        <v>728</v>
      </c>
      <c r="D32" s="13"/>
      <c r="E32" s="13"/>
      <c r="F32" s="13"/>
    </row>
    <row r="33" spans="2:27" ht="13.2">
      <c r="D33" s="13"/>
      <c r="E33" s="13"/>
      <c r="F33" s="13"/>
    </row>
    <row r="34" spans="2:27" ht="13.8" thickBot="1">
      <c r="C34" s="115"/>
      <c r="D34" s="555" t="s">
        <v>722</v>
      </c>
      <c r="E34" s="555" t="s">
        <v>723</v>
      </c>
      <c r="F34" s="13"/>
    </row>
    <row r="35" spans="2:27" ht="13.2">
      <c r="C35" s="481" t="s">
        <v>729</v>
      </c>
      <c r="D35" s="552">
        <f>('Distributional Weights'!C34+'Distributional Weights'!D34+'Distributional Weights'!E34/2)/2.5</f>
        <v>3.3936076943748548</v>
      </c>
      <c r="E35" s="552">
        <f>(SUM('Distributional Weights'!E34/2,'Distributional Weights'!F34:L34))/7.5</f>
        <v>1.0422824937423953</v>
      </c>
      <c r="F35" s="167"/>
    </row>
    <row r="36" spans="2:27" ht="13.8" thickBot="1">
      <c r="C36" s="482" t="s">
        <v>730</v>
      </c>
      <c r="D36" s="551">
        <f>('Distributional Weights'!C35+'Distributional Weights'!D35+'Distributional Weights'!E35/2)/2.5</f>
        <v>2.0818225740269849</v>
      </c>
      <c r="E36" s="551">
        <f>(SUM('Distributional Weights'!E35/2,'Distributional Weights'!F35:L35))/7.5</f>
        <v>0.63939247532433818</v>
      </c>
      <c r="F36" s="167"/>
    </row>
    <row r="37" spans="2:27" ht="13.2">
      <c r="D37" s="167"/>
      <c r="E37" s="167"/>
      <c r="F37" s="167"/>
      <c r="I37" s="182"/>
    </row>
    <row r="38" spans="2:27" ht="13.8" thickBot="1">
      <c r="B38" s="10" t="s">
        <v>729</v>
      </c>
      <c r="C38" s="115"/>
      <c r="D38" s="555" t="s">
        <v>722</v>
      </c>
      <c r="E38" s="555" t="s">
        <v>723</v>
      </c>
      <c r="F38" s="555" t="s">
        <v>107</v>
      </c>
      <c r="I38" s="256"/>
    </row>
    <row r="39" spans="2:27" ht="13.2">
      <c r="C39" s="481" t="s">
        <v>724</v>
      </c>
      <c r="D39" s="552">
        <f>D17*D$35</f>
        <v>0.75125666516695255</v>
      </c>
      <c r="E39" s="552">
        <f>E17*E$35</f>
        <v>0.81154820123453675</v>
      </c>
      <c r="F39" s="554">
        <f>SUM(D39:E39)</f>
        <v>1.5628048664014893</v>
      </c>
    </row>
    <row r="40" spans="2:27" ht="13.8" thickBot="1">
      <c r="C40" s="482" t="s">
        <v>725</v>
      </c>
      <c r="D40" s="551">
        <f>D18*D$35</f>
        <v>0.94756578479297904</v>
      </c>
      <c r="E40" s="551">
        <f>E18*E$35</f>
        <v>0.75125556367146684</v>
      </c>
      <c r="F40" s="553">
        <f>SUM(D40:E40)</f>
        <v>1.6988213484644459</v>
      </c>
    </row>
    <row r="41" spans="2:27" ht="13.2">
      <c r="D41" s="13"/>
      <c r="E41" s="13"/>
      <c r="F41" s="13"/>
    </row>
    <row r="42" spans="2:27" ht="13.8" thickBot="1">
      <c r="B42" s="10" t="s">
        <v>730</v>
      </c>
      <c r="C42" s="115"/>
      <c r="D42" s="555" t="s">
        <v>722</v>
      </c>
      <c r="E42" s="555" t="s">
        <v>723</v>
      </c>
      <c r="F42" s="555" t="s">
        <v>107</v>
      </c>
    </row>
    <row r="43" spans="2:27" ht="13.2">
      <c r="C43" s="481" t="s">
        <v>724</v>
      </c>
      <c r="D43" s="552">
        <f>D17*D$36</f>
        <v>0.460861485853302</v>
      </c>
      <c r="E43" s="552">
        <f>E17*E$36</f>
        <v>0.49784757620673659</v>
      </c>
      <c r="F43" s="554">
        <f>SUM(D43:E43)</f>
        <v>0.95870906206003859</v>
      </c>
    </row>
    <row r="44" spans="2:27" ht="13.8" thickBot="1">
      <c r="C44" s="482" t="s">
        <v>725</v>
      </c>
      <c r="D44" s="551">
        <f>D18*D$36</f>
        <v>0.58128812131922314</v>
      </c>
      <c r="E44" s="551">
        <f>E18*E$36</f>
        <v>0.4608608101363737</v>
      </c>
      <c r="F44" s="553">
        <f>SUM(D44:E44)</f>
        <v>1.0421489314555967</v>
      </c>
    </row>
    <row r="45" spans="2:27" ht="13.2">
      <c r="D45" s="167"/>
      <c r="E45" s="167"/>
      <c r="F45" s="546"/>
    </row>
    <row r="46" spans="2:27" ht="13.2"/>
    <row r="47" spans="2:27" ht="13.2">
      <c r="B47" s="14" t="s">
        <v>362</v>
      </c>
      <c r="C47" s="15"/>
      <c r="D47" s="15"/>
      <c r="E47" s="15"/>
      <c r="F47" s="16"/>
      <c r="G47" s="14"/>
      <c r="H47" s="15"/>
      <c r="I47" s="15"/>
      <c r="J47" s="15"/>
      <c r="K47" s="16"/>
      <c r="L47" s="14"/>
      <c r="M47" s="15"/>
      <c r="N47" s="15"/>
      <c r="O47" s="15"/>
      <c r="P47" s="15"/>
      <c r="Q47" s="15"/>
      <c r="R47" s="15"/>
      <c r="S47" s="15"/>
      <c r="T47" s="15"/>
      <c r="U47" s="15"/>
      <c r="V47" s="15"/>
      <c r="W47" s="15"/>
      <c r="X47" s="15"/>
      <c r="Y47" s="15"/>
      <c r="Z47" s="15"/>
      <c r="AA47" s="15"/>
    </row>
    <row r="48" spans="2:27" ht="13.2" hidden="1"/>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9FDA-CE6D-4648-9AEC-1CF62783517E}">
  <sheetPr>
    <tabColor theme="3"/>
  </sheetPr>
  <dimension ref="A1"/>
  <sheetViews>
    <sheetView showGridLines="0" workbookViewId="0">
      <selection activeCell="L29" sqref="L29"/>
    </sheetView>
  </sheetViews>
  <sheetFormatPr defaultRowHeight="14.4"/>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96E1F-17A7-4B8C-AB2A-AEACF8D0C737}">
  <sheetPr>
    <tabColor theme="8" tint="0.79998168889431442"/>
    <pageSetUpPr autoPageBreaks="0"/>
  </sheetPr>
  <dimension ref="A1:W15"/>
  <sheetViews>
    <sheetView showGridLines="0" workbookViewId="0"/>
  </sheetViews>
  <sheetFormatPr defaultColWidth="0" defaultRowHeight="14.4" zeroHeight="1"/>
  <cols>
    <col min="1" max="1" width="8.6640625" customWidth="1"/>
    <col min="2" max="2" width="47.6640625" customWidth="1"/>
    <col min="3" max="3" width="16" customWidth="1"/>
    <col min="4" max="10" width="10.33203125" customWidth="1"/>
    <col min="11" max="23" width="0" hidden="1" customWidth="1"/>
    <col min="24" max="16384" width="8.6640625" hidden="1"/>
  </cols>
  <sheetData>
    <row r="1" spans="1:23" ht="18">
      <c r="A1" s="59" t="s">
        <v>76</v>
      </c>
    </row>
    <row r="2" spans="1:23"/>
    <row r="3" spans="1:23" ht="15" thickBot="1">
      <c r="B3" s="93" t="s">
        <v>405</v>
      </c>
      <c r="C3" s="93" t="s">
        <v>731</v>
      </c>
      <c r="D3" s="93">
        <v>2022</v>
      </c>
      <c r="E3" s="93">
        <v>2023</v>
      </c>
      <c r="F3" s="93">
        <v>2024</v>
      </c>
      <c r="G3" s="93">
        <v>2025</v>
      </c>
      <c r="H3" s="93">
        <v>2026</v>
      </c>
      <c r="I3" s="93">
        <v>2027</v>
      </c>
      <c r="J3" s="93">
        <v>2028</v>
      </c>
      <c r="L3" s="2"/>
    </row>
    <row r="4" spans="1:23" ht="15" thickBot="1">
      <c r="B4" s="520" t="s">
        <v>76</v>
      </c>
      <c r="C4" s="570"/>
      <c r="D4" s="571">
        <f>D6/$C$6</f>
        <v>1.7895637780711808</v>
      </c>
      <c r="E4" s="571">
        <f>E6/$C$6</f>
        <v>2.6177655171715335</v>
      </c>
      <c r="F4" s="571">
        <f t="shared" ref="F4:J4" si="0">F6/$C$6</f>
        <v>3.040136316285337</v>
      </c>
      <c r="G4" s="571">
        <f>G6/$C$6</f>
        <v>2.5227663425321984</v>
      </c>
      <c r="H4" s="571">
        <f t="shared" si="0"/>
        <v>2.3402395550748274</v>
      </c>
      <c r="I4" s="571">
        <f t="shared" si="0"/>
        <v>2.3402395550748274</v>
      </c>
      <c r="J4" s="571">
        <f t="shared" si="0"/>
        <v>2.3402395550748274</v>
      </c>
      <c r="K4" s="558"/>
    </row>
    <row r="5" spans="1:23" ht="15" thickBot="1">
      <c r="C5" s="558"/>
      <c r="D5" s="558"/>
      <c r="E5" s="558"/>
      <c r="F5" s="558"/>
      <c r="G5" s="558"/>
      <c r="H5" s="558"/>
      <c r="I5" s="558"/>
      <c r="J5" s="558"/>
      <c r="K5" s="558"/>
    </row>
    <row r="6" spans="1:23" ht="15" thickBot="1">
      <c r="B6" s="481" t="s">
        <v>732</v>
      </c>
      <c r="C6" s="572">
        <f>'Average tariffs'!G149</f>
        <v>1078.3354153937526</v>
      </c>
      <c r="D6" s="572">
        <f>'Average tariffs'!$K$141</f>
        <v>1929.75</v>
      </c>
      <c r="E6" s="573">
        <f>MIN(E8,E7)</f>
        <v>2822.8292663626071</v>
      </c>
      <c r="F6" s="573">
        <f>MIN(F8,F7)</f>
        <v>3278.2866574751815</v>
      </c>
      <c r="G6" s="573">
        <f>MIN(G8,G7)</f>
        <v>2720.3882919158359</v>
      </c>
      <c r="H6" s="573">
        <f t="shared" ref="H6:J6" si="1">MIN(H8,H7)</f>
        <v>2523.5631927425047</v>
      </c>
      <c r="I6" s="573">
        <f t="shared" si="1"/>
        <v>2523.5631927425047</v>
      </c>
      <c r="J6" s="573">
        <f t="shared" si="1"/>
        <v>2523.5631927425047</v>
      </c>
      <c r="K6" s="558"/>
    </row>
    <row r="7" spans="1:23">
      <c r="B7" s="574" t="s">
        <v>733</v>
      </c>
      <c r="C7" s="575"/>
      <c r="D7" s="575"/>
      <c r="E7" s="572">
        <f>C11*AVERAGE('Price Cap Forecasts'!D43:D44)+C12*SUM(AVERAGE('Price Cap Forecasts'!E43:E44),AVERAGE('Price Cap Forecasts'!F43:F44),AVERAGE('Price Cap Forecasts'!G43:G44))</f>
        <v>2822.8292663626071</v>
      </c>
      <c r="F7" s="572">
        <f>C12*AVERAGE('Price Cap Forecasts'!D43:D44)+F8*SUM(AVERAGE('Price Cap Forecasts'!E43:E44),AVERAGE('Price Cap Forecasts'!F43:F44),AVERAGE('Price Cap Forecasts'!G43:G44))</f>
        <v>3278.2866574751815</v>
      </c>
      <c r="G7" s="658" t="s">
        <v>734</v>
      </c>
      <c r="H7" s="658" t="s">
        <v>734</v>
      </c>
      <c r="I7" s="658" t="s">
        <v>734</v>
      </c>
      <c r="J7" s="658" t="s">
        <v>734</v>
      </c>
      <c r="K7" s="558"/>
    </row>
    <row r="8" spans="1:23" ht="15" thickBot="1">
      <c r="B8" s="577" t="s">
        <v>735</v>
      </c>
      <c r="C8" s="576"/>
      <c r="D8" s="576"/>
      <c r="E8" s="578">
        <f>'Price Cap Forecasts'!AH37</f>
        <v>3954.7407026474048</v>
      </c>
      <c r="F8" s="578">
        <f>'Price Cap Forecasts'!AI37</f>
        <v>3431.0121269528954</v>
      </c>
      <c r="G8" s="578">
        <f>'Price Cap Forecasts'!AJ37</f>
        <v>2720.3882919158359</v>
      </c>
      <c r="H8" s="578">
        <f>'Price Cap Forecasts'!AK37</f>
        <v>2523.5631927425047</v>
      </c>
      <c r="I8" s="578">
        <f>'Price Cap Forecasts'!AL37</f>
        <v>2523.5631927425047</v>
      </c>
      <c r="J8" s="578">
        <f>'Price Cap Forecasts'!AM37</f>
        <v>2523.5631927425047</v>
      </c>
      <c r="K8" s="558"/>
    </row>
    <row r="9" spans="1:23">
      <c r="B9" s="10"/>
      <c r="C9" s="558"/>
      <c r="D9" s="558"/>
      <c r="E9" s="558"/>
      <c r="F9" s="558"/>
      <c r="G9" s="558"/>
      <c r="H9" s="558"/>
      <c r="I9" s="558"/>
      <c r="J9" s="558"/>
      <c r="K9" s="558"/>
    </row>
    <row r="10" spans="1:23" ht="15" thickBot="1">
      <c r="B10" s="93" t="s">
        <v>733</v>
      </c>
      <c r="C10" s="93"/>
      <c r="D10" s="558"/>
      <c r="E10" s="558"/>
      <c r="F10" s="558"/>
      <c r="G10" s="558"/>
      <c r="H10" s="558"/>
      <c r="I10" s="558"/>
      <c r="J10" s="558"/>
      <c r="K10" s="558"/>
    </row>
    <row r="11" spans="1:23">
      <c r="B11" s="469" t="s">
        <v>736</v>
      </c>
      <c r="C11" s="572">
        <v>2500</v>
      </c>
      <c r="D11" s="558"/>
      <c r="E11" s="558"/>
      <c r="F11" s="558"/>
      <c r="G11" s="558"/>
      <c r="H11" s="558"/>
      <c r="I11" s="558"/>
      <c r="J11" s="558"/>
      <c r="K11" s="558"/>
    </row>
    <row r="12" spans="1:23" ht="15" thickBot="1">
      <c r="B12" s="473" t="s">
        <v>737</v>
      </c>
      <c r="C12" s="578">
        <v>3000</v>
      </c>
      <c r="D12" s="558"/>
      <c r="E12" s="558"/>
      <c r="F12" s="558"/>
      <c r="G12" s="558"/>
      <c r="H12" s="558"/>
      <c r="I12" s="558"/>
      <c r="J12" s="558"/>
      <c r="K12" s="558"/>
    </row>
    <row r="13" spans="1:23">
      <c r="C13" s="558"/>
      <c r="D13" s="558"/>
      <c r="E13" s="558"/>
      <c r="F13" s="558"/>
      <c r="G13" s="558"/>
      <c r="H13" s="558"/>
      <c r="I13" s="558"/>
      <c r="J13" s="558"/>
      <c r="K13" s="558"/>
    </row>
    <row r="14" spans="1:23"/>
    <row r="15" spans="1:23">
      <c r="B15" s="14" t="s">
        <v>362</v>
      </c>
      <c r="C15" s="15"/>
      <c r="D15" s="15"/>
      <c r="E15" s="16"/>
      <c r="F15" s="14"/>
      <c r="G15" s="15"/>
      <c r="H15" s="15"/>
      <c r="I15" s="15"/>
      <c r="J15" s="16"/>
      <c r="K15" s="14"/>
      <c r="L15" s="15"/>
      <c r="M15" s="15"/>
      <c r="N15" s="15"/>
      <c r="O15" s="15"/>
      <c r="P15" s="15"/>
      <c r="Q15" s="15"/>
      <c r="R15" s="15"/>
      <c r="S15" s="15"/>
      <c r="T15" s="15"/>
      <c r="U15" s="15"/>
      <c r="V15" s="15"/>
      <c r="W15" s="15"/>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D9D4F-CE28-4C0A-85A9-6E874F1A02B0}">
  <sheetPr>
    <tabColor theme="8" tint="0.79998168889431442"/>
    <pageSetUpPr autoPageBreaks="0"/>
  </sheetPr>
  <dimension ref="A1:Y28"/>
  <sheetViews>
    <sheetView showGridLines="0" zoomScale="70" zoomScaleNormal="70" workbookViewId="0"/>
  </sheetViews>
  <sheetFormatPr defaultColWidth="0" defaultRowHeight="14.4" zeroHeight="1"/>
  <cols>
    <col min="1" max="2" width="3.6640625" customWidth="1"/>
    <col min="3" max="3" width="37.109375" bestFit="1" customWidth="1"/>
    <col min="4" max="4" width="19.5546875" customWidth="1"/>
    <col min="5" max="5" width="62.109375" customWidth="1"/>
    <col min="6" max="6" width="27" customWidth="1"/>
    <col min="7" max="25" width="0" hidden="1" customWidth="1"/>
    <col min="26" max="16384" width="8.6640625" hidden="1"/>
  </cols>
  <sheetData>
    <row r="1" spans="1:6" ht="18">
      <c r="A1" s="59" t="s">
        <v>78</v>
      </c>
    </row>
    <row r="2" spans="1:6"/>
    <row r="3" spans="1:6">
      <c r="C3" t="s">
        <v>738</v>
      </c>
      <c r="D3" s="314" t="s">
        <v>739</v>
      </c>
    </row>
    <row r="4" spans="1:6"/>
    <row r="5" spans="1:6">
      <c r="D5" s="2" t="s">
        <v>740</v>
      </c>
    </row>
    <row r="6" spans="1:6" ht="17.399999999999999">
      <c r="C6" s="559"/>
    </row>
    <row r="7" spans="1:6" ht="15" thickBot="1">
      <c r="C7" s="563" t="s">
        <v>741</v>
      </c>
      <c r="D7" s="563" t="s">
        <v>742</v>
      </c>
      <c r="E7" s="563" t="s">
        <v>743</v>
      </c>
      <c r="F7" s="560"/>
    </row>
    <row r="8" spans="1:6">
      <c r="C8" s="564" t="s">
        <v>744</v>
      </c>
      <c r="D8" s="565">
        <v>36.99</v>
      </c>
      <c r="E8" s="564">
        <v>0.111</v>
      </c>
      <c r="F8" s="561"/>
    </row>
    <row r="9" spans="1:6">
      <c r="C9" s="561" t="s">
        <v>745</v>
      </c>
      <c r="D9" s="562">
        <v>38.69</v>
      </c>
      <c r="E9" s="561">
        <v>0.124</v>
      </c>
      <c r="F9" s="561"/>
    </row>
    <row r="10" spans="1:6">
      <c r="C10" s="561" t="s">
        <v>746</v>
      </c>
      <c r="D10" s="562">
        <v>40.71</v>
      </c>
      <c r="E10" s="561">
        <v>0.158</v>
      </c>
      <c r="F10" s="561"/>
    </row>
    <row r="11" spans="1:6">
      <c r="C11" s="561" t="s">
        <v>747</v>
      </c>
      <c r="D11" s="562">
        <v>42.02</v>
      </c>
      <c r="E11" s="561">
        <v>0.20599999999999999</v>
      </c>
      <c r="F11" s="561"/>
    </row>
    <row r="12" spans="1:6">
      <c r="C12" s="561" t="s">
        <v>748</v>
      </c>
      <c r="D12" s="562">
        <v>43.3</v>
      </c>
      <c r="E12" s="561">
        <v>0.24399999999999999</v>
      </c>
      <c r="F12" s="561"/>
    </row>
    <row r="13" spans="1:6">
      <c r="C13" s="561" t="s">
        <v>749</v>
      </c>
      <c r="D13" s="562">
        <v>44.33</v>
      </c>
      <c r="E13" s="561">
        <v>0.28999999999999998</v>
      </c>
      <c r="F13" s="561"/>
    </row>
    <row r="14" spans="1:6">
      <c r="C14" s="561" t="s">
        <v>750</v>
      </c>
      <c r="D14" s="562">
        <v>44.77</v>
      </c>
      <c r="E14" s="561">
        <v>0.34799999999999998</v>
      </c>
      <c r="F14" s="561"/>
    </row>
    <row r="15" spans="1:6">
      <c r="C15" s="561" t="s">
        <v>751</v>
      </c>
      <c r="D15" s="562">
        <v>45.58</v>
      </c>
      <c r="E15" s="561">
        <v>0.40899999999999997</v>
      </c>
      <c r="F15" s="561"/>
    </row>
    <row r="16" spans="1:6">
      <c r="C16" s="561" t="s">
        <v>752</v>
      </c>
      <c r="D16" s="562">
        <v>47.22</v>
      </c>
      <c r="E16" s="561">
        <v>0.46800000000000003</v>
      </c>
      <c r="F16" s="561"/>
    </row>
    <row r="17" spans="3:25">
      <c r="C17" s="561" t="s">
        <v>753</v>
      </c>
      <c r="D17" s="562">
        <v>48.78</v>
      </c>
      <c r="E17" s="561">
        <v>0.48399999999999999</v>
      </c>
      <c r="F17" s="561"/>
    </row>
    <row r="18" spans="3:25">
      <c r="C18" s="561" t="s">
        <v>754</v>
      </c>
      <c r="D18" s="562">
        <v>50.05</v>
      </c>
      <c r="E18" s="561">
        <v>0.47099999999999997</v>
      </c>
      <c r="F18" s="561"/>
    </row>
    <row r="19" spans="3:25" ht="15" thickBot="1">
      <c r="C19" s="566" t="s">
        <v>755</v>
      </c>
      <c r="D19" s="567">
        <v>50.8</v>
      </c>
      <c r="E19" s="566">
        <v>0.49199999999999999</v>
      </c>
      <c r="F19" s="561"/>
    </row>
    <row r="20" spans="3:25"/>
    <row r="21" spans="3:25" ht="15" thickBot="1"/>
    <row r="22" spans="3:25" ht="15" thickBot="1">
      <c r="C22" s="568" t="s">
        <v>756</v>
      </c>
      <c r="D22" s="540"/>
      <c r="E22" s="569">
        <f>AVERAGE(E15:E19)</f>
        <v>0.46479999999999999</v>
      </c>
    </row>
    <row r="23" spans="3:25"/>
    <row r="24" spans="3:25"/>
    <row r="25" spans="3:25">
      <c r="C25" t="s">
        <v>757</v>
      </c>
      <c r="D25" t="s">
        <v>758</v>
      </c>
    </row>
    <row r="26" spans="3:25"/>
    <row r="27" spans="3:25"/>
    <row r="28" spans="3:25">
      <c r="C28" s="14" t="s">
        <v>362</v>
      </c>
      <c r="D28" s="15"/>
      <c r="E28" s="15"/>
      <c r="F28" s="15"/>
      <c r="G28" s="16"/>
      <c r="H28" s="14"/>
      <c r="I28" s="15"/>
      <c r="J28" s="15"/>
      <c r="K28" s="15"/>
      <c r="L28" s="16"/>
      <c r="M28" s="14"/>
      <c r="N28" s="15"/>
      <c r="O28" s="15"/>
      <c r="P28" s="15"/>
      <c r="Q28" s="15"/>
      <c r="R28" s="15"/>
      <c r="S28" s="15"/>
      <c r="T28" s="15"/>
      <c r="U28" s="15"/>
      <c r="V28" s="15"/>
      <c r="W28" s="15"/>
      <c r="X28" s="15"/>
      <c r="Y28" s="15"/>
    </row>
  </sheetData>
  <hyperlinks>
    <hyperlink ref="D3" r:id="rId1" display="https://www.ofgem.gov.uk/publications/renewables-obligation-ro-buy-out-price-mutualisation-threshold-and-mutualisation-ceilings-2021-22" xr:uid="{06DADABB-9989-43E5-9C0E-1AB71D58AB86}"/>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FD3E-7CEF-4556-9952-5EADDD769B3F}">
  <sheetPr>
    <tabColor theme="8" tint="0.79998168889431442"/>
    <pageSetUpPr autoPageBreaks="0"/>
  </sheetPr>
  <dimension ref="A1:X167"/>
  <sheetViews>
    <sheetView showGridLines="0" zoomScale="115" zoomScaleNormal="115" workbookViewId="0">
      <selection activeCell="A2" sqref="A2"/>
    </sheetView>
  </sheetViews>
  <sheetFormatPr defaultColWidth="0" defaultRowHeight="14.4" zeroHeight="1"/>
  <cols>
    <col min="1" max="2" width="2.44140625" customWidth="1"/>
    <col min="3" max="3" width="11.109375" customWidth="1"/>
    <col min="4" max="4" width="30.33203125" customWidth="1"/>
    <col min="5" max="9" width="16.44140625" customWidth="1"/>
    <col min="10" max="10" width="20.109375" bestFit="1" customWidth="1"/>
    <col min="11" max="11" width="16.44140625" customWidth="1"/>
    <col min="12" max="12" width="8.6640625" customWidth="1"/>
    <col min="13" max="24" width="0" hidden="1" customWidth="1"/>
    <col min="25" max="16384" width="8.6640625" hidden="1"/>
  </cols>
  <sheetData>
    <row r="1" spans="1:11" ht="18">
      <c r="A1" s="59" t="s">
        <v>81</v>
      </c>
    </row>
    <row r="2" spans="1:11"/>
    <row r="3" spans="1:11"/>
    <row r="4" spans="1:11">
      <c r="D4" t="s">
        <v>738</v>
      </c>
      <c r="E4" s="314" t="s">
        <v>759</v>
      </c>
    </row>
    <row r="5" spans="1:11"/>
    <row r="6" spans="1:11">
      <c r="D6" s="917" t="s">
        <v>760</v>
      </c>
      <c r="E6" s="918"/>
      <c r="F6" s="918"/>
      <c r="G6" s="918"/>
      <c r="H6" s="918"/>
      <c r="I6" s="918"/>
      <c r="J6" s="918"/>
      <c r="K6" s="918"/>
    </row>
    <row r="7" spans="1:11">
      <c r="D7" s="579"/>
      <c r="E7" s="580"/>
      <c r="F7" s="580"/>
      <c r="G7" s="580"/>
      <c r="H7" s="580"/>
      <c r="I7" s="580"/>
      <c r="J7" s="580"/>
      <c r="K7" s="580"/>
    </row>
    <row r="8" spans="1:11" ht="70.5" customHeight="1">
      <c r="D8" s="306"/>
      <c r="E8" s="581" t="s">
        <v>761</v>
      </c>
      <c r="F8" s="581" t="s">
        <v>762</v>
      </c>
      <c r="G8" s="581" t="s">
        <v>763</v>
      </c>
      <c r="H8" s="581" t="s">
        <v>764</v>
      </c>
      <c r="I8" s="581" t="s">
        <v>765</v>
      </c>
      <c r="J8" s="581" t="s">
        <v>766</v>
      </c>
      <c r="K8" s="581" t="s">
        <v>767</v>
      </c>
    </row>
    <row r="9" spans="1:11">
      <c r="D9" s="311">
        <v>40936</v>
      </c>
      <c r="E9" s="305">
        <v>1020.16</v>
      </c>
      <c r="F9" s="305">
        <v>1024.33</v>
      </c>
      <c r="G9" s="305"/>
      <c r="H9" s="305">
        <v>915.27</v>
      </c>
      <c r="I9" s="305">
        <v>906.56</v>
      </c>
      <c r="J9" s="305">
        <v>947.56</v>
      </c>
      <c r="K9" s="305"/>
    </row>
    <row r="10" spans="1:11">
      <c r="D10" s="311">
        <v>40967</v>
      </c>
      <c r="E10" s="305">
        <v>1000.76</v>
      </c>
      <c r="F10" s="305">
        <v>1017.41</v>
      </c>
      <c r="G10" s="305"/>
      <c r="H10" s="305">
        <v>886.18</v>
      </c>
      <c r="I10" s="305">
        <v>878.1</v>
      </c>
      <c r="J10" s="305">
        <v>930.29</v>
      </c>
      <c r="K10" s="305"/>
    </row>
    <row r="11" spans="1:11">
      <c r="D11" s="311">
        <v>40996</v>
      </c>
      <c r="E11" s="305">
        <v>997.25</v>
      </c>
      <c r="F11" s="305">
        <v>1017.41</v>
      </c>
      <c r="G11" s="305"/>
      <c r="H11" s="305">
        <v>886.18</v>
      </c>
      <c r="I11" s="305">
        <v>878.1</v>
      </c>
      <c r="J11" s="305">
        <v>936.54</v>
      </c>
      <c r="K11" s="305"/>
    </row>
    <row r="12" spans="1:11">
      <c r="D12" s="311">
        <v>41027</v>
      </c>
      <c r="E12" s="305">
        <v>997.25</v>
      </c>
      <c r="F12" s="305">
        <v>1017.35</v>
      </c>
      <c r="G12" s="305"/>
      <c r="H12" s="305">
        <v>895.69</v>
      </c>
      <c r="I12" s="305">
        <v>878.1</v>
      </c>
      <c r="J12" s="305">
        <v>937.68</v>
      </c>
      <c r="K12" s="305"/>
    </row>
    <row r="13" spans="1:11">
      <c r="D13" s="311">
        <v>41057</v>
      </c>
      <c r="E13" s="305">
        <v>997.25</v>
      </c>
      <c r="F13" s="305">
        <v>1017.35</v>
      </c>
      <c r="G13" s="305"/>
      <c r="H13" s="305">
        <v>895.69</v>
      </c>
      <c r="I13" s="305">
        <v>878.1</v>
      </c>
      <c r="J13" s="305">
        <v>929.78</v>
      </c>
      <c r="K13" s="305"/>
    </row>
    <row r="14" spans="1:11">
      <c r="D14" s="311">
        <v>41088</v>
      </c>
      <c r="E14" s="305">
        <v>997.25</v>
      </c>
      <c r="F14" s="305">
        <v>1032.1600000000001</v>
      </c>
      <c r="G14" s="305"/>
      <c r="H14" s="305">
        <v>895.69</v>
      </c>
      <c r="I14" s="305">
        <v>895.69</v>
      </c>
      <c r="J14" s="305">
        <v>945.53</v>
      </c>
      <c r="K14" s="305"/>
    </row>
    <row r="15" spans="1:11">
      <c r="D15" s="311">
        <v>41118</v>
      </c>
      <c r="E15" s="305">
        <v>997.25</v>
      </c>
      <c r="F15" s="305">
        <v>1032.1600000000001</v>
      </c>
      <c r="G15" s="305"/>
      <c r="H15" s="305">
        <v>895.69</v>
      </c>
      <c r="I15" s="305">
        <v>875.93</v>
      </c>
      <c r="J15" s="305">
        <v>928.99</v>
      </c>
      <c r="K15" s="305"/>
    </row>
    <row r="16" spans="1:11">
      <c r="D16" s="311">
        <v>41149</v>
      </c>
      <c r="E16" s="305">
        <v>997.25</v>
      </c>
      <c r="F16" s="305">
        <v>1030.02</v>
      </c>
      <c r="G16" s="305"/>
      <c r="H16" s="305">
        <v>899.1</v>
      </c>
      <c r="I16" s="305">
        <v>875.93</v>
      </c>
      <c r="J16" s="305">
        <v>924.85</v>
      </c>
      <c r="K16" s="305"/>
    </row>
    <row r="17" spans="4:11">
      <c r="D17" s="311">
        <v>41180</v>
      </c>
      <c r="E17" s="305">
        <v>997.25</v>
      </c>
      <c r="F17" s="305">
        <v>1017.84</v>
      </c>
      <c r="G17" s="305"/>
      <c r="H17" s="305">
        <v>901.47</v>
      </c>
      <c r="I17" s="305">
        <v>875.93</v>
      </c>
      <c r="J17" s="305">
        <v>931.04</v>
      </c>
      <c r="K17" s="305"/>
    </row>
    <row r="18" spans="4:11">
      <c r="D18" s="311">
        <v>41210</v>
      </c>
      <c r="E18" s="305">
        <v>1009</v>
      </c>
      <c r="F18" s="305">
        <v>1020.51</v>
      </c>
      <c r="G18" s="305"/>
      <c r="H18" s="305">
        <v>906.17</v>
      </c>
      <c r="I18" s="305">
        <v>893.85</v>
      </c>
      <c r="J18" s="305">
        <v>956</v>
      </c>
      <c r="K18" s="305"/>
    </row>
    <row r="19" spans="4:11">
      <c r="D19" s="311">
        <v>41241</v>
      </c>
      <c r="E19" s="305">
        <v>1030.78</v>
      </c>
      <c r="F19" s="305">
        <v>1075.1199999999999</v>
      </c>
      <c r="G19" s="305"/>
      <c r="H19" s="305">
        <v>958.21</v>
      </c>
      <c r="I19" s="305">
        <v>909.59</v>
      </c>
      <c r="J19" s="305">
        <v>997.71</v>
      </c>
      <c r="K19" s="305"/>
    </row>
    <row r="20" spans="4:11">
      <c r="D20" s="311">
        <v>41271</v>
      </c>
      <c r="E20" s="305">
        <v>1061.8</v>
      </c>
      <c r="F20" s="305">
        <v>1087.6500000000001</v>
      </c>
      <c r="G20" s="305"/>
      <c r="H20" s="305">
        <v>990.7</v>
      </c>
      <c r="I20" s="305">
        <v>909.59</v>
      </c>
      <c r="J20" s="305">
        <v>994.59</v>
      </c>
      <c r="K20" s="305"/>
    </row>
    <row r="21" spans="4:11">
      <c r="D21" s="311">
        <v>41302</v>
      </c>
      <c r="E21" s="305">
        <v>1074.42</v>
      </c>
      <c r="F21" s="305">
        <v>1087.6500000000001</v>
      </c>
      <c r="G21" s="305"/>
      <c r="H21" s="305">
        <v>957.18</v>
      </c>
      <c r="I21" s="305">
        <v>909.59</v>
      </c>
      <c r="J21" s="305">
        <v>990.81</v>
      </c>
      <c r="K21" s="305"/>
    </row>
    <row r="22" spans="4:11">
      <c r="D22" s="311">
        <v>41333</v>
      </c>
      <c r="E22" s="305">
        <v>1074.42</v>
      </c>
      <c r="F22" s="305">
        <v>1119.05</v>
      </c>
      <c r="G22" s="305"/>
      <c r="H22" s="305">
        <v>957.18</v>
      </c>
      <c r="I22" s="305">
        <v>909.59</v>
      </c>
      <c r="J22" s="305">
        <v>994.56</v>
      </c>
      <c r="K22" s="305"/>
    </row>
    <row r="23" spans="4:11">
      <c r="D23" s="311">
        <v>41361</v>
      </c>
      <c r="E23" s="305">
        <v>1074.42</v>
      </c>
      <c r="F23" s="305">
        <v>1119.05</v>
      </c>
      <c r="G23" s="305"/>
      <c r="H23" s="305">
        <v>966.54</v>
      </c>
      <c r="I23" s="305">
        <v>909.59</v>
      </c>
      <c r="J23" s="305">
        <v>995.5</v>
      </c>
      <c r="K23" s="305"/>
    </row>
    <row r="24" spans="4:11">
      <c r="D24" s="311">
        <v>41392</v>
      </c>
      <c r="E24" s="305">
        <v>1074.42</v>
      </c>
      <c r="F24" s="305">
        <v>1119.05</v>
      </c>
      <c r="G24" s="305"/>
      <c r="H24" s="305">
        <v>966.54</v>
      </c>
      <c r="I24" s="305">
        <v>909.59</v>
      </c>
      <c r="J24" s="305">
        <v>988.37</v>
      </c>
      <c r="K24" s="305"/>
    </row>
    <row r="25" spans="4:11">
      <c r="D25" s="311">
        <v>41422</v>
      </c>
      <c r="E25" s="305">
        <v>1074.43</v>
      </c>
      <c r="F25" s="305">
        <v>1119.05</v>
      </c>
      <c r="G25" s="305"/>
      <c r="H25" s="305">
        <v>966.54</v>
      </c>
      <c r="I25" s="305">
        <v>962.43</v>
      </c>
      <c r="J25" s="305">
        <v>997.77</v>
      </c>
      <c r="K25" s="305"/>
    </row>
    <row r="26" spans="4:11">
      <c r="D26" s="311">
        <v>41453</v>
      </c>
      <c r="E26" s="305">
        <v>1074.43</v>
      </c>
      <c r="F26" s="305">
        <v>1119.05</v>
      </c>
      <c r="G26" s="305"/>
      <c r="H26" s="305">
        <v>966.54</v>
      </c>
      <c r="I26" s="305">
        <v>769.95</v>
      </c>
      <c r="J26" s="305">
        <v>967.26</v>
      </c>
      <c r="K26" s="305"/>
    </row>
    <row r="27" spans="4:11">
      <c r="D27" s="311">
        <v>41483</v>
      </c>
      <c r="E27" s="305">
        <v>1074.45</v>
      </c>
      <c r="F27" s="305">
        <v>1119.05</v>
      </c>
      <c r="G27" s="305"/>
      <c r="H27" s="305">
        <v>984.68</v>
      </c>
      <c r="I27" s="305">
        <v>769.95</v>
      </c>
      <c r="J27" s="305">
        <v>974.82</v>
      </c>
      <c r="K27" s="305"/>
    </row>
    <row r="28" spans="4:11">
      <c r="D28" s="311">
        <v>41514</v>
      </c>
      <c r="E28" s="305">
        <v>1074.45</v>
      </c>
      <c r="F28" s="305">
        <v>1119.05</v>
      </c>
      <c r="G28" s="305"/>
      <c r="H28" s="305">
        <v>971.77</v>
      </c>
      <c r="I28" s="305">
        <v>769.95</v>
      </c>
      <c r="J28" s="305">
        <v>988.47</v>
      </c>
      <c r="K28" s="305"/>
    </row>
    <row r="29" spans="4:11">
      <c r="D29" s="311">
        <v>41545</v>
      </c>
      <c r="E29" s="305">
        <v>1074.45</v>
      </c>
      <c r="F29" s="305">
        <v>1119.05</v>
      </c>
      <c r="G29" s="305"/>
      <c r="H29" s="305">
        <v>971.77</v>
      </c>
      <c r="I29" s="305">
        <v>769.95</v>
      </c>
      <c r="J29" s="305">
        <v>979.55</v>
      </c>
      <c r="K29" s="305"/>
    </row>
    <row r="30" spans="4:11">
      <c r="D30" s="311">
        <v>41575</v>
      </c>
      <c r="E30" s="305">
        <v>1074.45</v>
      </c>
      <c r="F30" s="305">
        <v>1127.02</v>
      </c>
      <c r="G30" s="305"/>
      <c r="H30" s="305">
        <v>1011.8</v>
      </c>
      <c r="I30" s="305">
        <v>769.95</v>
      </c>
      <c r="J30" s="305">
        <v>995.67</v>
      </c>
      <c r="K30" s="305"/>
    </row>
    <row r="31" spans="4:11">
      <c r="D31" s="311">
        <v>41606</v>
      </c>
      <c r="E31" s="305">
        <v>1105.94</v>
      </c>
      <c r="F31" s="305">
        <v>1123.75</v>
      </c>
      <c r="G31" s="305"/>
      <c r="H31" s="305">
        <v>993.4</v>
      </c>
      <c r="I31" s="305">
        <v>769.95</v>
      </c>
      <c r="J31" s="305">
        <v>992.26</v>
      </c>
      <c r="K31" s="305"/>
    </row>
    <row r="32" spans="4:11">
      <c r="D32" s="311">
        <v>41636</v>
      </c>
      <c r="E32" s="305">
        <v>1138.95</v>
      </c>
      <c r="F32" s="305">
        <v>1123.75</v>
      </c>
      <c r="G32" s="305"/>
      <c r="H32" s="305">
        <v>1033.47</v>
      </c>
      <c r="I32" s="305">
        <v>769.95</v>
      </c>
      <c r="J32" s="305">
        <v>997</v>
      </c>
      <c r="K32" s="305"/>
    </row>
    <row r="33" spans="4:11">
      <c r="D33" s="311">
        <v>41667</v>
      </c>
      <c r="E33" s="305">
        <v>1145.8399999999999</v>
      </c>
      <c r="F33" s="305">
        <v>1125.1400000000001</v>
      </c>
      <c r="G33" s="305"/>
      <c r="H33" s="305">
        <v>1033.47</v>
      </c>
      <c r="I33" s="305">
        <v>975.21</v>
      </c>
      <c r="J33" s="305">
        <v>1013.73</v>
      </c>
      <c r="K33" s="305"/>
    </row>
    <row r="34" spans="4:11">
      <c r="D34" s="311">
        <v>41698</v>
      </c>
      <c r="E34" s="305">
        <v>1134.0899999999999</v>
      </c>
      <c r="F34" s="305">
        <v>1128.76</v>
      </c>
      <c r="G34" s="305"/>
      <c r="H34" s="305">
        <v>1033.97</v>
      </c>
      <c r="I34" s="305">
        <v>966.34</v>
      </c>
      <c r="J34" s="305">
        <v>1014.19</v>
      </c>
      <c r="K34" s="305"/>
    </row>
    <row r="35" spans="4:11">
      <c r="D35" s="311">
        <v>41726</v>
      </c>
      <c r="E35" s="305">
        <v>1128.0999999999999</v>
      </c>
      <c r="F35" s="305">
        <v>1126.6099999999999</v>
      </c>
      <c r="G35" s="305"/>
      <c r="H35" s="305">
        <v>1024.79</v>
      </c>
      <c r="I35" s="305">
        <v>964.31</v>
      </c>
      <c r="J35" s="305">
        <v>1016.25</v>
      </c>
      <c r="K35" s="305"/>
    </row>
    <row r="36" spans="4:11">
      <c r="D36" s="311">
        <v>41757</v>
      </c>
      <c r="E36" s="305">
        <v>1128.0999999999999</v>
      </c>
      <c r="F36" s="305">
        <v>1129.6199999999999</v>
      </c>
      <c r="G36" s="305"/>
      <c r="H36" s="305">
        <v>1000.38</v>
      </c>
      <c r="I36" s="305">
        <v>946.42</v>
      </c>
      <c r="J36" s="305">
        <v>995.26</v>
      </c>
      <c r="K36" s="305"/>
    </row>
    <row r="37" spans="4:11">
      <c r="D37" s="311">
        <v>41787</v>
      </c>
      <c r="E37" s="305">
        <v>1128.0999999999999</v>
      </c>
      <c r="F37" s="305">
        <v>1129.6199999999999</v>
      </c>
      <c r="G37" s="305"/>
      <c r="H37" s="305">
        <v>1000.38</v>
      </c>
      <c r="I37" s="305">
        <v>944.55</v>
      </c>
      <c r="J37" s="305">
        <v>995.13</v>
      </c>
      <c r="K37" s="305"/>
    </row>
    <row r="38" spans="4:11">
      <c r="D38" s="311">
        <v>41818</v>
      </c>
      <c r="E38" s="305">
        <v>1128.0999999999999</v>
      </c>
      <c r="F38" s="305">
        <v>1129.6199999999999</v>
      </c>
      <c r="G38" s="305"/>
      <c r="H38" s="305">
        <v>1000.38</v>
      </c>
      <c r="I38" s="305">
        <v>944.55</v>
      </c>
      <c r="J38" s="305">
        <v>992.88</v>
      </c>
      <c r="K38" s="305"/>
    </row>
    <row r="39" spans="4:11">
      <c r="D39" s="311">
        <v>41848</v>
      </c>
      <c r="E39" s="305">
        <v>1128.0999999999999</v>
      </c>
      <c r="F39" s="305">
        <v>1134.19</v>
      </c>
      <c r="G39" s="305"/>
      <c r="H39" s="305">
        <v>1000.38</v>
      </c>
      <c r="I39" s="305">
        <v>944.95</v>
      </c>
      <c r="J39" s="305">
        <v>976.39</v>
      </c>
      <c r="K39" s="305"/>
    </row>
    <row r="40" spans="4:11">
      <c r="D40" s="311">
        <v>41879</v>
      </c>
      <c r="E40" s="305">
        <v>1128.0999999999999</v>
      </c>
      <c r="F40" s="305">
        <v>1127.79</v>
      </c>
      <c r="G40" s="305"/>
      <c r="H40" s="305">
        <v>1000.38</v>
      </c>
      <c r="I40" s="305">
        <v>943.43</v>
      </c>
      <c r="J40" s="305">
        <v>978.98</v>
      </c>
      <c r="K40" s="305"/>
    </row>
    <row r="41" spans="4:11">
      <c r="D41" s="311">
        <v>41910</v>
      </c>
      <c r="E41" s="305">
        <v>1128.0999999999999</v>
      </c>
      <c r="F41" s="305">
        <v>1158.3900000000001</v>
      </c>
      <c r="G41" s="305"/>
      <c r="H41" s="305">
        <v>960.9</v>
      </c>
      <c r="I41" s="305">
        <v>942.27</v>
      </c>
      <c r="J41" s="305">
        <v>972.34</v>
      </c>
      <c r="K41" s="305"/>
    </row>
    <row r="42" spans="4:11">
      <c r="D42" s="311">
        <v>41940</v>
      </c>
      <c r="E42" s="305">
        <v>1128.0999999999999</v>
      </c>
      <c r="F42" s="305">
        <v>1131.8</v>
      </c>
      <c r="G42" s="305"/>
      <c r="H42" s="305">
        <v>953.4</v>
      </c>
      <c r="I42" s="305">
        <v>931.02</v>
      </c>
      <c r="J42" s="305">
        <v>960.15</v>
      </c>
      <c r="K42" s="305"/>
    </row>
    <row r="43" spans="4:11">
      <c r="D43" s="311">
        <v>41971</v>
      </c>
      <c r="E43" s="305">
        <v>1128.0999999999999</v>
      </c>
      <c r="F43" s="305">
        <v>1131.8</v>
      </c>
      <c r="G43" s="305"/>
      <c r="H43" s="305">
        <v>921.88</v>
      </c>
      <c r="I43" s="305">
        <v>914.51</v>
      </c>
      <c r="J43" s="305">
        <v>947.94</v>
      </c>
      <c r="K43" s="305"/>
    </row>
    <row r="44" spans="4:11">
      <c r="D44" s="311">
        <v>42001</v>
      </c>
      <c r="E44" s="305">
        <v>1128.0999999999999</v>
      </c>
      <c r="F44" s="305">
        <v>1130.51</v>
      </c>
      <c r="G44" s="305"/>
      <c r="H44" s="305">
        <v>916.21</v>
      </c>
      <c r="I44" s="305">
        <v>906.14</v>
      </c>
      <c r="J44" s="305">
        <v>929.69</v>
      </c>
      <c r="K44" s="305"/>
    </row>
    <row r="45" spans="4:11">
      <c r="D45" s="311">
        <v>42032</v>
      </c>
      <c r="E45" s="305">
        <v>1124.33</v>
      </c>
      <c r="F45" s="305">
        <v>1130.51</v>
      </c>
      <c r="G45" s="305"/>
      <c r="H45" s="305">
        <v>875.4</v>
      </c>
      <c r="I45" s="305">
        <v>871.26</v>
      </c>
      <c r="J45" s="305">
        <v>895.39</v>
      </c>
      <c r="K45" s="305"/>
    </row>
    <row r="46" spans="4:11">
      <c r="D46" s="311">
        <v>42063</v>
      </c>
      <c r="E46" s="305">
        <v>1106.6500000000001</v>
      </c>
      <c r="F46" s="305">
        <v>1110.8399999999999</v>
      </c>
      <c r="G46" s="305"/>
      <c r="H46" s="305">
        <v>839.28</v>
      </c>
      <c r="I46" s="305">
        <v>839.28</v>
      </c>
      <c r="J46" s="305">
        <v>881.39</v>
      </c>
      <c r="K46" s="305"/>
    </row>
    <row r="47" spans="4:11">
      <c r="D47" s="311">
        <v>42091</v>
      </c>
      <c r="E47" s="305">
        <v>1106.6500000000001</v>
      </c>
      <c r="F47" s="305">
        <v>1088.31</v>
      </c>
      <c r="G47" s="305"/>
      <c r="H47" s="305">
        <v>836.99</v>
      </c>
      <c r="I47" s="305">
        <v>836.99</v>
      </c>
      <c r="J47" s="305">
        <v>892.38</v>
      </c>
      <c r="K47" s="305"/>
    </row>
    <row r="48" spans="4:11">
      <c r="D48" s="311">
        <v>42122</v>
      </c>
      <c r="E48" s="305">
        <v>1106.6500000000001</v>
      </c>
      <c r="F48" s="305">
        <v>1075.32</v>
      </c>
      <c r="G48" s="305"/>
      <c r="H48" s="305">
        <v>834.57</v>
      </c>
      <c r="I48" s="305">
        <v>834.57</v>
      </c>
      <c r="J48" s="305">
        <v>878.56</v>
      </c>
      <c r="K48" s="305"/>
    </row>
    <row r="49" spans="4:11">
      <c r="D49" s="311">
        <v>42152</v>
      </c>
      <c r="E49" s="305">
        <v>1102.28</v>
      </c>
      <c r="F49" s="305">
        <v>1073.26</v>
      </c>
      <c r="G49" s="305"/>
      <c r="H49" s="305">
        <v>835.19</v>
      </c>
      <c r="I49" s="305">
        <v>830.56</v>
      </c>
      <c r="J49" s="305">
        <v>877.12</v>
      </c>
      <c r="K49" s="305"/>
    </row>
    <row r="50" spans="4:11">
      <c r="D50" s="311">
        <v>42183</v>
      </c>
      <c r="E50" s="305">
        <v>1102.28</v>
      </c>
      <c r="F50" s="305">
        <v>1073.26</v>
      </c>
      <c r="G50" s="305"/>
      <c r="H50" s="305">
        <v>835.71</v>
      </c>
      <c r="I50" s="305">
        <v>830.56</v>
      </c>
      <c r="J50" s="305">
        <v>871.21</v>
      </c>
      <c r="K50" s="305"/>
    </row>
    <row r="51" spans="4:11">
      <c r="D51" s="311">
        <v>42213</v>
      </c>
      <c r="E51" s="305">
        <v>1102.28</v>
      </c>
      <c r="F51" s="305">
        <v>1066.77</v>
      </c>
      <c r="G51" s="305"/>
      <c r="H51" s="305">
        <v>863.85</v>
      </c>
      <c r="I51" s="305">
        <v>830.56</v>
      </c>
      <c r="J51" s="305">
        <v>867.88</v>
      </c>
      <c r="K51" s="305"/>
    </row>
    <row r="52" spans="4:11">
      <c r="D52" s="311">
        <v>42244</v>
      </c>
      <c r="E52" s="305">
        <v>1098.03</v>
      </c>
      <c r="F52" s="305">
        <v>1066.77</v>
      </c>
      <c r="G52" s="305"/>
      <c r="H52" s="305">
        <v>876.03</v>
      </c>
      <c r="I52" s="305">
        <v>830.56</v>
      </c>
      <c r="J52" s="305">
        <v>868.79</v>
      </c>
      <c r="K52" s="305"/>
    </row>
    <row r="53" spans="4:11">
      <c r="D53" s="311">
        <v>42275</v>
      </c>
      <c r="E53" s="305">
        <v>1098.03</v>
      </c>
      <c r="F53" s="305">
        <v>1054.98</v>
      </c>
      <c r="G53" s="305"/>
      <c r="H53" s="305">
        <v>876.03</v>
      </c>
      <c r="I53" s="305">
        <v>830.56</v>
      </c>
      <c r="J53" s="305">
        <v>858.62</v>
      </c>
      <c r="K53" s="305"/>
    </row>
    <row r="54" spans="4:11">
      <c r="D54" s="311">
        <v>42305</v>
      </c>
      <c r="E54" s="305">
        <v>1098.03</v>
      </c>
      <c r="F54" s="305">
        <v>1050.1199999999999</v>
      </c>
      <c r="G54" s="305"/>
      <c r="H54" s="305">
        <v>803</v>
      </c>
      <c r="I54" s="305">
        <v>793.93</v>
      </c>
      <c r="J54" s="305">
        <v>823</v>
      </c>
      <c r="K54" s="305"/>
    </row>
    <row r="55" spans="4:11">
      <c r="D55" s="311">
        <v>42336</v>
      </c>
      <c r="E55" s="305">
        <v>1098.03</v>
      </c>
      <c r="F55" s="305">
        <v>1040.7</v>
      </c>
      <c r="G55" s="305"/>
      <c r="H55" s="305">
        <v>805.4</v>
      </c>
      <c r="I55" s="305">
        <v>787.05</v>
      </c>
      <c r="J55" s="305">
        <v>810.84</v>
      </c>
      <c r="K55" s="305"/>
    </row>
    <row r="56" spans="4:11">
      <c r="D56" s="311">
        <v>42366</v>
      </c>
      <c r="E56" s="305">
        <v>1098.03</v>
      </c>
      <c r="F56" s="305">
        <v>1039.03</v>
      </c>
      <c r="G56" s="305"/>
      <c r="H56" s="305">
        <v>850.52</v>
      </c>
      <c r="I56" s="305">
        <v>787.05</v>
      </c>
      <c r="J56" s="305">
        <v>803.86</v>
      </c>
      <c r="K56" s="305"/>
    </row>
    <row r="57" spans="4:11">
      <c r="D57" s="311">
        <v>42397</v>
      </c>
      <c r="E57" s="305">
        <v>1098.03</v>
      </c>
      <c r="F57" s="305">
        <v>1035.48</v>
      </c>
      <c r="G57" s="305"/>
      <c r="H57" s="305">
        <v>769.69</v>
      </c>
      <c r="I57" s="305">
        <v>765</v>
      </c>
      <c r="J57" s="305">
        <v>785.04</v>
      </c>
      <c r="K57" s="305"/>
    </row>
    <row r="58" spans="4:11">
      <c r="D58" s="311">
        <v>42428</v>
      </c>
      <c r="E58" s="305">
        <v>1092.69</v>
      </c>
      <c r="F58" s="305">
        <v>1020.06</v>
      </c>
      <c r="G58" s="305"/>
      <c r="H58" s="305">
        <v>738.38</v>
      </c>
      <c r="I58" s="305">
        <v>738.38</v>
      </c>
      <c r="J58" s="305">
        <v>755.65</v>
      </c>
      <c r="K58" s="305"/>
    </row>
    <row r="59" spans="4:11">
      <c r="D59" s="311">
        <v>42457</v>
      </c>
      <c r="E59" s="305">
        <v>1071.44</v>
      </c>
      <c r="F59" s="305">
        <v>1013</v>
      </c>
      <c r="G59" s="305"/>
      <c r="H59" s="305">
        <v>727.7</v>
      </c>
      <c r="I59" s="305">
        <v>727.7</v>
      </c>
      <c r="J59" s="305">
        <v>756.05</v>
      </c>
      <c r="K59" s="305"/>
    </row>
    <row r="60" spans="4:11">
      <c r="D60" s="311">
        <v>42488</v>
      </c>
      <c r="E60" s="305">
        <v>1065.97</v>
      </c>
      <c r="F60" s="305">
        <v>978.55</v>
      </c>
      <c r="G60" s="305"/>
      <c r="H60" s="305">
        <v>723.91</v>
      </c>
      <c r="I60" s="305">
        <v>723.91</v>
      </c>
      <c r="J60" s="305">
        <v>751.58</v>
      </c>
      <c r="K60" s="305"/>
    </row>
    <row r="61" spans="4:11">
      <c r="D61" s="311">
        <v>42518</v>
      </c>
      <c r="E61" s="305">
        <v>1065.97</v>
      </c>
      <c r="F61" s="305">
        <v>976.04</v>
      </c>
      <c r="G61" s="305"/>
      <c r="H61" s="305">
        <v>723.23</v>
      </c>
      <c r="I61" s="305">
        <v>723.23</v>
      </c>
      <c r="J61" s="305">
        <v>742.71</v>
      </c>
      <c r="K61" s="305"/>
    </row>
    <row r="62" spans="4:11">
      <c r="D62" s="311">
        <v>42549</v>
      </c>
      <c r="E62" s="305">
        <v>1065.97</v>
      </c>
      <c r="F62" s="305">
        <v>984.02</v>
      </c>
      <c r="G62" s="305"/>
      <c r="H62" s="305">
        <v>723.23</v>
      </c>
      <c r="I62" s="305">
        <v>723.23</v>
      </c>
      <c r="J62" s="305">
        <v>751.36</v>
      </c>
      <c r="K62" s="305"/>
    </row>
    <row r="63" spans="4:11">
      <c r="D63" s="311">
        <v>42579</v>
      </c>
      <c r="E63" s="305">
        <v>1065.97</v>
      </c>
      <c r="F63" s="305">
        <v>988.7</v>
      </c>
      <c r="G63" s="305"/>
      <c r="H63" s="305">
        <v>779.39</v>
      </c>
      <c r="I63" s="305">
        <v>758.31</v>
      </c>
      <c r="J63" s="305">
        <v>779.72</v>
      </c>
      <c r="K63" s="305"/>
    </row>
    <row r="64" spans="4:11">
      <c r="D64" s="311">
        <v>42610</v>
      </c>
      <c r="E64" s="305">
        <v>1065.97</v>
      </c>
      <c r="F64" s="305">
        <v>983.86</v>
      </c>
      <c r="G64" s="305"/>
      <c r="H64" s="305">
        <v>801.37</v>
      </c>
      <c r="I64" s="305">
        <v>769.65</v>
      </c>
      <c r="J64" s="305">
        <v>789.25</v>
      </c>
      <c r="K64" s="305"/>
    </row>
    <row r="65" spans="4:11">
      <c r="D65" s="311">
        <v>42641</v>
      </c>
      <c r="E65" s="305">
        <v>1065.97</v>
      </c>
      <c r="F65" s="305">
        <v>983.89</v>
      </c>
      <c r="G65" s="305"/>
      <c r="H65" s="305">
        <v>754.64</v>
      </c>
      <c r="I65" s="305">
        <v>744.3</v>
      </c>
      <c r="J65" s="305">
        <v>777</v>
      </c>
      <c r="K65" s="305"/>
    </row>
    <row r="66" spans="4:11">
      <c r="D66" s="311">
        <v>42671</v>
      </c>
      <c r="E66" s="305">
        <v>1065.97</v>
      </c>
      <c r="F66" s="305">
        <v>994.93</v>
      </c>
      <c r="G66" s="305"/>
      <c r="H66" s="305">
        <v>803.54</v>
      </c>
      <c r="I66" s="305">
        <v>741.92</v>
      </c>
      <c r="J66" s="305">
        <v>786.41</v>
      </c>
      <c r="K66" s="305"/>
    </row>
    <row r="67" spans="4:11">
      <c r="D67" s="311">
        <v>42702</v>
      </c>
      <c r="E67" s="305">
        <v>1065.97</v>
      </c>
      <c r="F67" s="305">
        <v>1012.84</v>
      </c>
      <c r="G67" s="305"/>
      <c r="H67" s="305">
        <v>897.18</v>
      </c>
      <c r="I67" s="305">
        <v>790.02</v>
      </c>
      <c r="J67" s="305">
        <v>859.23</v>
      </c>
      <c r="K67" s="305"/>
    </row>
    <row r="68" spans="4:11">
      <c r="D68" s="311">
        <v>42732</v>
      </c>
      <c r="E68" s="305">
        <v>1065.97</v>
      </c>
      <c r="F68" s="305">
        <v>1019.72</v>
      </c>
      <c r="G68" s="305"/>
      <c r="H68" s="305">
        <v>951.51</v>
      </c>
      <c r="I68" s="305">
        <v>790.02</v>
      </c>
      <c r="J68" s="305">
        <v>872.16</v>
      </c>
      <c r="K68" s="305"/>
    </row>
    <row r="69" spans="4:11">
      <c r="D69" s="311">
        <v>42763</v>
      </c>
      <c r="E69" s="305">
        <v>1061.06</v>
      </c>
      <c r="F69" s="305">
        <v>1020.1</v>
      </c>
      <c r="G69" s="305"/>
      <c r="H69" s="305">
        <v>951.51</v>
      </c>
      <c r="I69" s="305">
        <v>833.71</v>
      </c>
      <c r="J69" s="305">
        <v>881.11</v>
      </c>
      <c r="K69" s="305"/>
    </row>
    <row r="70" spans="4:11">
      <c r="D70" s="311">
        <v>42794</v>
      </c>
      <c r="E70" s="305">
        <v>1081.27</v>
      </c>
      <c r="F70" s="305">
        <v>1027.06</v>
      </c>
      <c r="G70" s="305">
        <v>949.47</v>
      </c>
      <c r="H70" s="305">
        <v>928.48</v>
      </c>
      <c r="I70" s="305">
        <v>829.1</v>
      </c>
      <c r="J70" s="305">
        <v>869.79</v>
      </c>
      <c r="K70" s="305"/>
    </row>
    <row r="71" spans="4:11">
      <c r="D71" s="311">
        <v>42822</v>
      </c>
      <c r="E71" s="305">
        <v>1109.48</v>
      </c>
      <c r="F71" s="305">
        <v>1035.47</v>
      </c>
      <c r="G71" s="305">
        <v>951</v>
      </c>
      <c r="H71" s="305">
        <v>922.23</v>
      </c>
      <c r="I71" s="305">
        <v>829.1</v>
      </c>
      <c r="J71" s="305">
        <v>873.38</v>
      </c>
      <c r="K71" s="305"/>
    </row>
    <row r="72" spans="4:11">
      <c r="D72" s="311">
        <v>42853</v>
      </c>
      <c r="E72" s="305">
        <v>1122.28</v>
      </c>
      <c r="F72" s="305">
        <v>1041.56</v>
      </c>
      <c r="G72" s="305">
        <v>953.16</v>
      </c>
      <c r="H72" s="305">
        <v>923.55</v>
      </c>
      <c r="I72" s="305">
        <v>863.31</v>
      </c>
      <c r="J72" s="305">
        <v>874.62</v>
      </c>
      <c r="K72" s="305"/>
    </row>
    <row r="73" spans="4:11">
      <c r="D73" s="311">
        <v>42883</v>
      </c>
      <c r="E73" s="305">
        <v>1122.28</v>
      </c>
      <c r="F73" s="305">
        <v>1039.22</v>
      </c>
      <c r="G73" s="305">
        <v>928.4</v>
      </c>
      <c r="H73" s="305">
        <v>923.57</v>
      </c>
      <c r="I73" s="305">
        <v>826.52</v>
      </c>
      <c r="J73" s="305">
        <v>861.76</v>
      </c>
      <c r="K73" s="305"/>
    </row>
    <row r="74" spans="4:11">
      <c r="D74" s="311">
        <v>42914</v>
      </c>
      <c r="E74" s="305">
        <v>1122.28</v>
      </c>
      <c r="F74" s="305">
        <v>1026.98</v>
      </c>
      <c r="G74" s="305">
        <v>953.14</v>
      </c>
      <c r="H74" s="305">
        <v>923.57</v>
      </c>
      <c r="I74" s="305">
        <v>835.76</v>
      </c>
      <c r="J74" s="305">
        <v>852.58</v>
      </c>
      <c r="K74" s="305"/>
    </row>
    <row r="75" spans="4:11">
      <c r="D75" s="311">
        <v>42944</v>
      </c>
      <c r="E75" s="305">
        <v>1122.28</v>
      </c>
      <c r="F75" s="305">
        <v>1030.6300000000001</v>
      </c>
      <c r="G75" s="305">
        <v>913.45</v>
      </c>
      <c r="H75" s="305">
        <v>922.82</v>
      </c>
      <c r="I75" s="305">
        <v>829.91</v>
      </c>
      <c r="J75" s="305">
        <v>844.94</v>
      </c>
      <c r="K75" s="305"/>
    </row>
    <row r="76" spans="4:11">
      <c r="D76" s="311">
        <v>42975</v>
      </c>
      <c r="E76" s="305">
        <v>1122.28</v>
      </c>
      <c r="F76" s="305">
        <v>1030.76</v>
      </c>
      <c r="G76" s="305">
        <v>954.78</v>
      </c>
      <c r="H76" s="305">
        <v>910.05</v>
      </c>
      <c r="I76" s="305">
        <v>810.11</v>
      </c>
      <c r="J76" s="305">
        <v>839.3</v>
      </c>
      <c r="K76" s="305"/>
    </row>
    <row r="77" spans="4:11">
      <c r="D77" s="311">
        <v>43006</v>
      </c>
      <c r="E77" s="305">
        <v>1134.95</v>
      </c>
      <c r="F77" s="305">
        <v>1026.42</v>
      </c>
      <c r="G77" s="305">
        <v>959.4</v>
      </c>
      <c r="H77" s="305">
        <v>904.48</v>
      </c>
      <c r="I77" s="305">
        <v>826.73</v>
      </c>
      <c r="J77" s="305">
        <v>837.66</v>
      </c>
      <c r="K77" s="305"/>
    </row>
    <row r="78" spans="4:11">
      <c r="D78" s="311">
        <v>43036</v>
      </c>
      <c r="E78" s="305">
        <v>1134.95</v>
      </c>
      <c r="F78" s="305">
        <v>1031.4100000000001</v>
      </c>
      <c r="G78" s="305">
        <v>978.38</v>
      </c>
      <c r="H78" s="305">
        <v>897.98</v>
      </c>
      <c r="I78" s="305">
        <v>826.73</v>
      </c>
      <c r="J78" s="305">
        <v>854.69</v>
      </c>
      <c r="K78" s="305"/>
    </row>
    <row r="79" spans="4:11">
      <c r="D79" s="311">
        <v>43067</v>
      </c>
      <c r="E79" s="305">
        <v>1134.95</v>
      </c>
      <c r="F79" s="305">
        <v>1044.8399999999999</v>
      </c>
      <c r="G79" s="305">
        <v>965.89</v>
      </c>
      <c r="H79" s="305">
        <v>928.59</v>
      </c>
      <c r="I79" s="305">
        <v>826.73</v>
      </c>
      <c r="J79" s="305">
        <v>846.77</v>
      </c>
      <c r="K79" s="305"/>
    </row>
    <row r="80" spans="4:11">
      <c r="D80" s="311">
        <v>43097</v>
      </c>
      <c r="E80" s="305">
        <v>1134.95</v>
      </c>
      <c r="F80" s="305">
        <v>1040.8599999999999</v>
      </c>
      <c r="G80" s="305">
        <v>986.54</v>
      </c>
      <c r="H80" s="305">
        <v>973.04</v>
      </c>
      <c r="I80" s="305">
        <v>798.72</v>
      </c>
      <c r="J80" s="305">
        <v>841.48</v>
      </c>
      <c r="K80" s="305"/>
    </row>
    <row r="81" spans="4:11">
      <c r="D81" s="311">
        <v>43128</v>
      </c>
      <c r="E81" s="305">
        <v>1134.95</v>
      </c>
      <c r="F81" s="305">
        <v>1036.1400000000001</v>
      </c>
      <c r="G81" s="305">
        <v>948.05</v>
      </c>
      <c r="H81" s="305">
        <v>907.89</v>
      </c>
      <c r="I81" s="305">
        <v>809.32</v>
      </c>
      <c r="J81" s="305">
        <v>840.81</v>
      </c>
      <c r="K81" s="305"/>
    </row>
    <row r="82" spans="4:11">
      <c r="D82" s="311">
        <v>43159</v>
      </c>
      <c r="E82" s="305">
        <v>1134.95</v>
      </c>
      <c r="F82" s="305">
        <v>1039.8499999999999</v>
      </c>
      <c r="G82" s="305">
        <v>958.59</v>
      </c>
      <c r="H82" s="305">
        <v>900.98</v>
      </c>
      <c r="I82" s="305">
        <v>810.06</v>
      </c>
      <c r="J82" s="305">
        <v>840.58</v>
      </c>
      <c r="K82" s="305"/>
    </row>
    <row r="83" spans="4:11">
      <c r="D83" s="311">
        <v>43187</v>
      </c>
      <c r="E83" s="305">
        <v>1134.95</v>
      </c>
      <c r="F83" s="305">
        <v>1044.29</v>
      </c>
      <c r="G83" s="305">
        <v>961.52</v>
      </c>
      <c r="H83" s="305">
        <v>900.98</v>
      </c>
      <c r="I83" s="305">
        <v>810.11</v>
      </c>
      <c r="J83" s="305">
        <v>842.91</v>
      </c>
      <c r="K83" s="305"/>
    </row>
    <row r="84" spans="4:11">
      <c r="D84" s="311">
        <v>43218</v>
      </c>
      <c r="E84" s="305">
        <v>1138.28</v>
      </c>
      <c r="F84" s="305">
        <v>1061.81</v>
      </c>
      <c r="G84" s="305">
        <v>979.54</v>
      </c>
      <c r="H84" s="305">
        <v>1000.42</v>
      </c>
      <c r="I84" s="305">
        <v>788.16</v>
      </c>
      <c r="J84" s="305">
        <v>820.46</v>
      </c>
      <c r="K84" s="305"/>
    </row>
    <row r="85" spans="4:11">
      <c r="D85" s="311">
        <v>43248</v>
      </c>
      <c r="E85" s="305">
        <v>1138.28</v>
      </c>
      <c r="F85" s="305">
        <v>1060.56</v>
      </c>
      <c r="G85" s="305">
        <v>1031.1099999999999</v>
      </c>
      <c r="H85" s="305">
        <v>962.53</v>
      </c>
      <c r="I85" s="305">
        <v>788.16</v>
      </c>
      <c r="J85" s="305">
        <v>832.69</v>
      </c>
      <c r="K85" s="305"/>
    </row>
    <row r="86" spans="4:11">
      <c r="D86" s="311">
        <v>43279</v>
      </c>
      <c r="E86" s="305">
        <v>1172.2</v>
      </c>
      <c r="F86" s="305">
        <v>1066.3900000000001</v>
      </c>
      <c r="G86" s="305">
        <v>1021.04</v>
      </c>
      <c r="H86" s="305">
        <v>953.16</v>
      </c>
      <c r="I86" s="305">
        <v>796.99</v>
      </c>
      <c r="J86" s="305">
        <v>845.91</v>
      </c>
      <c r="K86" s="305"/>
    </row>
    <row r="87" spans="4:11">
      <c r="D87" s="311">
        <v>43309</v>
      </c>
      <c r="E87" s="305">
        <v>1184.79</v>
      </c>
      <c r="F87" s="305">
        <v>1075.3499999999999</v>
      </c>
      <c r="G87" s="305">
        <v>1062.3399999999999</v>
      </c>
      <c r="H87" s="305">
        <v>965.27</v>
      </c>
      <c r="I87" s="305">
        <v>826.73</v>
      </c>
      <c r="J87" s="305">
        <v>861.22</v>
      </c>
      <c r="K87" s="305"/>
    </row>
    <row r="88" spans="4:11">
      <c r="D88" s="311">
        <v>43340</v>
      </c>
      <c r="E88" s="305">
        <v>1194</v>
      </c>
      <c r="F88" s="305">
        <v>1091.02</v>
      </c>
      <c r="G88" s="305">
        <v>1073.33</v>
      </c>
      <c r="H88" s="305">
        <v>951.33</v>
      </c>
      <c r="I88" s="305">
        <v>842.49</v>
      </c>
      <c r="J88" s="305">
        <v>897.02</v>
      </c>
      <c r="K88" s="305"/>
    </row>
    <row r="89" spans="4:11">
      <c r="D89" s="311">
        <v>43371</v>
      </c>
      <c r="E89" s="305">
        <v>1205.6199999999999</v>
      </c>
      <c r="F89" s="305">
        <v>1104.9100000000001</v>
      </c>
      <c r="G89" s="305">
        <v>1121.94</v>
      </c>
      <c r="H89" s="305">
        <v>1043.21</v>
      </c>
      <c r="I89" s="305">
        <v>920.6</v>
      </c>
      <c r="J89" s="305">
        <v>982.09</v>
      </c>
      <c r="K89" s="305"/>
    </row>
    <row r="90" spans="4:11">
      <c r="D90" s="311">
        <v>43401</v>
      </c>
      <c r="E90" s="305">
        <v>1220.6500000000001</v>
      </c>
      <c r="F90" s="305">
        <v>1124.27</v>
      </c>
      <c r="G90" s="305">
        <v>1132.95</v>
      </c>
      <c r="H90" s="305">
        <v>1051.27</v>
      </c>
      <c r="I90" s="305">
        <v>920.6</v>
      </c>
      <c r="J90" s="305">
        <v>989.84</v>
      </c>
      <c r="K90" s="305"/>
    </row>
    <row r="91" spans="4:11">
      <c r="D91" s="311">
        <v>43432</v>
      </c>
      <c r="E91" s="305">
        <v>1220.6500000000001</v>
      </c>
      <c r="F91" s="305">
        <v>1140.97</v>
      </c>
      <c r="G91" s="305">
        <v>1096.31</v>
      </c>
      <c r="H91" s="305">
        <v>1030.1199999999999</v>
      </c>
      <c r="I91" s="305">
        <v>946.13</v>
      </c>
      <c r="J91" s="305">
        <v>993.8</v>
      </c>
      <c r="K91" s="305"/>
    </row>
    <row r="92" spans="4:11">
      <c r="D92" s="311">
        <v>43462</v>
      </c>
      <c r="E92" s="305">
        <v>1220.6500000000001</v>
      </c>
      <c r="F92" s="305">
        <v>1142.96</v>
      </c>
      <c r="G92" s="305">
        <v>1085.81</v>
      </c>
      <c r="H92" s="305">
        <v>1034.69</v>
      </c>
      <c r="I92" s="305">
        <v>902.66</v>
      </c>
      <c r="J92" s="305">
        <v>983.19</v>
      </c>
      <c r="K92" s="305"/>
    </row>
    <row r="93" spans="4:11">
      <c r="D93" s="311">
        <v>43493</v>
      </c>
      <c r="E93" s="305">
        <v>1136.67</v>
      </c>
      <c r="F93" s="305">
        <v>1099.49</v>
      </c>
      <c r="G93" s="305">
        <v>1084.1199999999999</v>
      </c>
      <c r="H93" s="305">
        <v>1035.6300000000001</v>
      </c>
      <c r="I93" s="305">
        <v>941.26</v>
      </c>
      <c r="J93" s="305">
        <v>992.85</v>
      </c>
      <c r="K93" s="305">
        <v>1137.47</v>
      </c>
    </row>
    <row r="94" spans="4:11">
      <c r="D94" s="311">
        <v>43524</v>
      </c>
      <c r="E94" s="305">
        <v>1136.67</v>
      </c>
      <c r="F94" s="305">
        <v>1097.67</v>
      </c>
      <c r="G94" s="305">
        <v>1091.27</v>
      </c>
      <c r="H94" s="305">
        <v>1008.69</v>
      </c>
      <c r="I94" s="305">
        <v>929.66</v>
      </c>
      <c r="J94" s="305">
        <v>974.58</v>
      </c>
      <c r="K94" s="305">
        <v>1137.47</v>
      </c>
    </row>
    <row r="95" spans="4:11">
      <c r="D95" s="311">
        <v>43552</v>
      </c>
      <c r="E95" s="305">
        <v>1136.67</v>
      </c>
      <c r="F95" s="305">
        <v>1094.8699999999999</v>
      </c>
      <c r="G95" s="305">
        <v>1052.53</v>
      </c>
      <c r="H95" s="305">
        <v>1011.22</v>
      </c>
      <c r="I95" s="305">
        <v>891.94</v>
      </c>
      <c r="J95" s="305">
        <v>945.99</v>
      </c>
      <c r="K95" s="305">
        <v>1137.47</v>
      </c>
    </row>
    <row r="96" spans="4:11">
      <c r="D96" s="311">
        <v>43583</v>
      </c>
      <c r="E96" s="305">
        <v>1253.94</v>
      </c>
      <c r="F96" s="305">
        <v>1152.1099999999999</v>
      </c>
      <c r="G96" s="305">
        <v>1052.8599999999999</v>
      </c>
      <c r="H96" s="305">
        <v>1024.5899999999999</v>
      </c>
      <c r="I96" s="305">
        <v>880.2</v>
      </c>
      <c r="J96" s="305">
        <v>929.55</v>
      </c>
      <c r="K96" s="305">
        <v>1254</v>
      </c>
    </row>
    <row r="97" spans="4:11">
      <c r="D97" s="311">
        <v>43613</v>
      </c>
      <c r="E97" s="305">
        <v>1253.94</v>
      </c>
      <c r="F97" s="305">
        <v>1153.58</v>
      </c>
      <c r="G97" s="305">
        <v>1051.69</v>
      </c>
      <c r="H97" s="305">
        <v>943.25</v>
      </c>
      <c r="I97" s="305">
        <v>872.57</v>
      </c>
      <c r="J97" s="305">
        <v>922.45</v>
      </c>
      <c r="K97" s="305">
        <v>1254</v>
      </c>
    </row>
    <row r="98" spans="4:11">
      <c r="D98" s="311">
        <v>43644</v>
      </c>
      <c r="E98" s="305">
        <v>1253.94</v>
      </c>
      <c r="F98" s="305">
        <v>1148.8800000000001</v>
      </c>
      <c r="G98" s="305">
        <v>1023.84</v>
      </c>
      <c r="H98" s="305">
        <v>932.24</v>
      </c>
      <c r="I98" s="305">
        <v>872.57</v>
      </c>
      <c r="J98" s="305">
        <v>897.8</v>
      </c>
      <c r="K98" s="305">
        <v>1254</v>
      </c>
    </row>
    <row r="99" spans="4:11">
      <c r="D99" s="311">
        <v>43674</v>
      </c>
      <c r="E99" s="305">
        <v>1253.99</v>
      </c>
      <c r="F99" s="305">
        <v>1142.74</v>
      </c>
      <c r="G99" s="305">
        <v>1039.0899999999999</v>
      </c>
      <c r="H99" s="305">
        <v>989.24</v>
      </c>
      <c r="I99" s="305">
        <v>846.34</v>
      </c>
      <c r="J99" s="305">
        <v>890.44</v>
      </c>
      <c r="K99" s="305">
        <v>1254</v>
      </c>
    </row>
    <row r="100" spans="4:11">
      <c r="D100" s="311">
        <v>43705</v>
      </c>
      <c r="E100" s="305">
        <v>1253.99</v>
      </c>
      <c r="F100" s="305">
        <v>1144.2</v>
      </c>
      <c r="G100" s="305">
        <v>1046.1400000000001</v>
      </c>
      <c r="H100" s="305">
        <v>949.41</v>
      </c>
      <c r="I100" s="305">
        <v>846.34</v>
      </c>
      <c r="J100" s="305">
        <v>893.22</v>
      </c>
      <c r="K100" s="305">
        <v>1254</v>
      </c>
    </row>
    <row r="101" spans="4:11">
      <c r="D101" s="311">
        <v>43736</v>
      </c>
      <c r="E101" s="305">
        <v>1253.99</v>
      </c>
      <c r="F101" s="305">
        <v>1144.19</v>
      </c>
      <c r="G101" s="305">
        <v>1038.08</v>
      </c>
      <c r="H101" s="305">
        <v>931.39</v>
      </c>
      <c r="I101" s="305">
        <v>863.99</v>
      </c>
      <c r="J101" s="305">
        <v>903.75</v>
      </c>
      <c r="K101" s="305">
        <v>1254</v>
      </c>
    </row>
    <row r="102" spans="4:11">
      <c r="D102" s="311">
        <v>43766</v>
      </c>
      <c r="E102" s="305">
        <v>1177.79</v>
      </c>
      <c r="F102" s="305">
        <v>1099.8900000000001</v>
      </c>
      <c r="G102" s="305">
        <v>1023.27</v>
      </c>
      <c r="H102" s="305">
        <v>914.31</v>
      </c>
      <c r="I102" s="305">
        <v>863.99</v>
      </c>
      <c r="J102" s="305">
        <v>893.75</v>
      </c>
      <c r="K102" s="305">
        <v>1179</v>
      </c>
    </row>
    <row r="103" spans="4:11">
      <c r="D103" s="311">
        <v>43797</v>
      </c>
      <c r="E103" s="305">
        <v>1177.79</v>
      </c>
      <c r="F103" s="305">
        <v>1099.8</v>
      </c>
      <c r="G103" s="305">
        <v>984.82</v>
      </c>
      <c r="H103" s="305">
        <v>890.08</v>
      </c>
      <c r="I103" s="305">
        <v>846.04</v>
      </c>
      <c r="J103" s="305">
        <v>873.39</v>
      </c>
      <c r="K103" s="305">
        <v>1179</v>
      </c>
    </row>
    <row r="104" spans="4:11">
      <c r="D104" s="311">
        <v>43827</v>
      </c>
      <c r="E104" s="305">
        <v>1177.79</v>
      </c>
      <c r="F104" s="305">
        <v>1099.92</v>
      </c>
      <c r="G104" s="305">
        <v>983.5</v>
      </c>
      <c r="H104" s="305">
        <v>903.02</v>
      </c>
      <c r="I104" s="305">
        <v>828.77</v>
      </c>
      <c r="J104" s="305">
        <v>872.34</v>
      </c>
      <c r="K104" s="305">
        <v>1179</v>
      </c>
    </row>
    <row r="105" spans="4:11">
      <c r="D105" s="311">
        <v>43858</v>
      </c>
      <c r="E105" s="305">
        <v>1177.6300000000001</v>
      </c>
      <c r="F105" s="305">
        <v>1094</v>
      </c>
      <c r="G105" s="305">
        <v>943.74</v>
      </c>
      <c r="H105" s="305">
        <v>872.49</v>
      </c>
      <c r="I105" s="305">
        <v>813.7</v>
      </c>
      <c r="J105" s="305">
        <v>840.52</v>
      </c>
      <c r="K105" s="305">
        <v>1179</v>
      </c>
    </row>
    <row r="106" spans="4:11">
      <c r="D106" s="311">
        <v>43889</v>
      </c>
      <c r="E106" s="305">
        <v>1177.47</v>
      </c>
      <c r="F106" s="305">
        <v>1093.96</v>
      </c>
      <c r="G106" s="305">
        <v>930.02</v>
      </c>
      <c r="H106" s="305">
        <v>843.14</v>
      </c>
      <c r="I106" s="305">
        <v>784.38</v>
      </c>
      <c r="J106" s="305">
        <v>815.5</v>
      </c>
      <c r="K106" s="305">
        <v>1179</v>
      </c>
    </row>
    <row r="107" spans="4:11">
      <c r="D107" s="311">
        <v>43918</v>
      </c>
      <c r="E107" s="305">
        <v>1175.93</v>
      </c>
      <c r="F107" s="305">
        <v>1079.21</v>
      </c>
      <c r="G107" s="305">
        <v>902.26</v>
      </c>
      <c r="H107" s="305">
        <v>835.3</v>
      </c>
      <c r="I107" s="305">
        <v>781.99</v>
      </c>
      <c r="J107" s="305">
        <v>805.09</v>
      </c>
      <c r="K107" s="305">
        <v>1179</v>
      </c>
    </row>
    <row r="108" spans="4:11">
      <c r="D108" s="311">
        <v>43949</v>
      </c>
      <c r="E108" s="305">
        <v>1125.05</v>
      </c>
      <c r="F108" s="305">
        <v>1028.23</v>
      </c>
      <c r="G108" s="305">
        <v>925.51</v>
      </c>
      <c r="H108" s="305">
        <v>806.35</v>
      </c>
      <c r="I108" s="305">
        <v>757.96</v>
      </c>
      <c r="J108" s="305">
        <v>783.38</v>
      </c>
      <c r="K108" s="305">
        <v>1127</v>
      </c>
    </row>
    <row r="109" spans="4:11" ht="15" thickBot="1">
      <c r="D109" s="311">
        <v>43979</v>
      </c>
      <c r="E109" s="305">
        <v>1125.05</v>
      </c>
      <c r="F109" s="305">
        <v>1049.68</v>
      </c>
      <c r="G109" s="305">
        <v>895.54</v>
      </c>
      <c r="H109" s="305">
        <v>807.72</v>
      </c>
      <c r="I109" s="305">
        <v>764.1</v>
      </c>
      <c r="J109" s="305">
        <v>790.88</v>
      </c>
      <c r="K109" s="305">
        <v>1127</v>
      </c>
    </row>
    <row r="110" spans="4:11">
      <c r="D110" s="582">
        <v>44010</v>
      </c>
      <c r="E110" s="583">
        <v>1125.05</v>
      </c>
      <c r="F110" s="583">
        <v>1049.5999999999999</v>
      </c>
      <c r="G110" s="583">
        <v>910.83</v>
      </c>
      <c r="H110" s="583">
        <v>819.32</v>
      </c>
      <c r="I110" s="583">
        <v>787.5</v>
      </c>
      <c r="J110" s="583">
        <v>804.07</v>
      </c>
      <c r="K110" s="583">
        <v>1127</v>
      </c>
    </row>
    <row r="111" spans="4:11">
      <c r="D111" s="311">
        <v>44040</v>
      </c>
      <c r="E111" s="305">
        <v>1125.3499999999999</v>
      </c>
      <c r="F111" s="305">
        <v>1049.68</v>
      </c>
      <c r="G111" s="305">
        <v>922.05</v>
      </c>
      <c r="H111" s="305">
        <v>851.44</v>
      </c>
      <c r="I111" s="305">
        <v>787.5</v>
      </c>
      <c r="J111" s="305">
        <v>812.48</v>
      </c>
      <c r="K111" s="305">
        <v>1127</v>
      </c>
    </row>
    <row r="112" spans="4:11">
      <c r="D112" s="311">
        <v>44071</v>
      </c>
      <c r="E112" s="305">
        <v>1125.05</v>
      </c>
      <c r="F112" s="305">
        <v>1021.9</v>
      </c>
      <c r="G112" s="305">
        <v>954.21</v>
      </c>
      <c r="H112" s="305">
        <v>853.66</v>
      </c>
      <c r="I112" s="305">
        <v>787.5</v>
      </c>
      <c r="J112" s="305">
        <v>806.62</v>
      </c>
      <c r="K112" s="305">
        <v>1127</v>
      </c>
    </row>
    <row r="113" spans="4:11">
      <c r="D113" s="311">
        <v>44102</v>
      </c>
      <c r="E113" s="305">
        <v>1125.05</v>
      </c>
      <c r="F113" s="305">
        <v>1015.55</v>
      </c>
      <c r="G113" s="305">
        <v>964.94</v>
      </c>
      <c r="H113" s="305">
        <v>853.66</v>
      </c>
      <c r="I113" s="305">
        <v>797.64</v>
      </c>
      <c r="J113" s="305">
        <v>837.26</v>
      </c>
      <c r="K113" s="305">
        <v>1127</v>
      </c>
    </row>
    <row r="114" spans="4:11">
      <c r="D114" s="311">
        <v>44132</v>
      </c>
      <c r="E114" s="305">
        <v>1041.93</v>
      </c>
      <c r="F114" s="305">
        <v>995.49</v>
      </c>
      <c r="G114" s="305">
        <v>953.29</v>
      </c>
      <c r="H114" s="305">
        <v>853.66</v>
      </c>
      <c r="I114" s="305">
        <v>822.68</v>
      </c>
      <c r="J114" s="305">
        <v>854.39</v>
      </c>
      <c r="K114" s="305">
        <v>1042</v>
      </c>
    </row>
    <row r="115" spans="4:11">
      <c r="D115" s="311">
        <v>44163</v>
      </c>
      <c r="E115" s="305">
        <v>1042.01</v>
      </c>
      <c r="F115" s="305">
        <v>993.72</v>
      </c>
      <c r="G115" s="305">
        <v>940.67</v>
      </c>
      <c r="H115" s="305">
        <v>853.66</v>
      </c>
      <c r="I115" s="305">
        <v>821.39</v>
      </c>
      <c r="J115" s="305">
        <v>843.93</v>
      </c>
      <c r="K115" s="305">
        <v>1042</v>
      </c>
    </row>
    <row r="116" spans="4:11">
      <c r="D116" s="311">
        <v>44193</v>
      </c>
      <c r="E116" s="305">
        <v>1042.01</v>
      </c>
      <c r="F116" s="305">
        <v>998.24</v>
      </c>
      <c r="G116" s="305">
        <v>973.67</v>
      </c>
      <c r="H116" s="305">
        <v>911.53</v>
      </c>
      <c r="I116" s="305">
        <v>851.12</v>
      </c>
      <c r="J116" s="305">
        <v>885.31</v>
      </c>
      <c r="K116" s="305">
        <v>1042</v>
      </c>
    </row>
    <row r="117" spans="4:11">
      <c r="D117" s="311">
        <v>44224</v>
      </c>
      <c r="E117" s="305">
        <v>1041.98</v>
      </c>
      <c r="F117" s="305">
        <v>999.31</v>
      </c>
      <c r="G117" s="305">
        <v>1011.7</v>
      </c>
      <c r="H117" s="305">
        <v>950.16</v>
      </c>
      <c r="I117" s="305">
        <v>858.59</v>
      </c>
      <c r="J117" s="305">
        <v>935.56</v>
      </c>
      <c r="K117" s="305">
        <v>1042</v>
      </c>
    </row>
    <row r="118" spans="4:11">
      <c r="D118" s="311">
        <v>44255</v>
      </c>
      <c r="E118" s="305">
        <v>1041.9100000000001</v>
      </c>
      <c r="F118" s="305">
        <v>1004.74</v>
      </c>
      <c r="G118" s="305">
        <v>1023.32</v>
      </c>
      <c r="H118" s="305">
        <v>957.71</v>
      </c>
      <c r="I118" s="305">
        <v>858.59</v>
      </c>
      <c r="J118" s="305">
        <v>932.95</v>
      </c>
      <c r="K118" s="305">
        <v>1042</v>
      </c>
    </row>
    <row r="119" spans="4:11">
      <c r="D119" s="311">
        <v>44283</v>
      </c>
      <c r="E119" s="305">
        <v>1041.9100000000001</v>
      </c>
      <c r="F119" s="305">
        <v>994.79</v>
      </c>
      <c r="G119" s="305">
        <v>1040.2</v>
      </c>
      <c r="H119" s="305">
        <v>998.11</v>
      </c>
      <c r="I119" s="305">
        <v>858.59</v>
      </c>
      <c r="J119" s="305">
        <v>913.93</v>
      </c>
      <c r="K119" s="305">
        <v>1042</v>
      </c>
    </row>
    <row r="120" spans="4:11">
      <c r="D120" s="311">
        <v>44314</v>
      </c>
      <c r="E120" s="305">
        <v>1137.93</v>
      </c>
      <c r="F120" s="305">
        <v>1035.96</v>
      </c>
      <c r="G120" s="305">
        <v>1075.4100000000001</v>
      </c>
      <c r="H120" s="305">
        <v>998.11</v>
      </c>
      <c r="I120" s="305">
        <v>858.59</v>
      </c>
      <c r="J120" s="305">
        <v>920.82</v>
      </c>
      <c r="K120" s="305">
        <v>1138</v>
      </c>
    </row>
    <row r="121" spans="4:11">
      <c r="D121" s="311">
        <v>44344</v>
      </c>
      <c r="E121" s="305">
        <v>1137.92</v>
      </c>
      <c r="F121" s="305">
        <v>1055.18</v>
      </c>
      <c r="G121" s="305">
        <v>1125.1099999999999</v>
      </c>
      <c r="H121" s="305">
        <v>1075.28</v>
      </c>
      <c r="I121" s="305">
        <v>844.61</v>
      </c>
      <c r="J121" s="305">
        <v>943.97</v>
      </c>
      <c r="K121" s="305">
        <v>1138</v>
      </c>
    </row>
    <row r="122" spans="4:11">
      <c r="D122" s="311">
        <v>44375</v>
      </c>
      <c r="E122" s="305">
        <v>1137.92</v>
      </c>
      <c r="F122" s="305">
        <v>1078.33</v>
      </c>
      <c r="G122" s="305">
        <v>1147.29</v>
      </c>
      <c r="H122" s="305">
        <v>1091.6400000000001</v>
      </c>
      <c r="I122" s="305">
        <v>844.61</v>
      </c>
      <c r="J122" s="305">
        <v>968.44</v>
      </c>
      <c r="K122" s="305">
        <v>1138</v>
      </c>
    </row>
    <row r="123" spans="4:11">
      <c r="D123" s="311">
        <v>44405</v>
      </c>
      <c r="E123" s="305">
        <v>1137.92</v>
      </c>
      <c r="F123" s="305">
        <v>1095.77</v>
      </c>
      <c r="G123" s="305">
        <v>1214.05</v>
      </c>
      <c r="H123" s="305">
        <v>1091.6400000000001</v>
      </c>
      <c r="I123" s="305">
        <v>858.59</v>
      </c>
      <c r="J123" s="305">
        <v>1015.26</v>
      </c>
      <c r="K123" s="305">
        <v>1138</v>
      </c>
    </row>
    <row r="124" spans="4:11">
      <c r="D124" s="311">
        <v>44436</v>
      </c>
      <c r="E124" s="305">
        <v>1137.93</v>
      </c>
      <c r="F124" s="305">
        <v>1117.01</v>
      </c>
      <c r="G124" s="305">
        <v>1275.53</v>
      </c>
      <c r="H124" s="305">
        <v>1091.6400000000001</v>
      </c>
      <c r="I124" s="305">
        <v>1032.21</v>
      </c>
      <c r="J124" s="305">
        <v>1084.1300000000001</v>
      </c>
      <c r="K124" s="305">
        <v>1138</v>
      </c>
    </row>
    <row r="125" spans="4:11">
      <c r="D125" s="311">
        <v>44467</v>
      </c>
      <c r="E125" s="305">
        <v>1137.76</v>
      </c>
      <c r="F125" s="305">
        <v>1118.4100000000001</v>
      </c>
      <c r="G125" s="305">
        <v>1625.88</v>
      </c>
      <c r="H125" s="305">
        <v>1135.69</v>
      </c>
      <c r="I125" s="305">
        <v>1078.08</v>
      </c>
      <c r="J125" s="305">
        <v>1106.17</v>
      </c>
      <c r="K125" s="305">
        <v>1138</v>
      </c>
    </row>
    <row r="126" spans="4:11">
      <c r="D126" s="311">
        <v>44497</v>
      </c>
      <c r="E126" s="305">
        <v>1277.05</v>
      </c>
      <c r="F126" s="305">
        <v>1273.4000000000001</v>
      </c>
      <c r="G126" s="305">
        <v>2096.4699999999998</v>
      </c>
      <c r="H126" s="305">
        <v>1276.49</v>
      </c>
      <c r="I126" s="305">
        <v>1213.48</v>
      </c>
      <c r="J126" s="305">
        <v>1267.1199999999999</v>
      </c>
      <c r="K126" s="305">
        <v>1277</v>
      </c>
    </row>
    <row r="127" spans="4:11">
      <c r="D127" s="311">
        <v>44528</v>
      </c>
      <c r="E127" s="305">
        <v>1277.1600000000001</v>
      </c>
      <c r="F127" s="305">
        <v>1275.5899999999999</v>
      </c>
      <c r="G127" s="305">
        <v>1916.76</v>
      </c>
      <c r="H127" s="305">
        <v>1276.49</v>
      </c>
      <c r="I127" s="305">
        <v>1213.48</v>
      </c>
      <c r="J127" s="305">
        <v>1267.9100000000001</v>
      </c>
      <c r="K127" s="305">
        <v>1277</v>
      </c>
    </row>
    <row r="128" spans="4:11">
      <c r="D128" s="311">
        <v>44558</v>
      </c>
      <c r="E128" s="305">
        <v>1277.1600000000001</v>
      </c>
      <c r="F128" s="305">
        <v>1274.55</v>
      </c>
      <c r="G128" s="305">
        <v>2373.81</v>
      </c>
      <c r="H128" s="305">
        <v>1276.49</v>
      </c>
      <c r="I128" s="305">
        <v>1213.48</v>
      </c>
      <c r="J128" s="305">
        <v>1267.78</v>
      </c>
      <c r="K128" s="305">
        <v>1277</v>
      </c>
    </row>
    <row r="129" spans="4:11">
      <c r="D129" s="311">
        <v>44589</v>
      </c>
      <c r="E129" s="305">
        <v>1277.1600000000001</v>
      </c>
      <c r="F129" s="305">
        <v>1274.19</v>
      </c>
      <c r="G129" s="305">
        <v>2445.41</v>
      </c>
      <c r="H129" s="305">
        <v>1276.49</v>
      </c>
      <c r="I129" s="305">
        <v>1213.48</v>
      </c>
      <c r="J129" s="305">
        <v>1267.81</v>
      </c>
      <c r="K129" s="305">
        <v>1277</v>
      </c>
    </row>
    <row r="130" spans="4:11">
      <c r="D130" s="311">
        <v>44620</v>
      </c>
      <c r="E130" s="305">
        <v>1277.1600000000001</v>
      </c>
      <c r="F130" s="305">
        <v>1274.19</v>
      </c>
      <c r="G130" s="305">
        <v>2717.01</v>
      </c>
      <c r="H130" s="305">
        <v>1276.49</v>
      </c>
      <c r="I130" s="305">
        <v>1213.48</v>
      </c>
      <c r="J130" s="305">
        <v>1267.97</v>
      </c>
      <c r="K130" s="305">
        <v>1277</v>
      </c>
    </row>
    <row r="131" spans="4:11">
      <c r="D131" s="311">
        <v>44648</v>
      </c>
      <c r="E131" s="305">
        <v>1277.1600000000001</v>
      </c>
      <c r="F131" s="305">
        <v>1273.79</v>
      </c>
      <c r="G131" s="305">
        <v>3350.83</v>
      </c>
      <c r="H131" s="305">
        <v>1276.49</v>
      </c>
      <c r="I131" s="305">
        <v>1213.48</v>
      </c>
      <c r="J131" s="305">
        <v>1267.97</v>
      </c>
      <c r="K131" s="305">
        <v>1277</v>
      </c>
    </row>
    <row r="132" spans="4:11">
      <c r="D132" s="311">
        <v>44679</v>
      </c>
      <c r="E132" s="305">
        <v>1970.36</v>
      </c>
      <c r="F132" s="305">
        <v>1967.9</v>
      </c>
      <c r="G132" s="305">
        <v>3025.87</v>
      </c>
      <c r="H132" s="305">
        <v>1969.71</v>
      </c>
      <c r="I132" s="305">
        <v>1872.01</v>
      </c>
      <c r="J132" s="305">
        <v>1959.49</v>
      </c>
      <c r="K132" s="305">
        <v>1971</v>
      </c>
    </row>
    <row r="133" spans="4:11">
      <c r="D133" s="311">
        <v>44709</v>
      </c>
      <c r="E133" s="305">
        <v>1970.36</v>
      </c>
      <c r="F133" s="305">
        <v>1967.9</v>
      </c>
      <c r="G133" s="305">
        <v>3038.14</v>
      </c>
      <c r="H133" s="305">
        <v>1969.71</v>
      </c>
      <c r="I133" s="305">
        <v>1872.01</v>
      </c>
      <c r="J133" s="305">
        <v>1959.49</v>
      </c>
      <c r="K133" s="305">
        <v>1971</v>
      </c>
    </row>
    <row r="134" spans="4:11">
      <c r="D134" s="311">
        <v>44740</v>
      </c>
      <c r="E134" s="305">
        <v>1970.36</v>
      </c>
      <c r="F134" s="305">
        <v>1968.4</v>
      </c>
      <c r="G134" s="305">
        <v>3062.02</v>
      </c>
      <c r="H134" s="305">
        <v>1969.71</v>
      </c>
      <c r="I134" s="305">
        <v>1872.01</v>
      </c>
      <c r="J134" s="305">
        <v>1959.59</v>
      </c>
      <c r="K134" s="305">
        <v>1971</v>
      </c>
    </row>
    <row r="135" spans="4:11">
      <c r="D135" s="311">
        <v>44770</v>
      </c>
      <c r="E135" s="305">
        <v>1970.36</v>
      </c>
      <c r="F135" s="305">
        <v>1968.36</v>
      </c>
      <c r="G135" s="305">
        <v>3850.65</v>
      </c>
      <c r="H135" s="305">
        <v>1969.71</v>
      </c>
      <c r="I135" s="305">
        <v>1872.01</v>
      </c>
      <c r="J135" s="305">
        <v>1959.65</v>
      </c>
      <c r="K135" s="305">
        <v>1971</v>
      </c>
    </row>
    <row r="136" spans="4:11">
      <c r="D136" s="311">
        <v>44801</v>
      </c>
      <c r="E136" s="305">
        <v>1970.36</v>
      </c>
      <c r="F136" s="305">
        <v>1968.36</v>
      </c>
      <c r="G136" s="305">
        <v>4453.53</v>
      </c>
      <c r="H136" s="305">
        <v>1969.71</v>
      </c>
      <c r="I136" s="305">
        <v>1872.01</v>
      </c>
      <c r="J136" s="305">
        <v>1959.65</v>
      </c>
      <c r="K136" s="305">
        <v>1971</v>
      </c>
    </row>
    <row r="137" spans="4:11">
      <c r="D137" s="313">
        <v>44832</v>
      </c>
      <c r="E137" s="305"/>
      <c r="F137" s="305"/>
      <c r="G137" s="305"/>
      <c r="H137" s="305"/>
      <c r="I137" s="305"/>
      <c r="J137" s="305"/>
      <c r="K137" s="312">
        <f>K136</f>
        <v>1971</v>
      </c>
    </row>
    <row r="138" spans="4:11">
      <c r="D138" s="313">
        <v>44862</v>
      </c>
      <c r="E138" s="305"/>
      <c r="F138" s="305"/>
      <c r="G138" s="305"/>
      <c r="H138" s="305"/>
      <c r="I138" s="305"/>
      <c r="J138" s="305"/>
      <c r="K138" s="684">
        <f>'Price cap Scalar'!$C$11</f>
        <v>2500</v>
      </c>
    </row>
    <row r="139" spans="4:11">
      <c r="D139" s="313">
        <v>44893</v>
      </c>
      <c r="E139" s="305"/>
      <c r="F139" s="305"/>
      <c r="G139" s="305"/>
      <c r="H139" s="305"/>
      <c r="I139" s="305"/>
      <c r="J139" s="305"/>
      <c r="K139" s="684">
        <f>'Price cap Scalar'!$C$11</f>
        <v>2500</v>
      </c>
    </row>
    <row r="140" spans="4:11" ht="15" thickBot="1">
      <c r="D140" s="584">
        <v>44923</v>
      </c>
      <c r="E140" s="585"/>
      <c r="F140" s="585"/>
      <c r="G140" s="585"/>
      <c r="H140" s="585"/>
      <c r="I140" s="585"/>
      <c r="J140" s="585"/>
      <c r="K140" s="586">
        <f>'Price cap Scalar'!$C$11</f>
        <v>2500</v>
      </c>
    </row>
    <row r="141" spans="4:11" ht="28.2" thickBot="1">
      <c r="D141" s="311"/>
      <c r="E141" s="305"/>
      <c r="F141" s="305"/>
      <c r="G141" s="305"/>
      <c r="H141" s="305"/>
      <c r="I141" s="305"/>
      <c r="J141" s="683" t="s">
        <v>768</v>
      </c>
      <c r="K141" s="473">
        <f>AVERAGE(K129:K140)</f>
        <v>1929.75</v>
      </c>
    </row>
    <row r="142" spans="4:11"/>
    <row r="143" spans="4:11"/>
    <row r="144" spans="4:11" ht="15" thickBot="1"/>
    <row r="145" spans="3:14">
      <c r="D145" s="587" t="s">
        <v>769</v>
      </c>
      <c r="E145" s="588">
        <f t="shared" ref="E145:K145" si="0">AVERAGE(E110:E125)</f>
        <v>1098.7268749999998</v>
      </c>
      <c r="F145" s="588">
        <f t="shared" si="0"/>
        <v>1038.98</v>
      </c>
      <c r="G145" s="588">
        <f t="shared" si="0"/>
        <v>1072.3843750000001</v>
      </c>
      <c r="H145" s="588">
        <f t="shared" si="0"/>
        <v>961.68187499999999</v>
      </c>
      <c r="I145" s="588">
        <f t="shared" si="0"/>
        <v>859.23687500000017</v>
      </c>
      <c r="J145" s="588">
        <f t="shared" si="0"/>
        <v>916.58062499999994</v>
      </c>
      <c r="K145" s="588">
        <f t="shared" si="0"/>
        <v>1099.25</v>
      </c>
    </row>
    <row r="146" spans="3:14" ht="15" thickBot="1">
      <c r="D146" s="589" t="s">
        <v>770</v>
      </c>
      <c r="E146" s="590">
        <f>E156*E159</f>
        <v>0.2969226684541163</v>
      </c>
      <c r="F146" s="595">
        <v>5.6000000000000001E-2</v>
      </c>
      <c r="G146" s="591">
        <f>1-E146-F146</f>
        <v>0.64707733154588365</v>
      </c>
      <c r="H146" s="473"/>
      <c r="I146" s="473"/>
      <c r="J146" s="473"/>
      <c r="K146" s="473"/>
    </row>
    <row r="147" spans="3:14">
      <c r="F147" s="310"/>
    </row>
    <row r="148" spans="3:14" ht="15" thickBot="1">
      <c r="F148" s="310"/>
    </row>
    <row r="149" spans="3:14" ht="15" thickBot="1">
      <c r="F149" s="596" t="s">
        <v>771</v>
      </c>
      <c r="G149" s="597">
        <f>SUMPRODUCT(E145:G145,E146:G146)</f>
        <v>1078.3354153937526</v>
      </c>
    </row>
    <row r="150" spans="3:14">
      <c r="F150" s="310"/>
    </row>
    <row r="151" spans="3:14">
      <c r="F151" s="310"/>
    </row>
    <row r="152" spans="3:14">
      <c r="C152" s="456" t="s">
        <v>772</v>
      </c>
      <c r="D152" s="457"/>
      <c r="E152" s="457"/>
      <c r="F152" s="594"/>
      <c r="G152" s="457"/>
      <c r="H152" s="457"/>
      <c r="I152" s="457"/>
      <c r="J152" s="457"/>
      <c r="K152" s="457"/>
      <c r="L152" s="477"/>
      <c r="M152" s="477"/>
      <c r="N152" s="477"/>
    </row>
    <row r="153" spans="3:14">
      <c r="C153" t="s">
        <v>773</v>
      </c>
      <c r="F153" s="310"/>
    </row>
    <row r="154" spans="3:14">
      <c r="C154" s="309"/>
      <c r="E154" s="592" t="s">
        <v>348</v>
      </c>
      <c r="F154" s="592"/>
      <c r="G154" s="592" t="s">
        <v>349</v>
      </c>
    </row>
    <row r="155" spans="3:14">
      <c r="D155" s="841" t="s">
        <v>774</v>
      </c>
      <c r="E155" s="842">
        <v>6429908</v>
      </c>
      <c r="F155" s="842"/>
      <c r="G155" s="842">
        <v>5588706</v>
      </c>
    </row>
    <row r="156" spans="3:14" ht="15" thickBot="1">
      <c r="D156" s="593" t="s">
        <v>775</v>
      </c>
      <c r="E156" s="590">
        <f>E155/(E155+G155)</f>
        <v>0.53499579901642569</v>
      </c>
      <c r="F156" s="473"/>
      <c r="G156" s="590">
        <f>1-E156</f>
        <v>0.46500420098357431</v>
      </c>
    </row>
    <row r="157" spans="3:14"/>
    <row r="158" spans="3:14">
      <c r="C158" s="456" t="s">
        <v>776</v>
      </c>
      <c r="D158" s="457"/>
      <c r="E158" s="457"/>
      <c r="F158" s="457"/>
      <c r="G158" s="457"/>
      <c r="H158" s="457"/>
      <c r="I158" s="457"/>
      <c r="J158" s="457"/>
      <c r="K158" s="457"/>
    </row>
    <row r="159" spans="3:14">
      <c r="D159" t="s">
        <v>777</v>
      </c>
      <c r="E159" s="307">
        <v>0.55500000000000005</v>
      </c>
    </row>
    <row r="160" spans="3:14"/>
    <row r="161" spans="2:24"/>
    <row r="162" spans="2:24"/>
    <row r="163" spans="2:24">
      <c r="B163" s="14" t="s">
        <v>362</v>
      </c>
      <c r="C163" s="15"/>
      <c r="D163" s="15"/>
      <c r="E163" s="15"/>
      <c r="F163" s="16"/>
      <c r="G163" s="14"/>
      <c r="H163" s="15"/>
      <c r="I163" s="15"/>
      <c r="J163" s="15"/>
      <c r="K163" s="16"/>
      <c r="L163" s="14"/>
      <c r="M163" s="15"/>
      <c r="N163" s="15"/>
      <c r="O163" s="15"/>
      <c r="P163" s="15"/>
      <c r="Q163" s="15"/>
      <c r="R163" s="15"/>
      <c r="S163" s="15"/>
      <c r="T163" s="15"/>
      <c r="U163" s="15"/>
      <c r="V163" s="15"/>
      <c r="W163" s="15"/>
      <c r="X163" s="15"/>
    </row>
    <row r="164" spans="2:24"/>
    <row r="165" spans="2:24"/>
    <row r="166" spans="2:24"/>
    <row r="167" spans="2:24"/>
  </sheetData>
  <mergeCells count="1">
    <mergeCell ref="D6:K6"/>
  </mergeCells>
  <hyperlinks>
    <hyperlink ref="E4" r:id="rId1" display="https://www.ofgem.gov.uk/energy-data-and-research/data-portal/retail-market-indicators" xr:uid="{DC8BD4FD-7FA4-4E90-98DB-A59548B9CC11}"/>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0B0E6-7665-43EE-B6B5-1A17F4C36F94}">
  <sheetPr>
    <tabColor theme="8" tint="0.79998168889431442"/>
    <pageSetUpPr autoPageBreaks="0"/>
  </sheetPr>
  <dimension ref="A1:AN54"/>
  <sheetViews>
    <sheetView showGridLines="0" zoomScale="66" zoomScaleNormal="100" workbookViewId="0"/>
  </sheetViews>
  <sheetFormatPr defaultColWidth="0" defaultRowHeight="14.4" zeroHeight="1"/>
  <cols>
    <col min="1" max="1" width="11.88671875" customWidth="1"/>
    <col min="2" max="2" width="34.109375" customWidth="1"/>
    <col min="3" max="3" width="20.44140625" bestFit="1" customWidth="1"/>
    <col min="4" max="4" width="9.88671875" customWidth="1"/>
    <col min="5" max="7" width="20.6640625" customWidth="1"/>
    <col min="8" max="33" width="12.33203125" customWidth="1"/>
    <col min="34" max="34" width="16.109375" bestFit="1" customWidth="1"/>
    <col min="35" max="35" width="15.88671875" bestFit="1" customWidth="1"/>
    <col min="36" max="36" width="14.109375" customWidth="1"/>
    <col min="37" max="38" width="10.44140625" customWidth="1"/>
    <col min="39" max="40" width="8.6640625" customWidth="1"/>
    <col min="41" max="16384" width="8.6640625" hidden="1"/>
  </cols>
  <sheetData>
    <row r="1" spans="1:39" ht="18">
      <c r="A1" s="59" t="s">
        <v>778</v>
      </c>
    </row>
    <row r="2" spans="1:39" ht="18">
      <c r="A2" s="59"/>
    </row>
    <row r="3" spans="1:39" ht="18">
      <c r="A3" s="59"/>
      <c r="B3" s="28" t="s">
        <v>779</v>
      </c>
      <c r="C3" s="25"/>
      <c r="D3" s="25"/>
      <c r="E3" s="25"/>
      <c r="F3" s="25"/>
      <c r="G3" s="25"/>
      <c r="H3" s="25"/>
      <c r="I3" s="25"/>
      <c r="J3" s="25"/>
      <c r="K3" s="25"/>
      <c r="L3" s="25"/>
      <c r="M3" s="25"/>
      <c r="N3" s="25"/>
      <c r="O3" s="25"/>
      <c r="P3" s="25"/>
      <c r="Q3" s="25"/>
      <c r="R3" s="25"/>
      <c r="S3" s="25"/>
      <c r="T3" s="25"/>
      <c r="U3" s="25"/>
      <c r="V3" s="25"/>
      <c r="W3" s="25"/>
      <c r="X3" s="25"/>
      <c r="Y3" s="25"/>
    </row>
    <row r="4" spans="1:39" ht="18">
      <c r="A4" s="59"/>
      <c r="B4" s="698" t="s">
        <v>2</v>
      </c>
    </row>
    <row r="5" spans="1:39" ht="18">
      <c r="A5" s="59"/>
      <c r="B5" s="698" t="s">
        <v>3</v>
      </c>
    </row>
    <row r="6" spans="1:39" ht="18">
      <c r="A6" s="59"/>
      <c r="B6" s="698"/>
    </row>
    <row r="7" spans="1:39">
      <c r="B7" s="28" t="s">
        <v>566</v>
      </c>
      <c r="C7" s="25"/>
      <c r="D7" s="25"/>
      <c r="E7" s="25"/>
      <c r="F7" s="25"/>
      <c r="G7" s="25"/>
      <c r="H7" s="25"/>
      <c r="I7" s="25"/>
      <c r="J7" s="25"/>
      <c r="K7" s="25"/>
      <c r="L7" s="25"/>
      <c r="M7" s="25"/>
      <c r="N7" s="25"/>
      <c r="O7" s="25"/>
      <c r="P7" s="25"/>
      <c r="Q7" s="25"/>
      <c r="R7" s="25"/>
      <c r="S7" s="25"/>
      <c r="T7" s="25"/>
      <c r="U7" s="25"/>
      <c r="V7" s="25"/>
      <c r="W7" s="25"/>
      <c r="X7" s="25"/>
      <c r="Y7" s="25"/>
    </row>
    <row r="8" spans="1:39" ht="15" thickBot="1">
      <c r="B8" s="10"/>
      <c r="C8" s="10"/>
      <c r="D8" s="10"/>
      <c r="E8" s="10"/>
      <c r="F8" s="10"/>
      <c r="G8" s="10"/>
      <c r="H8" s="10"/>
      <c r="I8" s="10"/>
      <c r="J8" s="10"/>
      <c r="K8" s="10"/>
      <c r="L8" s="10"/>
      <c r="M8" s="10"/>
      <c r="N8" s="10"/>
      <c r="O8" s="10"/>
      <c r="P8" s="10"/>
      <c r="Q8" s="10"/>
      <c r="R8" s="10"/>
      <c r="S8" s="10"/>
      <c r="T8" s="10"/>
      <c r="U8" s="10"/>
      <c r="V8" s="10"/>
      <c r="W8" s="10"/>
      <c r="X8" s="10"/>
      <c r="Y8" s="10"/>
    </row>
    <row r="9" spans="1:39" ht="14.4" customHeight="1">
      <c r="B9" s="705" t="s">
        <v>780</v>
      </c>
      <c r="C9" s="699"/>
      <c r="D9" s="699"/>
      <c r="E9" s="699"/>
      <c r="F9" s="699"/>
      <c r="G9" s="699"/>
      <c r="H9" s="699"/>
      <c r="I9" s="699"/>
      <c r="J9" s="699"/>
      <c r="K9" s="699"/>
      <c r="L9" s="699"/>
      <c r="M9" s="699"/>
      <c r="N9" s="699"/>
      <c r="O9" s="699"/>
      <c r="P9" s="699"/>
      <c r="Q9" s="699"/>
      <c r="R9" s="699"/>
      <c r="S9" s="699"/>
      <c r="T9" s="699"/>
      <c r="U9" s="699"/>
      <c r="V9" s="699"/>
      <c r="W9" s="699"/>
      <c r="X9" s="699"/>
      <c r="Y9" s="700"/>
    </row>
    <row r="10" spans="1:39" ht="14.4" customHeight="1">
      <c r="B10" s="754" t="s">
        <v>781</v>
      </c>
      <c r="C10" s="701"/>
      <c r="D10" s="701"/>
      <c r="E10" s="701"/>
      <c r="F10" s="701"/>
      <c r="G10" s="701"/>
      <c r="H10" s="701"/>
      <c r="I10" s="701"/>
      <c r="J10" s="701"/>
      <c r="K10" s="701"/>
      <c r="L10" s="701"/>
      <c r="M10" s="701"/>
      <c r="N10" s="701"/>
      <c r="O10" s="701"/>
      <c r="P10" s="701"/>
      <c r="Q10" s="701"/>
      <c r="R10" s="701"/>
      <c r="S10" s="701"/>
      <c r="T10" s="701"/>
      <c r="U10" s="701"/>
      <c r="V10" s="701"/>
      <c r="W10" s="701"/>
      <c r="X10" s="701"/>
      <c r="Y10" s="702"/>
    </row>
    <row r="11" spans="1:39">
      <c r="B11" s="754" t="s">
        <v>782</v>
      </c>
      <c r="C11" s="701"/>
      <c r="D11" s="701"/>
      <c r="E11" s="701"/>
      <c r="F11" s="701"/>
      <c r="G11" s="701"/>
      <c r="H11" s="701"/>
      <c r="I11" s="701"/>
      <c r="J11" s="701"/>
      <c r="K11" s="701"/>
      <c r="L11" s="701"/>
      <c r="M11" s="701"/>
      <c r="N11" s="701"/>
      <c r="O11" s="701"/>
      <c r="P11" s="701"/>
      <c r="Q11" s="701"/>
      <c r="R11" s="701"/>
      <c r="S11" s="701"/>
      <c r="T11" s="701"/>
      <c r="U11" s="701"/>
      <c r="V11" s="701"/>
      <c r="W11" s="701"/>
      <c r="X11" s="701"/>
      <c r="Y11" s="702"/>
    </row>
    <row r="12" spans="1:39" ht="15" thickBot="1">
      <c r="B12" s="706" t="s">
        <v>783</v>
      </c>
      <c r="C12" s="703"/>
      <c r="D12" s="703"/>
      <c r="E12" s="703"/>
      <c r="F12" s="703"/>
      <c r="G12" s="703"/>
      <c r="H12" s="703"/>
      <c r="I12" s="703"/>
      <c r="J12" s="703"/>
      <c r="K12" s="703"/>
      <c r="L12" s="703"/>
      <c r="M12" s="703"/>
      <c r="N12" s="703"/>
      <c r="O12" s="703"/>
      <c r="P12" s="703"/>
      <c r="Q12" s="703"/>
      <c r="R12" s="703"/>
      <c r="S12" s="703"/>
      <c r="T12" s="703"/>
      <c r="U12" s="703"/>
      <c r="V12" s="703"/>
      <c r="W12" s="703"/>
      <c r="X12" s="703"/>
      <c r="Y12" s="704"/>
    </row>
    <row r="13" spans="1:39" ht="18.600000000000001" customHeight="1">
      <c r="A13" s="59"/>
    </row>
    <row r="14" spans="1:39">
      <c r="B14" s="731" t="s">
        <v>784</v>
      </c>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row>
    <row r="15" spans="1:39">
      <c r="B15" s="308" t="s">
        <v>785</v>
      </c>
      <c r="C15" s="314" t="s">
        <v>786</v>
      </c>
    </row>
    <row r="16" spans="1:39"/>
    <row r="17" spans="1:40"/>
    <row r="18" spans="1:40"/>
    <row r="19" spans="1:40">
      <c r="C19" s="304" t="s">
        <v>787</v>
      </c>
      <c r="F19" s="302"/>
      <c r="G19" s="708" t="s">
        <v>788</v>
      </c>
      <c r="H19" s="708" t="s">
        <v>789</v>
      </c>
      <c r="I19" s="708" t="s">
        <v>790</v>
      </c>
      <c r="J19" s="708" t="s">
        <v>791</v>
      </c>
      <c r="K19" s="708" t="s">
        <v>792</v>
      </c>
      <c r="L19" s="708" t="s">
        <v>793</v>
      </c>
      <c r="M19" s="708" t="s">
        <v>794</v>
      </c>
      <c r="N19" s="708" t="s">
        <v>795</v>
      </c>
      <c r="O19" s="708" t="s">
        <v>796</v>
      </c>
      <c r="P19" s="708" t="s">
        <v>797</v>
      </c>
      <c r="Q19" s="708" t="s">
        <v>798</v>
      </c>
      <c r="R19" s="708" t="s">
        <v>799</v>
      </c>
      <c r="S19" s="708" t="s">
        <v>800</v>
      </c>
      <c r="T19" s="708" t="s">
        <v>801</v>
      </c>
      <c r="U19" s="708" t="s">
        <v>802</v>
      </c>
      <c r="V19" s="708" t="s">
        <v>803</v>
      </c>
      <c r="W19" s="708" t="s">
        <v>804</v>
      </c>
      <c r="X19" s="708" t="s">
        <v>805</v>
      </c>
      <c r="Y19" s="708" t="s">
        <v>806</v>
      </c>
      <c r="Z19" s="708" t="s">
        <v>807</v>
      </c>
      <c r="AA19" s="708" t="s">
        <v>808</v>
      </c>
      <c r="AB19" s="708" t="s">
        <v>809</v>
      </c>
      <c r="AC19" s="708" t="s">
        <v>810</v>
      </c>
      <c r="AD19" s="708" t="s">
        <v>811</v>
      </c>
      <c r="AE19" s="708" t="s">
        <v>812</v>
      </c>
      <c r="AF19" s="303"/>
      <c r="AG19" s="303"/>
    </row>
    <row r="20" spans="1:40">
      <c r="C20" s="304" t="s">
        <v>813</v>
      </c>
      <c r="F20" s="302"/>
      <c r="G20" s="708">
        <v>2022</v>
      </c>
      <c r="H20" s="708">
        <v>2023</v>
      </c>
      <c r="I20" s="708">
        <v>2023</v>
      </c>
      <c r="J20" s="708">
        <v>2023</v>
      </c>
      <c r="K20" s="708">
        <v>2023</v>
      </c>
      <c r="L20" s="708">
        <v>2024</v>
      </c>
      <c r="M20" s="708">
        <v>2024</v>
      </c>
      <c r="N20" s="708">
        <v>2024</v>
      </c>
      <c r="O20" s="708">
        <v>2024</v>
      </c>
      <c r="P20" s="708">
        <v>2025</v>
      </c>
      <c r="Q20" s="708">
        <v>2025</v>
      </c>
      <c r="R20" s="708">
        <v>2025</v>
      </c>
      <c r="S20" s="708">
        <v>2025</v>
      </c>
      <c r="T20" s="708">
        <v>2026</v>
      </c>
      <c r="U20" s="708">
        <v>2026</v>
      </c>
      <c r="V20" s="708">
        <v>2026</v>
      </c>
      <c r="W20" s="708">
        <v>2026</v>
      </c>
      <c r="X20" s="708">
        <v>2027</v>
      </c>
      <c r="Y20" s="708">
        <v>2027</v>
      </c>
      <c r="Z20" s="708">
        <v>2027</v>
      </c>
      <c r="AA20" s="708">
        <v>2027</v>
      </c>
      <c r="AB20" s="708">
        <v>2028</v>
      </c>
      <c r="AC20" s="708">
        <v>2028</v>
      </c>
      <c r="AD20" s="708">
        <v>2028</v>
      </c>
      <c r="AE20" s="708">
        <v>2028</v>
      </c>
      <c r="AF20" s="303"/>
      <c r="AG20" s="303"/>
    </row>
    <row r="21" spans="1:40" ht="15" thickBot="1">
      <c r="C21" s="304" t="s">
        <v>814</v>
      </c>
      <c r="F21" s="302"/>
      <c r="G21" s="708" t="s">
        <v>815</v>
      </c>
      <c r="H21" s="708" t="s">
        <v>816</v>
      </c>
      <c r="I21" s="708" t="s">
        <v>817</v>
      </c>
      <c r="J21" s="708" t="s">
        <v>818</v>
      </c>
      <c r="K21" s="708" t="s">
        <v>819</v>
      </c>
      <c r="L21" s="708" t="s">
        <v>820</v>
      </c>
      <c r="M21" s="708" t="s">
        <v>821</v>
      </c>
      <c r="N21" s="708" t="s">
        <v>822</v>
      </c>
      <c r="O21" s="708" t="s">
        <v>823</v>
      </c>
      <c r="P21" s="708" t="s">
        <v>824</v>
      </c>
      <c r="Q21" s="708" t="s">
        <v>825</v>
      </c>
      <c r="R21" s="708" t="s">
        <v>826</v>
      </c>
      <c r="S21" s="708" t="s">
        <v>827</v>
      </c>
      <c r="T21" s="708" t="s">
        <v>828</v>
      </c>
      <c r="U21" s="708" t="s">
        <v>829</v>
      </c>
      <c r="V21" s="708" t="s">
        <v>830</v>
      </c>
      <c r="W21" s="708" t="s">
        <v>831</v>
      </c>
      <c r="X21" s="708" t="s">
        <v>832</v>
      </c>
      <c r="Y21" s="708" t="s">
        <v>833</v>
      </c>
      <c r="Z21" s="708" t="s">
        <v>834</v>
      </c>
      <c r="AA21" s="708" t="s">
        <v>835</v>
      </c>
      <c r="AB21" s="708" t="s">
        <v>836</v>
      </c>
      <c r="AC21" s="708" t="s">
        <v>837</v>
      </c>
      <c r="AD21" s="708" t="s">
        <v>838</v>
      </c>
      <c r="AE21" s="708" t="s">
        <v>839</v>
      </c>
      <c r="AF21" s="303"/>
      <c r="AG21" s="304" t="s">
        <v>813</v>
      </c>
      <c r="AH21" s="726">
        <v>2023</v>
      </c>
      <c r="AI21" s="726">
        <v>2024</v>
      </c>
      <c r="AJ21" s="726">
        <v>2025</v>
      </c>
      <c r="AK21" s="726">
        <v>2026</v>
      </c>
      <c r="AL21" s="726">
        <v>2027</v>
      </c>
      <c r="AM21" s="726">
        <v>2028</v>
      </c>
    </row>
    <row r="22" spans="1:40" s="469" customFormat="1" ht="28.8">
      <c r="A22"/>
      <c r="B22"/>
      <c r="C22"/>
      <c r="D22"/>
      <c r="E22" s="716" t="s">
        <v>840</v>
      </c>
      <c r="F22" s="716"/>
      <c r="G22" s="717"/>
      <c r="H22" s="717">
        <v>1552.15</v>
      </c>
      <c r="I22" s="717">
        <v>1753.16</v>
      </c>
      <c r="J22" s="717">
        <v>1706.04</v>
      </c>
      <c r="K22" s="717">
        <v>1788.36</v>
      </c>
      <c r="L22" s="717">
        <v>1818.36</v>
      </c>
      <c r="M22" s="717">
        <v>1144.98</v>
      </c>
      <c r="N22" s="717">
        <v>1124.5</v>
      </c>
      <c r="O22" s="717">
        <v>1157.3399999999999</v>
      </c>
      <c r="P22" s="717">
        <v>1168.57</v>
      </c>
      <c r="Q22" s="718">
        <v>891.54</v>
      </c>
      <c r="R22" s="753">
        <f>Q22</f>
        <v>891.54</v>
      </c>
      <c r="S22" s="753">
        <f t="shared" ref="S22:AE22" si="0">R22</f>
        <v>891.54</v>
      </c>
      <c r="T22" s="753">
        <f t="shared" si="0"/>
        <v>891.54</v>
      </c>
      <c r="U22" s="753">
        <f t="shared" si="0"/>
        <v>891.54</v>
      </c>
      <c r="V22" s="753">
        <f t="shared" si="0"/>
        <v>891.54</v>
      </c>
      <c r="W22" s="753">
        <f t="shared" si="0"/>
        <v>891.54</v>
      </c>
      <c r="X22" s="753">
        <f t="shared" si="0"/>
        <v>891.54</v>
      </c>
      <c r="Y22" s="753">
        <f t="shared" si="0"/>
        <v>891.54</v>
      </c>
      <c r="Z22" s="753">
        <f t="shared" si="0"/>
        <v>891.54</v>
      </c>
      <c r="AA22" s="753">
        <f t="shared" si="0"/>
        <v>891.54</v>
      </c>
      <c r="AB22" s="753">
        <f t="shared" si="0"/>
        <v>891.54</v>
      </c>
      <c r="AC22" s="753">
        <f t="shared" si="0"/>
        <v>891.54</v>
      </c>
      <c r="AD22" s="753">
        <f t="shared" si="0"/>
        <v>891.54</v>
      </c>
      <c r="AE22" s="753">
        <f t="shared" si="0"/>
        <v>891.54</v>
      </c>
      <c r="AF22" s="719"/>
      <c r="AG22" s="720"/>
      <c r="AH22" s="738">
        <f>SUMPRODUCT(H22:K22,$D43:$G43)</f>
        <v>1676.3379304468103</v>
      </c>
      <c r="AI22" s="739">
        <f>SUMPRODUCT(L22:O22,$D43:$G43)</f>
        <v>1431.9242943570771</v>
      </c>
      <c r="AJ22" s="739">
        <f>SUMPRODUCT(P22:S22,$D43:$G43)</f>
        <v>1008.5472618688093</v>
      </c>
      <c r="AK22" s="739">
        <f>SUMPRODUCT(T22:W22,$D43:$G43)</f>
        <v>891.53999999999883</v>
      </c>
      <c r="AL22" s="739">
        <f>SUMPRODUCT(X22:AA22,$D43:$G43)</f>
        <v>891.53999999999883</v>
      </c>
      <c r="AM22" s="739">
        <f>SUMPRODUCT(AB22:AE22,$D43:$G43)</f>
        <v>891.53999999999883</v>
      </c>
      <c r="AN22"/>
    </row>
    <row r="23" spans="1:40" ht="29.4" thickBot="1">
      <c r="E23" s="721" t="s">
        <v>841</v>
      </c>
      <c r="F23" s="721"/>
      <c r="G23" s="722"/>
      <c r="H23" s="722">
        <v>1255.56</v>
      </c>
      <c r="I23" s="722">
        <v>1237.0999999999999</v>
      </c>
      <c r="J23" s="722">
        <v>1098.83</v>
      </c>
      <c r="K23" s="722">
        <v>1359.09</v>
      </c>
      <c r="L23" s="722">
        <v>1327.84</v>
      </c>
      <c r="M23" s="723">
        <v>845.93</v>
      </c>
      <c r="N23" s="723">
        <v>845.93</v>
      </c>
      <c r="O23" s="723">
        <v>938.9</v>
      </c>
      <c r="P23" s="723">
        <v>938.9</v>
      </c>
      <c r="Q23" s="723">
        <v>714.57</v>
      </c>
      <c r="R23" s="719">
        <f t="shared" ref="R23:AE23" si="1">Q23</f>
        <v>714.57</v>
      </c>
      <c r="S23" s="719">
        <f t="shared" si="1"/>
        <v>714.57</v>
      </c>
      <c r="T23" s="719">
        <f t="shared" si="1"/>
        <v>714.57</v>
      </c>
      <c r="U23" s="719">
        <f t="shared" si="1"/>
        <v>714.57</v>
      </c>
      <c r="V23" s="719">
        <f t="shared" si="1"/>
        <v>714.57</v>
      </c>
      <c r="W23" s="719">
        <f t="shared" si="1"/>
        <v>714.57</v>
      </c>
      <c r="X23" s="719">
        <f t="shared" si="1"/>
        <v>714.57</v>
      </c>
      <c r="Y23" s="719">
        <f t="shared" si="1"/>
        <v>714.57</v>
      </c>
      <c r="Z23" s="719">
        <f t="shared" si="1"/>
        <v>714.57</v>
      </c>
      <c r="AA23" s="719">
        <f t="shared" si="1"/>
        <v>714.57</v>
      </c>
      <c r="AB23" s="719">
        <f t="shared" si="1"/>
        <v>714.57</v>
      </c>
      <c r="AC23" s="719">
        <f t="shared" si="1"/>
        <v>714.57</v>
      </c>
      <c r="AD23" s="719">
        <f t="shared" si="1"/>
        <v>714.57</v>
      </c>
      <c r="AE23" s="719">
        <f t="shared" si="1"/>
        <v>714.57</v>
      </c>
      <c r="AF23" s="719"/>
      <c r="AG23" s="720"/>
      <c r="AH23" s="740">
        <f>SUMPRODUCT(H23:K23,$D44:$G44)</f>
        <v>1247.6063492778628</v>
      </c>
      <c r="AI23" s="741">
        <f>SUMPRODUCT(L23:O23,$D44:$G44)</f>
        <v>1009.7685067460068</v>
      </c>
      <c r="AJ23" s="741">
        <f>SUMPRODUCT(P23:S23,$D44:$G44)</f>
        <v>778.80011854395468</v>
      </c>
      <c r="AK23" s="741">
        <f>SUMPRODUCT(T23:W23,$D44:$G44)</f>
        <v>714.57000000000289</v>
      </c>
      <c r="AL23" s="741">
        <f>SUMPRODUCT(X23:AA23,$D44:$G44)</f>
        <v>714.57000000000289</v>
      </c>
      <c r="AM23" s="741">
        <f>SUMPRODUCT(AB23:AE23,$D44:$G44)</f>
        <v>714.57000000000289</v>
      </c>
    </row>
    <row r="24" spans="1:40" ht="15" thickBot="1">
      <c r="E24" s="724" t="s">
        <v>842</v>
      </c>
      <c r="F24" s="725"/>
      <c r="G24" s="709">
        <v>2491</v>
      </c>
      <c r="H24" s="709">
        <f t="shared" ref="H24:AE24" si="2">SUM(H22:H23)</f>
        <v>2807.71</v>
      </c>
      <c r="I24" s="709">
        <f t="shared" si="2"/>
        <v>2990.26</v>
      </c>
      <c r="J24" s="709">
        <f t="shared" si="2"/>
        <v>2804.87</v>
      </c>
      <c r="K24" s="709">
        <f t="shared" si="2"/>
        <v>3147.45</v>
      </c>
      <c r="L24" s="709">
        <f t="shared" si="2"/>
        <v>3146.2</v>
      </c>
      <c r="M24" s="709">
        <f t="shared" si="2"/>
        <v>1990.9099999999999</v>
      </c>
      <c r="N24" s="709">
        <f t="shared" si="2"/>
        <v>1970.4299999999998</v>
      </c>
      <c r="O24" s="709">
        <f t="shared" si="2"/>
        <v>2096.2399999999998</v>
      </c>
      <c r="P24" s="709">
        <f t="shared" si="2"/>
        <v>2107.4699999999998</v>
      </c>
      <c r="Q24" s="709">
        <f t="shared" si="2"/>
        <v>1606.1100000000001</v>
      </c>
      <c r="R24" s="752">
        <f t="shared" si="2"/>
        <v>1606.1100000000001</v>
      </c>
      <c r="S24" s="752">
        <f t="shared" si="2"/>
        <v>1606.1100000000001</v>
      </c>
      <c r="T24" s="752">
        <f t="shared" si="2"/>
        <v>1606.1100000000001</v>
      </c>
      <c r="U24" s="752">
        <f t="shared" si="2"/>
        <v>1606.1100000000001</v>
      </c>
      <c r="V24" s="752">
        <f t="shared" si="2"/>
        <v>1606.1100000000001</v>
      </c>
      <c r="W24" s="752">
        <f t="shared" si="2"/>
        <v>1606.1100000000001</v>
      </c>
      <c r="X24" s="752">
        <f t="shared" si="2"/>
        <v>1606.1100000000001</v>
      </c>
      <c r="Y24" s="752">
        <f t="shared" si="2"/>
        <v>1606.1100000000001</v>
      </c>
      <c r="Z24" s="752">
        <f t="shared" si="2"/>
        <v>1606.1100000000001</v>
      </c>
      <c r="AA24" s="752">
        <f t="shared" si="2"/>
        <v>1606.1100000000001</v>
      </c>
      <c r="AB24" s="752">
        <f t="shared" si="2"/>
        <v>1606.1100000000001</v>
      </c>
      <c r="AC24" s="752">
        <f t="shared" si="2"/>
        <v>1606.1100000000001</v>
      </c>
      <c r="AD24" s="752">
        <f t="shared" si="2"/>
        <v>1606.1100000000001</v>
      </c>
      <c r="AE24" s="752">
        <f t="shared" si="2"/>
        <v>1606.1100000000001</v>
      </c>
      <c r="AF24" s="727"/>
      <c r="AG24" s="727"/>
      <c r="AH24" s="728">
        <f>SUM(AH22:AH23)</f>
        <v>2923.9442797246729</v>
      </c>
      <c r="AI24" s="728">
        <f t="shared" ref="AI24:AM24" si="3">SUM(AI22:AI23)</f>
        <v>2441.6928011030841</v>
      </c>
      <c r="AJ24" s="728">
        <f t="shared" si="3"/>
        <v>1787.3473804127639</v>
      </c>
      <c r="AK24" s="728">
        <f t="shared" si="3"/>
        <v>1606.1100000000017</v>
      </c>
      <c r="AL24" s="728">
        <f t="shared" si="3"/>
        <v>1606.1100000000017</v>
      </c>
      <c r="AM24" s="728">
        <f t="shared" si="3"/>
        <v>1606.1100000000017</v>
      </c>
    </row>
    <row r="25" spans="1:40">
      <c r="E25" s="310"/>
      <c r="F25" s="3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310"/>
      <c r="AG25" s="310"/>
      <c r="AH25" s="310"/>
      <c r="AI25" s="310"/>
      <c r="AJ25" s="310"/>
      <c r="AK25" s="310"/>
      <c r="AL25" s="310"/>
      <c r="AM25" s="310"/>
    </row>
    <row r="26" spans="1:40">
      <c r="E26" s="310" t="s">
        <v>843</v>
      </c>
      <c r="F26" s="310"/>
      <c r="G26" s="301">
        <v>-23</v>
      </c>
      <c r="H26" s="711">
        <f t="shared" ref="H26:AE26" si="4">G26</f>
        <v>-23</v>
      </c>
      <c r="I26" s="711">
        <f t="shared" si="4"/>
        <v>-23</v>
      </c>
      <c r="J26" s="711">
        <f t="shared" si="4"/>
        <v>-23</v>
      </c>
      <c r="K26" s="711">
        <f t="shared" si="4"/>
        <v>-23</v>
      </c>
      <c r="L26" s="711">
        <f t="shared" si="4"/>
        <v>-23</v>
      </c>
      <c r="M26" s="711">
        <f t="shared" si="4"/>
        <v>-23</v>
      </c>
      <c r="N26" s="711">
        <f t="shared" si="4"/>
        <v>-23</v>
      </c>
      <c r="O26" s="711">
        <f t="shared" si="4"/>
        <v>-23</v>
      </c>
      <c r="P26" s="711">
        <f t="shared" si="4"/>
        <v>-23</v>
      </c>
      <c r="Q26" s="711">
        <f t="shared" si="4"/>
        <v>-23</v>
      </c>
      <c r="R26" s="711">
        <f t="shared" si="4"/>
        <v>-23</v>
      </c>
      <c r="S26" s="711">
        <f t="shared" si="4"/>
        <v>-23</v>
      </c>
      <c r="T26" s="711">
        <f t="shared" si="4"/>
        <v>-23</v>
      </c>
      <c r="U26" s="711">
        <f t="shared" si="4"/>
        <v>-23</v>
      </c>
      <c r="V26" s="711">
        <f t="shared" si="4"/>
        <v>-23</v>
      </c>
      <c r="W26" s="711">
        <f t="shared" si="4"/>
        <v>-23</v>
      </c>
      <c r="X26" s="711">
        <f t="shared" si="4"/>
        <v>-23</v>
      </c>
      <c r="Y26" s="711">
        <f t="shared" si="4"/>
        <v>-23</v>
      </c>
      <c r="Z26" s="711">
        <f t="shared" si="4"/>
        <v>-23</v>
      </c>
      <c r="AA26" s="711">
        <f t="shared" si="4"/>
        <v>-23</v>
      </c>
      <c r="AB26" s="711">
        <f t="shared" si="4"/>
        <v>-23</v>
      </c>
      <c r="AC26" s="711">
        <f t="shared" si="4"/>
        <v>-23</v>
      </c>
      <c r="AD26" s="711">
        <f t="shared" si="4"/>
        <v>-23</v>
      </c>
      <c r="AE26" s="711">
        <f t="shared" si="4"/>
        <v>-23</v>
      </c>
      <c r="AF26" s="711"/>
      <c r="AG26" s="310"/>
      <c r="AH26" s="301">
        <f t="shared" ref="AH26:AM32" si="5">IFERROR(AVERAGEIF($G$20:$AE$20,AH$21,$G26:$AE26),"n/a")</f>
        <v>-23</v>
      </c>
      <c r="AI26" s="301">
        <f t="shared" si="5"/>
        <v>-23</v>
      </c>
      <c r="AJ26" s="301">
        <f t="shared" si="5"/>
        <v>-23</v>
      </c>
      <c r="AK26" s="301">
        <f t="shared" si="5"/>
        <v>-23</v>
      </c>
      <c r="AL26" s="301">
        <f t="shared" si="5"/>
        <v>-23</v>
      </c>
      <c r="AM26" s="301">
        <f t="shared" si="5"/>
        <v>-23</v>
      </c>
    </row>
    <row r="27" spans="1:40">
      <c r="E27" s="310" t="s">
        <v>844</v>
      </c>
      <c r="F27" s="310"/>
      <c r="G27" s="301">
        <v>152</v>
      </c>
      <c r="H27" s="711">
        <f t="shared" ref="H27:AE27" si="6">G27</f>
        <v>152</v>
      </c>
      <c r="I27" s="711">
        <f t="shared" si="6"/>
        <v>152</v>
      </c>
      <c r="J27" s="711">
        <f t="shared" si="6"/>
        <v>152</v>
      </c>
      <c r="K27" s="711">
        <f t="shared" si="6"/>
        <v>152</v>
      </c>
      <c r="L27" s="711">
        <f t="shared" si="6"/>
        <v>152</v>
      </c>
      <c r="M27" s="711">
        <f t="shared" si="6"/>
        <v>152</v>
      </c>
      <c r="N27" s="711">
        <f t="shared" si="6"/>
        <v>152</v>
      </c>
      <c r="O27" s="711">
        <f t="shared" si="6"/>
        <v>152</v>
      </c>
      <c r="P27" s="711">
        <f t="shared" si="6"/>
        <v>152</v>
      </c>
      <c r="Q27" s="711">
        <f t="shared" si="6"/>
        <v>152</v>
      </c>
      <c r="R27" s="711">
        <f t="shared" si="6"/>
        <v>152</v>
      </c>
      <c r="S27" s="711">
        <f t="shared" si="6"/>
        <v>152</v>
      </c>
      <c r="T27" s="711">
        <f t="shared" si="6"/>
        <v>152</v>
      </c>
      <c r="U27" s="711">
        <f t="shared" si="6"/>
        <v>152</v>
      </c>
      <c r="V27" s="711">
        <f t="shared" si="6"/>
        <v>152</v>
      </c>
      <c r="W27" s="711">
        <f t="shared" si="6"/>
        <v>152</v>
      </c>
      <c r="X27" s="711">
        <f t="shared" si="6"/>
        <v>152</v>
      </c>
      <c r="Y27" s="711">
        <f t="shared" si="6"/>
        <v>152</v>
      </c>
      <c r="Z27" s="711">
        <f t="shared" si="6"/>
        <v>152</v>
      </c>
      <c r="AA27" s="711">
        <f t="shared" si="6"/>
        <v>152</v>
      </c>
      <c r="AB27" s="711">
        <f t="shared" si="6"/>
        <v>152</v>
      </c>
      <c r="AC27" s="711">
        <f t="shared" si="6"/>
        <v>152</v>
      </c>
      <c r="AD27" s="711">
        <f t="shared" si="6"/>
        <v>152</v>
      </c>
      <c r="AE27" s="711">
        <f t="shared" si="6"/>
        <v>152</v>
      </c>
      <c r="AF27" s="711"/>
      <c r="AG27" s="310"/>
      <c r="AH27" s="301">
        <f t="shared" si="5"/>
        <v>152</v>
      </c>
      <c r="AI27" s="301">
        <f t="shared" si="5"/>
        <v>152</v>
      </c>
      <c r="AJ27" s="301">
        <f t="shared" si="5"/>
        <v>152</v>
      </c>
      <c r="AK27" s="301">
        <f t="shared" si="5"/>
        <v>152</v>
      </c>
      <c r="AL27" s="301">
        <f t="shared" si="5"/>
        <v>152</v>
      </c>
      <c r="AM27" s="301">
        <f t="shared" si="5"/>
        <v>152</v>
      </c>
    </row>
    <row r="28" spans="1:40">
      <c r="E28" s="310" t="s">
        <v>845</v>
      </c>
      <c r="F28" s="310"/>
      <c r="G28" s="301">
        <v>46</v>
      </c>
      <c r="H28" s="711">
        <f t="shared" ref="H28:AE28" si="7">G28</f>
        <v>46</v>
      </c>
      <c r="I28" s="711">
        <f t="shared" si="7"/>
        <v>46</v>
      </c>
      <c r="J28" s="711">
        <f t="shared" si="7"/>
        <v>46</v>
      </c>
      <c r="K28" s="711">
        <f t="shared" si="7"/>
        <v>46</v>
      </c>
      <c r="L28" s="711">
        <f t="shared" si="7"/>
        <v>46</v>
      </c>
      <c r="M28" s="711">
        <f t="shared" si="7"/>
        <v>46</v>
      </c>
      <c r="N28" s="711">
        <f t="shared" si="7"/>
        <v>46</v>
      </c>
      <c r="O28" s="711">
        <f t="shared" si="7"/>
        <v>46</v>
      </c>
      <c r="P28" s="711">
        <f t="shared" si="7"/>
        <v>46</v>
      </c>
      <c r="Q28" s="711">
        <f t="shared" si="7"/>
        <v>46</v>
      </c>
      <c r="R28" s="711">
        <f t="shared" si="7"/>
        <v>46</v>
      </c>
      <c r="S28" s="711">
        <f t="shared" si="7"/>
        <v>46</v>
      </c>
      <c r="T28" s="711">
        <f t="shared" si="7"/>
        <v>46</v>
      </c>
      <c r="U28" s="711">
        <f t="shared" si="7"/>
        <v>46</v>
      </c>
      <c r="V28" s="711">
        <f t="shared" si="7"/>
        <v>46</v>
      </c>
      <c r="W28" s="711">
        <f t="shared" si="7"/>
        <v>46</v>
      </c>
      <c r="X28" s="711">
        <f t="shared" si="7"/>
        <v>46</v>
      </c>
      <c r="Y28" s="711">
        <f t="shared" si="7"/>
        <v>46</v>
      </c>
      <c r="Z28" s="711">
        <f t="shared" si="7"/>
        <v>46</v>
      </c>
      <c r="AA28" s="711">
        <f t="shared" si="7"/>
        <v>46</v>
      </c>
      <c r="AB28" s="711">
        <f t="shared" si="7"/>
        <v>46</v>
      </c>
      <c r="AC28" s="711">
        <f t="shared" si="7"/>
        <v>46</v>
      </c>
      <c r="AD28" s="711">
        <f t="shared" si="7"/>
        <v>46</v>
      </c>
      <c r="AE28" s="711">
        <f t="shared" si="7"/>
        <v>46</v>
      </c>
      <c r="AF28" s="711"/>
      <c r="AG28" s="310"/>
      <c r="AH28" s="301">
        <f t="shared" si="5"/>
        <v>46</v>
      </c>
      <c r="AI28" s="301">
        <f t="shared" si="5"/>
        <v>46</v>
      </c>
      <c r="AJ28" s="301">
        <f t="shared" si="5"/>
        <v>46</v>
      </c>
      <c r="AK28" s="301">
        <f t="shared" si="5"/>
        <v>46</v>
      </c>
      <c r="AL28" s="301">
        <f t="shared" si="5"/>
        <v>46</v>
      </c>
      <c r="AM28" s="301">
        <f t="shared" si="5"/>
        <v>46</v>
      </c>
    </row>
    <row r="29" spans="1:40">
      <c r="E29" s="310" t="s">
        <v>846</v>
      </c>
      <c r="F29" s="310"/>
      <c r="G29" s="301">
        <v>61</v>
      </c>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310"/>
      <c r="AH29" s="301" t="str">
        <f t="shared" si="5"/>
        <v>n/a</v>
      </c>
      <c r="AI29" s="301" t="str">
        <f t="shared" si="5"/>
        <v>n/a</v>
      </c>
      <c r="AJ29" s="301" t="str">
        <f t="shared" si="5"/>
        <v>n/a</v>
      </c>
      <c r="AK29" s="301" t="str">
        <f t="shared" si="5"/>
        <v>n/a</v>
      </c>
      <c r="AL29" s="301" t="str">
        <f t="shared" si="5"/>
        <v>n/a</v>
      </c>
      <c r="AM29" s="301" t="str">
        <f t="shared" si="5"/>
        <v>n/a</v>
      </c>
    </row>
    <row r="30" spans="1:40">
      <c r="E30" s="310" t="s">
        <v>847</v>
      </c>
      <c r="F30" s="310"/>
      <c r="G30" s="301">
        <v>311</v>
      </c>
      <c r="H30" s="711">
        <f t="shared" ref="H30:AE30" si="8">G30</f>
        <v>311</v>
      </c>
      <c r="I30" s="711">
        <f t="shared" si="8"/>
        <v>311</v>
      </c>
      <c r="J30" s="711">
        <f t="shared" si="8"/>
        <v>311</v>
      </c>
      <c r="K30" s="711">
        <f t="shared" si="8"/>
        <v>311</v>
      </c>
      <c r="L30" s="711">
        <f t="shared" si="8"/>
        <v>311</v>
      </c>
      <c r="M30" s="711">
        <f t="shared" si="8"/>
        <v>311</v>
      </c>
      <c r="N30" s="711">
        <f t="shared" si="8"/>
        <v>311</v>
      </c>
      <c r="O30" s="711">
        <f t="shared" si="8"/>
        <v>311</v>
      </c>
      <c r="P30" s="711">
        <f t="shared" si="8"/>
        <v>311</v>
      </c>
      <c r="Q30" s="711">
        <f t="shared" si="8"/>
        <v>311</v>
      </c>
      <c r="R30" s="711">
        <f t="shared" si="8"/>
        <v>311</v>
      </c>
      <c r="S30" s="711">
        <f t="shared" si="8"/>
        <v>311</v>
      </c>
      <c r="T30" s="711">
        <f t="shared" si="8"/>
        <v>311</v>
      </c>
      <c r="U30" s="711">
        <f t="shared" si="8"/>
        <v>311</v>
      </c>
      <c r="V30" s="711">
        <f t="shared" si="8"/>
        <v>311</v>
      </c>
      <c r="W30" s="711">
        <f t="shared" si="8"/>
        <v>311</v>
      </c>
      <c r="X30" s="711">
        <f t="shared" si="8"/>
        <v>311</v>
      </c>
      <c r="Y30" s="711">
        <f t="shared" si="8"/>
        <v>311</v>
      </c>
      <c r="Z30" s="711">
        <f t="shared" si="8"/>
        <v>311</v>
      </c>
      <c r="AA30" s="711">
        <f t="shared" si="8"/>
        <v>311</v>
      </c>
      <c r="AB30" s="711">
        <f t="shared" si="8"/>
        <v>311</v>
      </c>
      <c r="AC30" s="711">
        <f t="shared" si="8"/>
        <v>311</v>
      </c>
      <c r="AD30" s="711">
        <f t="shared" si="8"/>
        <v>311</v>
      </c>
      <c r="AE30" s="711">
        <f t="shared" si="8"/>
        <v>311</v>
      </c>
      <c r="AF30" s="711"/>
      <c r="AG30" s="310"/>
      <c r="AH30" s="301">
        <f t="shared" si="5"/>
        <v>311</v>
      </c>
      <c r="AI30" s="301">
        <f t="shared" si="5"/>
        <v>311</v>
      </c>
      <c r="AJ30" s="301">
        <f t="shared" si="5"/>
        <v>311</v>
      </c>
      <c r="AK30" s="301">
        <f t="shared" si="5"/>
        <v>311</v>
      </c>
      <c r="AL30" s="301">
        <f t="shared" si="5"/>
        <v>311</v>
      </c>
      <c r="AM30" s="301">
        <f t="shared" si="5"/>
        <v>311</v>
      </c>
    </row>
    <row r="31" spans="1:40">
      <c r="E31" s="310" t="s">
        <v>848</v>
      </c>
      <c r="F31" s="310"/>
      <c r="G31" s="301">
        <v>214</v>
      </c>
      <c r="H31" s="711">
        <f t="shared" ref="H31:AE31" si="9">G31</f>
        <v>214</v>
      </c>
      <c r="I31" s="711">
        <f t="shared" si="9"/>
        <v>214</v>
      </c>
      <c r="J31" s="711">
        <f t="shared" si="9"/>
        <v>214</v>
      </c>
      <c r="K31" s="711">
        <f t="shared" si="9"/>
        <v>214</v>
      </c>
      <c r="L31" s="711">
        <f t="shared" si="9"/>
        <v>214</v>
      </c>
      <c r="M31" s="711">
        <f t="shared" si="9"/>
        <v>214</v>
      </c>
      <c r="N31" s="711">
        <f t="shared" si="9"/>
        <v>214</v>
      </c>
      <c r="O31" s="711">
        <f t="shared" si="9"/>
        <v>214</v>
      </c>
      <c r="P31" s="711">
        <f t="shared" si="9"/>
        <v>214</v>
      </c>
      <c r="Q31" s="711">
        <f t="shared" si="9"/>
        <v>214</v>
      </c>
      <c r="R31" s="711">
        <f t="shared" si="9"/>
        <v>214</v>
      </c>
      <c r="S31" s="711">
        <f t="shared" si="9"/>
        <v>214</v>
      </c>
      <c r="T31" s="711">
        <f t="shared" si="9"/>
        <v>214</v>
      </c>
      <c r="U31" s="711">
        <f t="shared" si="9"/>
        <v>214</v>
      </c>
      <c r="V31" s="711">
        <f t="shared" si="9"/>
        <v>214</v>
      </c>
      <c r="W31" s="711">
        <f t="shared" si="9"/>
        <v>214</v>
      </c>
      <c r="X31" s="711">
        <f t="shared" si="9"/>
        <v>214</v>
      </c>
      <c r="Y31" s="711">
        <f t="shared" si="9"/>
        <v>214</v>
      </c>
      <c r="Z31" s="711">
        <f t="shared" si="9"/>
        <v>214</v>
      </c>
      <c r="AA31" s="711">
        <f t="shared" si="9"/>
        <v>214</v>
      </c>
      <c r="AB31" s="711">
        <f t="shared" si="9"/>
        <v>214</v>
      </c>
      <c r="AC31" s="711">
        <f t="shared" si="9"/>
        <v>214</v>
      </c>
      <c r="AD31" s="711">
        <f t="shared" si="9"/>
        <v>214</v>
      </c>
      <c r="AE31" s="711">
        <f t="shared" si="9"/>
        <v>214</v>
      </c>
      <c r="AF31" s="711"/>
      <c r="AG31" s="310"/>
      <c r="AH31" s="301">
        <f t="shared" si="5"/>
        <v>214</v>
      </c>
      <c r="AI31" s="301">
        <f t="shared" si="5"/>
        <v>214</v>
      </c>
      <c r="AJ31" s="301">
        <f t="shared" si="5"/>
        <v>214</v>
      </c>
      <c r="AK31" s="301">
        <f t="shared" si="5"/>
        <v>214</v>
      </c>
      <c r="AL31" s="301">
        <f t="shared" si="5"/>
        <v>214</v>
      </c>
      <c r="AM31" s="301">
        <f t="shared" si="5"/>
        <v>214</v>
      </c>
    </row>
    <row r="32" spans="1:40">
      <c r="E32" s="310" t="s">
        <v>849</v>
      </c>
      <c r="F32" s="310"/>
      <c r="G32" s="301">
        <v>22</v>
      </c>
      <c r="H32" s="711">
        <f t="shared" ref="H32:AE32" si="10">G32</f>
        <v>22</v>
      </c>
      <c r="I32" s="711">
        <f t="shared" si="10"/>
        <v>22</v>
      </c>
      <c r="J32" s="711">
        <f t="shared" si="10"/>
        <v>22</v>
      </c>
      <c r="K32" s="711">
        <f t="shared" si="10"/>
        <v>22</v>
      </c>
      <c r="L32" s="711">
        <f t="shared" si="10"/>
        <v>22</v>
      </c>
      <c r="M32" s="711">
        <f t="shared" si="10"/>
        <v>22</v>
      </c>
      <c r="N32" s="711">
        <f t="shared" si="10"/>
        <v>22</v>
      </c>
      <c r="O32" s="711">
        <f t="shared" si="10"/>
        <v>22</v>
      </c>
      <c r="P32" s="711">
        <f t="shared" si="10"/>
        <v>22</v>
      </c>
      <c r="Q32" s="711">
        <f t="shared" si="10"/>
        <v>22</v>
      </c>
      <c r="R32" s="711">
        <f t="shared" si="10"/>
        <v>22</v>
      </c>
      <c r="S32" s="711">
        <f t="shared" si="10"/>
        <v>22</v>
      </c>
      <c r="T32" s="711">
        <f t="shared" si="10"/>
        <v>22</v>
      </c>
      <c r="U32" s="711">
        <f t="shared" si="10"/>
        <v>22</v>
      </c>
      <c r="V32" s="711">
        <f t="shared" si="10"/>
        <v>22</v>
      </c>
      <c r="W32" s="711">
        <f t="shared" si="10"/>
        <v>22</v>
      </c>
      <c r="X32" s="711">
        <f t="shared" si="10"/>
        <v>22</v>
      </c>
      <c r="Y32" s="711">
        <f t="shared" si="10"/>
        <v>22</v>
      </c>
      <c r="Z32" s="711">
        <f t="shared" si="10"/>
        <v>22</v>
      </c>
      <c r="AA32" s="711">
        <f t="shared" si="10"/>
        <v>22</v>
      </c>
      <c r="AB32" s="711">
        <f t="shared" si="10"/>
        <v>22</v>
      </c>
      <c r="AC32" s="711">
        <f t="shared" si="10"/>
        <v>22</v>
      </c>
      <c r="AD32" s="711">
        <f t="shared" si="10"/>
        <v>22</v>
      </c>
      <c r="AE32" s="711">
        <f t="shared" si="10"/>
        <v>22</v>
      </c>
      <c r="AF32" s="711"/>
      <c r="AG32" s="310"/>
      <c r="AH32" s="301">
        <f t="shared" si="5"/>
        <v>22</v>
      </c>
      <c r="AI32" s="301">
        <f t="shared" si="5"/>
        <v>22</v>
      </c>
      <c r="AJ32" s="301">
        <f t="shared" si="5"/>
        <v>22</v>
      </c>
      <c r="AK32" s="301">
        <f t="shared" si="5"/>
        <v>22</v>
      </c>
      <c r="AL32" s="301">
        <f t="shared" si="5"/>
        <v>22</v>
      </c>
      <c r="AM32" s="301">
        <f t="shared" si="5"/>
        <v>22</v>
      </c>
    </row>
    <row r="33" spans="1:40">
      <c r="E33" s="310" t="s">
        <v>850</v>
      </c>
      <c r="F33" s="729">
        <v>1.9368E-2</v>
      </c>
      <c r="G33" s="301">
        <v>63</v>
      </c>
      <c r="H33" s="711">
        <f>SUM(H24,H26:H32)*$F33</f>
        <v>68.363423280000006</v>
      </c>
      <c r="I33" s="711">
        <f t="shared" ref="I33:AE33" si="11">SUM(I24,I26:I32)*$F33</f>
        <v>71.899051679999999</v>
      </c>
      <c r="J33" s="711">
        <f t="shared" si="11"/>
        <v>68.308418160000002</v>
      </c>
      <c r="K33" s="711">
        <f t="shared" si="11"/>
        <v>74.94350759999999</v>
      </c>
      <c r="L33" s="711">
        <f t="shared" si="11"/>
        <v>74.919297599999993</v>
      </c>
      <c r="M33" s="711">
        <f t="shared" si="11"/>
        <v>52.543640879999998</v>
      </c>
      <c r="N33" s="711">
        <f t="shared" si="11"/>
        <v>52.146984239999995</v>
      </c>
      <c r="O33" s="711">
        <f t="shared" si="11"/>
        <v>54.583672319999998</v>
      </c>
      <c r="P33" s="711">
        <f t="shared" si="11"/>
        <v>54.801174959999997</v>
      </c>
      <c r="Q33" s="711">
        <f t="shared" si="11"/>
        <v>45.090834480000005</v>
      </c>
      <c r="R33" s="711">
        <f t="shared" si="11"/>
        <v>45.090834480000005</v>
      </c>
      <c r="S33" s="711">
        <f t="shared" si="11"/>
        <v>45.090834480000005</v>
      </c>
      <c r="T33" s="711">
        <f t="shared" si="11"/>
        <v>45.090834480000005</v>
      </c>
      <c r="U33" s="711">
        <f t="shared" si="11"/>
        <v>45.090834480000005</v>
      </c>
      <c r="V33" s="711">
        <f t="shared" si="11"/>
        <v>45.090834480000005</v>
      </c>
      <c r="W33" s="711">
        <f t="shared" si="11"/>
        <v>45.090834480000005</v>
      </c>
      <c r="X33" s="711">
        <f t="shared" si="11"/>
        <v>45.090834480000005</v>
      </c>
      <c r="Y33" s="711">
        <f t="shared" si="11"/>
        <v>45.090834480000005</v>
      </c>
      <c r="Z33" s="711">
        <f t="shared" si="11"/>
        <v>45.090834480000005</v>
      </c>
      <c r="AA33" s="711">
        <f t="shared" si="11"/>
        <v>45.090834480000005</v>
      </c>
      <c r="AB33" s="711">
        <f t="shared" si="11"/>
        <v>45.090834480000005</v>
      </c>
      <c r="AC33" s="711">
        <f t="shared" si="11"/>
        <v>45.090834480000005</v>
      </c>
      <c r="AD33" s="711">
        <f t="shared" si="11"/>
        <v>45.090834480000005</v>
      </c>
      <c r="AE33" s="711">
        <f t="shared" si="11"/>
        <v>45.090834480000005</v>
      </c>
      <c r="AF33" s="301"/>
      <c r="AG33" s="310"/>
      <c r="AH33" s="301">
        <f t="shared" ref="AH33:AM33" si="12">SUM(AH24,AH26:AH32)*$F33</f>
        <v>70.614648809707461</v>
      </c>
      <c r="AI33" s="301">
        <f t="shared" si="12"/>
        <v>61.274402171764535</v>
      </c>
      <c r="AJ33" s="301">
        <f t="shared" si="12"/>
        <v>48.601040063834411</v>
      </c>
      <c r="AK33" s="301">
        <f t="shared" si="12"/>
        <v>45.090834480000026</v>
      </c>
      <c r="AL33" s="301">
        <f t="shared" si="12"/>
        <v>45.090834480000026</v>
      </c>
      <c r="AM33" s="301">
        <f t="shared" si="12"/>
        <v>45.090834480000026</v>
      </c>
    </row>
    <row r="34" spans="1:40">
      <c r="E34" s="310" t="s">
        <v>851</v>
      </c>
      <c r="F34" s="729">
        <v>1.4641E-2</v>
      </c>
      <c r="G34" s="301">
        <v>43</v>
      </c>
      <c r="H34" s="711">
        <f>SUM(H24,H26:H28,H31:H33)*$F34</f>
        <v>48.126041990242477</v>
      </c>
      <c r="I34" s="711">
        <f t="shared" ref="I34:AE34" si="13">SUM(I24,I26:I28,I31:I33)*$F34</f>
        <v>50.850521675646881</v>
      </c>
      <c r="J34" s="711">
        <f t="shared" si="13"/>
        <v>48.08365622028056</v>
      </c>
      <c r="K34" s="711">
        <f t="shared" si="13"/>
        <v>53.196514344771593</v>
      </c>
      <c r="L34" s="711">
        <f t="shared" si="13"/>
        <v>53.177858636161595</v>
      </c>
      <c r="M34" s="711">
        <f t="shared" si="13"/>
        <v>35.935655756124078</v>
      </c>
      <c r="N34" s="711">
        <f t="shared" si="13"/>
        <v>35.630000626257839</v>
      </c>
      <c r="O34" s="711">
        <f t="shared" si="13"/>
        <v>37.507660386437117</v>
      </c>
      <c r="P34" s="711">
        <f t="shared" si="13"/>
        <v>37.675263272589355</v>
      </c>
      <c r="Q34" s="711">
        <f t="shared" si="13"/>
        <v>30.192682417621683</v>
      </c>
      <c r="R34" s="711">
        <f t="shared" si="13"/>
        <v>30.192682417621683</v>
      </c>
      <c r="S34" s="711">
        <f t="shared" si="13"/>
        <v>30.192682417621683</v>
      </c>
      <c r="T34" s="711">
        <f t="shared" si="13"/>
        <v>30.192682417621683</v>
      </c>
      <c r="U34" s="711">
        <f t="shared" si="13"/>
        <v>30.192682417621683</v>
      </c>
      <c r="V34" s="711">
        <f t="shared" si="13"/>
        <v>30.192682417621683</v>
      </c>
      <c r="W34" s="711">
        <f t="shared" si="13"/>
        <v>30.192682417621683</v>
      </c>
      <c r="X34" s="711">
        <f t="shared" si="13"/>
        <v>30.192682417621683</v>
      </c>
      <c r="Y34" s="711">
        <f t="shared" si="13"/>
        <v>30.192682417621683</v>
      </c>
      <c r="Z34" s="711">
        <f t="shared" si="13"/>
        <v>30.192682417621683</v>
      </c>
      <c r="AA34" s="711">
        <f t="shared" si="13"/>
        <v>30.192682417621683</v>
      </c>
      <c r="AB34" s="711">
        <f t="shared" si="13"/>
        <v>30.192682417621683</v>
      </c>
      <c r="AC34" s="711">
        <f t="shared" si="13"/>
        <v>30.192682417621683</v>
      </c>
      <c r="AD34" s="711">
        <f t="shared" si="13"/>
        <v>30.192682417621683</v>
      </c>
      <c r="AE34" s="711">
        <f t="shared" si="13"/>
        <v>30.192682417621683</v>
      </c>
      <c r="AF34" s="301"/>
      <c r="AG34" s="310"/>
      <c r="AH34" s="301">
        <f t="shared" ref="AH34:AM34" si="14">SUM(AH24,AH26:AH28,AH31:AH33)*$F34</f>
        <v>49.860788272671861</v>
      </c>
      <c r="AI34" s="301">
        <f t="shared" si="14"/>
        <v>42.663393823147054</v>
      </c>
      <c r="AJ34" s="301">
        <f t="shared" si="14"/>
        <v>32.897571824197875</v>
      </c>
      <c r="AK34" s="301">
        <f t="shared" si="14"/>
        <v>30.192682417621707</v>
      </c>
      <c r="AL34" s="301">
        <f t="shared" si="14"/>
        <v>30.192682417621707</v>
      </c>
      <c r="AM34" s="301">
        <f t="shared" si="14"/>
        <v>30.192682417621707</v>
      </c>
    </row>
    <row r="35" spans="1:40">
      <c r="E35" s="310" t="s">
        <v>852</v>
      </c>
      <c r="F35" s="729">
        <v>0.05</v>
      </c>
      <c r="G35" s="301">
        <v>169</v>
      </c>
      <c r="H35" s="711">
        <f>SUM(H24,H26:H34)*$F35</f>
        <v>182.30997326351212</v>
      </c>
      <c r="I35" s="711">
        <f t="shared" ref="I35:AE35" si="15">SUM(I24,I26:I34)*$F35</f>
        <v>191.75047866778237</v>
      </c>
      <c r="J35" s="711">
        <f t="shared" si="15"/>
        <v>182.16310371901406</v>
      </c>
      <c r="K35" s="711">
        <f t="shared" si="15"/>
        <v>199.87950109723857</v>
      </c>
      <c r="L35" s="711">
        <f t="shared" si="15"/>
        <v>199.81485781180808</v>
      </c>
      <c r="M35" s="711">
        <f t="shared" si="15"/>
        <v>140.06946483180621</v>
      </c>
      <c r="N35" s="711">
        <f t="shared" si="15"/>
        <v>139.0103492433129</v>
      </c>
      <c r="O35" s="711">
        <f t="shared" si="15"/>
        <v>145.51656663532185</v>
      </c>
      <c r="P35" s="711">
        <f t="shared" si="15"/>
        <v>146.09732191162945</v>
      </c>
      <c r="Q35" s="711">
        <f t="shared" si="15"/>
        <v>120.1696758448811</v>
      </c>
      <c r="R35" s="711">
        <f t="shared" si="15"/>
        <v>120.1696758448811</v>
      </c>
      <c r="S35" s="711">
        <f t="shared" si="15"/>
        <v>120.1696758448811</v>
      </c>
      <c r="T35" s="711">
        <f t="shared" si="15"/>
        <v>120.1696758448811</v>
      </c>
      <c r="U35" s="711">
        <f t="shared" si="15"/>
        <v>120.1696758448811</v>
      </c>
      <c r="V35" s="711">
        <f t="shared" si="15"/>
        <v>120.1696758448811</v>
      </c>
      <c r="W35" s="711">
        <f t="shared" si="15"/>
        <v>120.1696758448811</v>
      </c>
      <c r="X35" s="711">
        <f t="shared" si="15"/>
        <v>120.1696758448811</v>
      </c>
      <c r="Y35" s="711">
        <f t="shared" si="15"/>
        <v>120.1696758448811</v>
      </c>
      <c r="Z35" s="711">
        <f t="shared" si="15"/>
        <v>120.1696758448811</v>
      </c>
      <c r="AA35" s="711">
        <f t="shared" si="15"/>
        <v>120.1696758448811</v>
      </c>
      <c r="AB35" s="711">
        <f t="shared" si="15"/>
        <v>120.1696758448811</v>
      </c>
      <c r="AC35" s="711">
        <f t="shared" si="15"/>
        <v>120.1696758448811</v>
      </c>
      <c r="AD35" s="711">
        <f t="shared" si="15"/>
        <v>120.1696758448811</v>
      </c>
      <c r="AE35" s="711">
        <f t="shared" si="15"/>
        <v>120.1696758448811</v>
      </c>
      <c r="AF35" s="301"/>
      <c r="AG35" s="310"/>
      <c r="AH35" s="301">
        <f t="shared" ref="AH35:AM35" si="16">SUM(AH24,AH26:AH34)*$F35</f>
        <v>188.32098584035262</v>
      </c>
      <c r="AI35" s="301">
        <f t="shared" si="16"/>
        <v>163.38152985489978</v>
      </c>
      <c r="AJ35" s="301">
        <f t="shared" si="16"/>
        <v>129.54229961503981</v>
      </c>
      <c r="AK35" s="301">
        <f t="shared" si="16"/>
        <v>120.16967584488117</v>
      </c>
      <c r="AL35" s="301">
        <f t="shared" si="16"/>
        <v>120.16967584488117</v>
      </c>
      <c r="AM35" s="301">
        <f t="shared" si="16"/>
        <v>120.16967584488117</v>
      </c>
    </row>
    <row r="36" spans="1:40" ht="15" thickBot="1">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1:40" s="540" customFormat="1" ht="15" thickBot="1">
      <c r="A37"/>
      <c r="B37"/>
      <c r="C37"/>
      <c r="D37"/>
      <c r="E37" s="713" t="s">
        <v>107</v>
      </c>
      <c r="F37" s="596"/>
      <c r="G37" s="714">
        <f>SUM(G26:G35,G24)</f>
        <v>3549</v>
      </c>
      <c r="H37" s="714">
        <f t="shared" ref="H37:AE37" si="17">SUM(H26:H35,H24)</f>
        <v>3828.5094385337547</v>
      </c>
      <c r="I37" s="714">
        <f t="shared" si="17"/>
        <v>4026.7600520234291</v>
      </c>
      <c r="J37" s="714">
        <f t="shared" si="17"/>
        <v>3825.4251780992945</v>
      </c>
      <c r="K37" s="714">
        <f t="shared" si="17"/>
        <v>4197.4695230420102</v>
      </c>
      <c r="L37" s="714">
        <f t="shared" si="17"/>
        <v>4196.1120140479688</v>
      </c>
      <c r="M37" s="714">
        <f t="shared" si="17"/>
        <v>2941.4587614679303</v>
      </c>
      <c r="N37" s="714">
        <f t="shared" si="17"/>
        <v>2919.2173341095704</v>
      </c>
      <c r="O37" s="714">
        <f t="shared" si="17"/>
        <v>3055.8478993417589</v>
      </c>
      <c r="P37" s="714">
        <f t="shared" si="17"/>
        <v>3068.0437601442186</v>
      </c>
      <c r="Q37" s="714">
        <f t="shared" si="17"/>
        <v>2523.5631927425029</v>
      </c>
      <c r="R37" s="714">
        <f t="shared" si="17"/>
        <v>2523.5631927425029</v>
      </c>
      <c r="S37" s="714">
        <f t="shared" si="17"/>
        <v>2523.5631927425029</v>
      </c>
      <c r="T37" s="714">
        <f t="shared" si="17"/>
        <v>2523.5631927425029</v>
      </c>
      <c r="U37" s="714">
        <f t="shared" si="17"/>
        <v>2523.5631927425029</v>
      </c>
      <c r="V37" s="714">
        <f t="shared" si="17"/>
        <v>2523.5631927425029</v>
      </c>
      <c r="W37" s="714">
        <f t="shared" si="17"/>
        <v>2523.5631927425029</v>
      </c>
      <c r="X37" s="714">
        <f t="shared" si="17"/>
        <v>2523.5631927425029</v>
      </c>
      <c r="Y37" s="714">
        <f t="shared" si="17"/>
        <v>2523.5631927425029</v>
      </c>
      <c r="Z37" s="714">
        <f t="shared" si="17"/>
        <v>2523.5631927425029</v>
      </c>
      <c r="AA37" s="714">
        <f t="shared" si="17"/>
        <v>2523.5631927425029</v>
      </c>
      <c r="AB37" s="714">
        <f t="shared" si="17"/>
        <v>2523.5631927425029</v>
      </c>
      <c r="AC37" s="714">
        <f t="shared" si="17"/>
        <v>2523.5631927425029</v>
      </c>
      <c r="AD37" s="714">
        <f t="shared" si="17"/>
        <v>2523.5631927425029</v>
      </c>
      <c r="AE37" s="714">
        <f t="shared" si="17"/>
        <v>2523.5631927425029</v>
      </c>
      <c r="AF37" s="715"/>
      <c r="AG37" s="310"/>
      <c r="AH37" s="714">
        <f>SUM(AH26:AH35,AH24)</f>
        <v>3954.7407026474048</v>
      </c>
      <c r="AI37" s="714">
        <f t="shared" ref="AI37:AM37" si="18">SUM(AI26:AI35,AI24)</f>
        <v>3431.0121269528954</v>
      </c>
      <c r="AJ37" s="714">
        <f t="shared" si="18"/>
        <v>2720.3882919158359</v>
      </c>
      <c r="AK37" s="714">
        <f t="shared" si="18"/>
        <v>2523.5631927425047</v>
      </c>
      <c r="AL37" s="714">
        <f t="shared" si="18"/>
        <v>2523.5631927425047</v>
      </c>
      <c r="AM37" s="714">
        <f t="shared" si="18"/>
        <v>2523.5631927425047</v>
      </c>
      <c r="AN37"/>
    </row>
    <row r="38" spans="1:40">
      <c r="C38" s="2"/>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H38" s="659"/>
      <c r="AI38" s="659"/>
      <c r="AJ38" s="659"/>
      <c r="AK38" s="659"/>
      <c r="AL38" s="659"/>
      <c r="AM38" s="659"/>
    </row>
    <row r="39" spans="1:40"/>
    <row r="40" spans="1:40">
      <c r="B40" s="732" t="s">
        <v>853</v>
      </c>
      <c r="C40" s="730"/>
      <c r="D40" s="730"/>
      <c r="E40" s="730"/>
      <c r="F40" s="730"/>
      <c r="G40" s="730"/>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row>
    <row r="41" spans="1:40">
      <c r="D41" s="2"/>
    </row>
    <row r="42" spans="1:40" ht="15" thickBot="1">
      <c r="D42" s="733" t="s">
        <v>854</v>
      </c>
      <c r="E42" s="733" t="s">
        <v>855</v>
      </c>
      <c r="F42" s="733" t="s">
        <v>856</v>
      </c>
      <c r="G42" s="733" t="s">
        <v>857</v>
      </c>
      <c r="H42" s="733" t="s">
        <v>858</v>
      </c>
    </row>
    <row r="43" spans="1:40">
      <c r="C43" s="469" t="s">
        <v>859</v>
      </c>
      <c r="D43" s="734">
        <v>0.42236314431220601</v>
      </c>
      <c r="E43" s="734">
        <v>0.168200627489761</v>
      </c>
      <c r="F43" s="734">
        <v>7.695589343490862E-2</v>
      </c>
      <c r="G43" s="734">
        <v>0.33248033476312316</v>
      </c>
      <c r="H43" s="734">
        <f>SUM(D43:G43)</f>
        <v>0.99999999999999867</v>
      </c>
    </row>
    <row r="44" spans="1:40" ht="15" thickBot="1">
      <c r="C44" s="473" t="s">
        <v>860</v>
      </c>
      <c r="D44" s="590">
        <v>0.2863197902373813</v>
      </c>
      <c r="E44" s="590">
        <v>0.22791814202364355</v>
      </c>
      <c r="F44" s="590">
        <v>0.20762786710751649</v>
      </c>
      <c r="G44" s="590">
        <v>0.27813420063146266</v>
      </c>
      <c r="H44" s="590">
        <f>SUM(D44:G44)</f>
        <v>1.000000000000004</v>
      </c>
    </row>
    <row r="45" spans="1:40">
      <c r="D45" s="258"/>
      <c r="E45" s="258"/>
      <c r="F45" s="258"/>
      <c r="G45" s="258"/>
      <c r="H45" s="258"/>
    </row>
    <row r="46" spans="1:40"/>
    <row r="47" spans="1:40">
      <c r="K47" s="2"/>
      <c r="L47" s="2"/>
      <c r="M47" s="2"/>
      <c r="N47" s="2"/>
      <c r="O47" s="2"/>
      <c r="P47" s="2"/>
    </row>
    <row r="48" spans="1:40">
      <c r="J48" s="660"/>
      <c r="K48" s="1"/>
      <c r="L48" s="1"/>
      <c r="M48" s="1"/>
    </row>
    <row r="49" spans="1:40">
      <c r="B49" s="775"/>
      <c r="J49" s="660"/>
      <c r="K49" s="1"/>
      <c r="L49" s="1"/>
      <c r="M49" s="1"/>
    </row>
    <row r="50" spans="1:40">
      <c r="B50" s="775"/>
    </row>
    <row r="51" spans="1:40"/>
    <row r="52" spans="1:40"/>
    <row r="53" spans="1:40" s="15" customFormat="1">
      <c r="A53"/>
      <c r="B53" s="14" t="s">
        <v>362</v>
      </c>
      <c r="C53" s="14"/>
      <c r="G53" s="16"/>
      <c r="H53" s="14"/>
      <c r="AN53" s="10"/>
    </row>
    <row r="54" spans="1:40"/>
  </sheetData>
  <hyperlinks>
    <hyperlink ref="C15" r:id="rId1" xr:uid="{3AAF030E-97BA-42B8-AFD8-073B34F855A3}"/>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F6382-BD1A-4A8A-9C19-D00F02AE566D}">
  <sheetPr codeName="Sheet40">
    <tabColor theme="3"/>
  </sheetPr>
  <dimension ref="A1"/>
  <sheetViews>
    <sheetView showGridLines="0" workbookViewId="0"/>
  </sheetViews>
  <sheetFormatPr defaultRowHeight="14.4"/>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66863-C3BB-4A52-8DC8-54CD782768C1}">
  <sheetPr codeName="Sheet47">
    <tabColor theme="7" tint="0.79998168889431442"/>
  </sheetPr>
  <dimension ref="A1:X554"/>
  <sheetViews>
    <sheetView showGridLines="0" zoomScale="130" zoomScaleNormal="130" workbookViewId="0"/>
  </sheetViews>
  <sheetFormatPr defaultColWidth="0" defaultRowHeight="14.4" zeroHeight="1"/>
  <cols>
    <col min="1" max="6" width="8.6640625" customWidth="1"/>
    <col min="7" max="24" width="0" hidden="1" customWidth="1"/>
    <col min="25" max="16384" width="9.109375" hidden="1"/>
  </cols>
  <sheetData>
    <row r="1" spans="1:2" ht="18">
      <c r="A1" s="59" t="s">
        <v>88</v>
      </c>
    </row>
    <row r="2" spans="1:2"/>
    <row r="3" spans="1:2">
      <c r="A3" t="s">
        <v>861</v>
      </c>
      <c r="B3" t="s">
        <v>862</v>
      </c>
    </row>
    <row r="4" spans="1:2">
      <c r="A4" t="s">
        <v>863</v>
      </c>
      <c r="B4" t="s">
        <v>864</v>
      </c>
    </row>
    <row r="5" spans="1:2">
      <c r="A5" t="s">
        <v>865</v>
      </c>
      <c r="B5" t="s">
        <v>866</v>
      </c>
    </row>
    <row r="6" spans="1:2">
      <c r="A6" t="s">
        <v>867</v>
      </c>
      <c r="B6" t="s">
        <v>868</v>
      </c>
    </row>
    <row r="7" spans="1:2">
      <c r="A7" t="s">
        <v>603</v>
      </c>
      <c r="B7" t="s">
        <v>142</v>
      </c>
    </row>
    <row r="8" spans="1:2">
      <c r="A8" t="s">
        <v>869</v>
      </c>
      <c r="B8" t="s">
        <v>870</v>
      </c>
    </row>
    <row r="9" spans="1:2">
      <c r="A9" t="s">
        <v>871</v>
      </c>
      <c r="B9" t="s">
        <v>872</v>
      </c>
    </row>
    <row r="10" spans="1:2">
      <c r="A10" t="s">
        <v>873</v>
      </c>
    </row>
    <row r="11" spans="1:2"/>
    <row r="12" spans="1:2" ht="15" thickBot="1">
      <c r="A12" s="617" t="s">
        <v>874</v>
      </c>
      <c r="B12" s="617" t="s">
        <v>451</v>
      </c>
    </row>
    <row r="13" spans="1:2">
      <c r="A13" t="s">
        <v>875</v>
      </c>
      <c r="B13" s="11">
        <v>1</v>
      </c>
    </row>
    <row r="14" spans="1:2">
      <c r="A14" t="s">
        <v>876</v>
      </c>
      <c r="B14" s="11">
        <v>2.6</v>
      </c>
    </row>
    <row r="15" spans="1:2">
      <c r="A15" t="s">
        <v>877</v>
      </c>
      <c r="B15" s="11">
        <v>2.2999999999999998</v>
      </c>
    </row>
    <row r="16" spans="1:2">
      <c r="A16" t="s">
        <v>878</v>
      </c>
      <c r="B16" s="11">
        <v>1.7</v>
      </c>
    </row>
    <row r="17" spans="1:2">
      <c r="A17" t="s">
        <v>879</v>
      </c>
      <c r="B17" s="11">
        <v>1</v>
      </c>
    </row>
    <row r="18" spans="1:2">
      <c r="A18" t="s">
        <v>880</v>
      </c>
      <c r="B18" s="11">
        <v>2.5</v>
      </c>
    </row>
    <row r="19" spans="1:2">
      <c r="A19" t="s">
        <v>881</v>
      </c>
      <c r="B19" s="11">
        <v>5.8</v>
      </c>
    </row>
    <row r="20" spans="1:2">
      <c r="A20" t="s">
        <v>882</v>
      </c>
      <c r="B20" s="11">
        <v>5.8</v>
      </c>
    </row>
    <row r="21" spans="1:2">
      <c r="A21" t="s">
        <v>883</v>
      </c>
      <c r="B21" s="11">
        <v>5.6</v>
      </c>
    </row>
    <row r="22" spans="1:2">
      <c r="A22" t="s">
        <v>884</v>
      </c>
      <c r="B22" s="11">
        <v>5.7</v>
      </c>
    </row>
    <row r="23" spans="1:2">
      <c r="A23" t="s">
        <v>885</v>
      </c>
      <c r="B23" s="11">
        <v>6.1</v>
      </c>
    </row>
    <row r="24" spans="1:2">
      <c r="A24" t="s">
        <v>886</v>
      </c>
      <c r="B24" s="11">
        <v>8</v>
      </c>
    </row>
    <row r="25" spans="1:2">
      <c r="A25" t="s">
        <v>887</v>
      </c>
      <c r="B25" s="11">
        <v>8.8000000000000007</v>
      </c>
    </row>
    <row r="26" spans="1:2">
      <c r="A26" t="s">
        <v>888</v>
      </c>
      <c r="B26" s="11">
        <v>9.1999999999999993</v>
      </c>
    </row>
    <row r="27" spans="1:2">
      <c r="A27" t="s">
        <v>889</v>
      </c>
      <c r="B27" s="11">
        <v>8.4</v>
      </c>
    </row>
    <row r="28" spans="1:2">
      <c r="A28" t="s">
        <v>890</v>
      </c>
      <c r="B28" s="11">
        <v>7.7</v>
      </c>
    </row>
    <row r="29" spans="1:2">
      <c r="A29" t="s">
        <v>891</v>
      </c>
      <c r="B29" s="11">
        <v>7.3</v>
      </c>
    </row>
    <row r="30" spans="1:2">
      <c r="A30" t="s">
        <v>892</v>
      </c>
      <c r="B30" s="11">
        <v>6.5</v>
      </c>
    </row>
    <row r="31" spans="1:2">
      <c r="A31" t="s">
        <v>893</v>
      </c>
      <c r="B31" s="11">
        <v>6.3</v>
      </c>
    </row>
    <row r="32" spans="1:2">
      <c r="A32" t="s">
        <v>894</v>
      </c>
      <c r="B32" s="11">
        <v>5</v>
      </c>
    </row>
    <row r="33" spans="1:2">
      <c r="A33" t="s">
        <v>895</v>
      </c>
      <c r="B33" s="11">
        <v>4</v>
      </c>
    </row>
    <row r="34" spans="1:2">
      <c r="A34" t="s">
        <v>896</v>
      </c>
      <c r="B34" s="11">
        <v>3.3</v>
      </c>
    </row>
    <row r="35" spans="1:2">
      <c r="A35" t="s">
        <v>897</v>
      </c>
      <c r="B35" s="11">
        <v>3.1</v>
      </c>
    </row>
    <row r="36" spans="1:2">
      <c r="A36" t="s">
        <v>898</v>
      </c>
      <c r="B36" s="11">
        <v>2.2999999999999998</v>
      </c>
    </row>
    <row r="37" spans="1:2">
      <c r="A37" t="s">
        <v>899</v>
      </c>
      <c r="B37" s="11">
        <v>2.5</v>
      </c>
    </row>
    <row r="38" spans="1:2">
      <c r="A38" t="s">
        <v>900</v>
      </c>
      <c r="B38" s="11">
        <v>2.2000000000000002</v>
      </c>
    </row>
    <row r="39" spans="1:2">
      <c r="A39" t="s">
        <v>901</v>
      </c>
      <c r="B39" s="11">
        <v>2.4</v>
      </c>
    </row>
    <row r="40" spans="1:2">
      <c r="A40" t="s">
        <v>902</v>
      </c>
      <c r="B40" s="11">
        <v>2.4</v>
      </c>
    </row>
    <row r="41" spans="1:2">
      <c r="A41" t="s">
        <v>903</v>
      </c>
      <c r="B41" s="11">
        <v>2.1</v>
      </c>
    </row>
    <row r="42" spans="1:2">
      <c r="A42" t="s">
        <v>904</v>
      </c>
      <c r="B42" s="11">
        <v>2.1</v>
      </c>
    </row>
    <row r="43" spans="1:2">
      <c r="A43" t="s">
        <v>905</v>
      </c>
      <c r="B43" s="11">
        <v>2.4</v>
      </c>
    </row>
    <row r="44" spans="1:2">
      <c r="A44" t="s">
        <v>906</v>
      </c>
      <c r="B44" s="11">
        <v>2.5</v>
      </c>
    </row>
    <row r="45" spans="1:2">
      <c r="A45" t="s">
        <v>907</v>
      </c>
      <c r="B45" s="11">
        <v>2.9</v>
      </c>
    </row>
    <row r="46" spans="1:2">
      <c r="A46" t="s">
        <v>908</v>
      </c>
      <c r="B46" s="11">
        <v>3</v>
      </c>
    </row>
    <row r="47" spans="1:2">
      <c r="A47" t="s">
        <v>909</v>
      </c>
      <c r="B47" s="11">
        <v>3</v>
      </c>
    </row>
    <row r="48" spans="1:2">
      <c r="A48" t="s">
        <v>910</v>
      </c>
      <c r="B48" s="11">
        <v>2.8</v>
      </c>
    </row>
    <row r="49" spans="1:2">
      <c r="A49" t="s">
        <v>911</v>
      </c>
      <c r="B49" s="11">
        <v>2.7</v>
      </c>
    </row>
    <row r="50" spans="1:2">
      <c r="A50" t="s">
        <v>912</v>
      </c>
      <c r="B50" s="11">
        <v>2.9</v>
      </c>
    </row>
    <row r="51" spans="1:2">
      <c r="A51" t="s">
        <v>913</v>
      </c>
      <c r="B51" s="11">
        <v>2.4</v>
      </c>
    </row>
    <row r="52" spans="1:2">
      <c r="A52" t="s">
        <v>914</v>
      </c>
      <c r="B52" s="11">
        <v>2.1</v>
      </c>
    </row>
    <row r="53" spans="1:2">
      <c r="A53" t="s">
        <v>915</v>
      </c>
      <c r="B53" s="11">
        <v>2.2999999999999998</v>
      </c>
    </row>
    <row r="54" spans="1:2">
      <c r="A54" t="s">
        <v>916</v>
      </c>
      <c r="B54" s="11">
        <v>2.1</v>
      </c>
    </row>
    <row r="55" spans="1:2">
      <c r="A55" t="s">
        <v>917</v>
      </c>
      <c r="B55" s="11">
        <v>1.8</v>
      </c>
    </row>
    <row r="56" spans="1:2">
      <c r="A56" t="s">
        <v>918</v>
      </c>
      <c r="B56" s="11">
        <v>2</v>
      </c>
    </row>
    <row r="57" spans="1:2">
      <c r="A57" t="s">
        <v>919</v>
      </c>
      <c r="B57" s="11">
        <v>1.7</v>
      </c>
    </row>
    <row r="58" spans="1:2">
      <c r="A58" t="s">
        <v>920</v>
      </c>
      <c r="B58" s="11">
        <v>1.7</v>
      </c>
    </row>
    <row r="59" spans="1:2">
      <c r="A59" t="s">
        <v>921</v>
      </c>
      <c r="B59" s="11">
        <v>2</v>
      </c>
    </row>
    <row r="60" spans="1:2">
      <c r="A60" t="s">
        <v>922</v>
      </c>
      <c r="B60" s="11">
        <v>1.8</v>
      </c>
    </row>
    <row r="61" spans="1:2">
      <c r="A61" t="s">
        <v>923</v>
      </c>
      <c r="B61" s="11">
        <v>1.6</v>
      </c>
    </row>
    <row r="62" spans="1:2">
      <c r="A62" t="s">
        <v>924</v>
      </c>
      <c r="B62" s="11">
        <v>1.5</v>
      </c>
    </row>
    <row r="63" spans="1:2">
      <c r="A63" t="s">
        <v>925</v>
      </c>
      <c r="B63" s="11">
        <v>1.1000000000000001</v>
      </c>
    </row>
    <row r="64" spans="1:2">
      <c r="A64" t="s">
        <v>926</v>
      </c>
      <c r="B64" s="11">
        <v>1</v>
      </c>
    </row>
    <row r="65" spans="1:2">
      <c r="A65" t="s">
        <v>927</v>
      </c>
      <c r="B65" s="11">
        <v>1.2</v>
      </c>
    </row>
    <row r="66" spans="1:2">
      <c r="A66" t="s">
        <v>928</v>
      </c>
      <c r="B66" s="11">
        <v>1.4</v>
      </c>
    </row>
    <row r="67" spans="1:2">
      <c r="A67" t="s">
        <v>929</v>
      </c>
      <c r="B67" s="11">
        <v>1.3</v>
      </c>
    </row>
    <row r="68" spans="1:2">
      <c r="A68" t="s">
        <v>930</v>
      </c>
      <c r="B68" s="11">
        <v>1.8</v>
      </c>
    </row>
    <row r="69" spans="1:2">
      <c r="A69" t="s">
        <v>931</v>
      </c>
      <c r="B69" s="11">
        <v>1.8</v>
      </c>
    </row>
    <row r="70" spans="1:2">
      <c r="A70" t="s">
        <v>932</v>
      </c>
      <c r="B70" s="11">
        <v>1.4</v>
      </c>
    </row>
    <row r="71" spans="1:2">
      <c r="A71" t="s">
        <v>933</v>
      </c>
      <c r="B71" s="11">
        <v>1.7</v>
      </c>
    </row>
    <row r="72" spans="1:2">
      <c r="A72" t="s">
        <v>934</v>
      </c>
      <c r="B72" s="11">
        <v>1.3</v>
      </c>
    </row>
    <row r="73" spans="1:2">
      <c r="A73" t="s">
        <v>935</v>
      </c>
      <c r="B73" s="11">
        <v>1.3</v>
      </c>
    </row>
    <row r="74" spans="1:2">
      <c r="A74" t="s">
        <v>936</v>
      </c>
      <c r="B74" s="11">
        <v>1.6</v>
      </c>
    </row>
    <row r="75" spans="1:2">
      <c r="A75" t="s">
        <v>937</v>
      </c>
      <c r="B75" s="11">
        <v>1.5</v>
      </c>
    </row>
    <row r="76" spans="1:2">
      <c r="A76" t="s">
        <v>938</v>
      </c>
      <c r="B76" s="11">
        <v>1.3</v>
      </c>
    </row>
    <row r="77" spans="1:2">
      <c r="A77" t="s">
        <v>939</v>
      </c>
      <c r="B77" s="11">
        <v>1.4</v>
      </c>
    </row>
    <row r="78" spans="1:2">
      <c r="A78" t="s">
        <v>940</v>
      </c>
      <c r="B78" s="11">
        <v>1.3</v>
      </c>
    </row>
    <row r="79" spans="1:2">
      <c r="A79" t="s">
        <v>941</v>
      </c>
      <c r="B79" s="11">
        <v>1.3</v>
      </c>
    </row>
    <row r="80" spans="1:2">
      <c r="A80" t="s">
        <v>942</v>
      </c>
      <c r="B80" s="11">
        <v>1.3</v>
      </c>
    </row>
    <row r="81" spans="1:2">
      <c r="A81" t="s">
        <v>943</v>
      </c>
      <c r="B81" s="11">
        <v>1.3</v>
      </c>
    </row>
    <row r="82" spans="1:2">
      <c r="A82" t="s">
        <v>944</v>
      </c>
      <c r="B82" s="11">
        <v>1.5</v>
      </c>
    </row>
    <row r="83" spans="1:2">
      <c r="A83" t="s">
        <v>945</v>
      </c>
      <c r="B83" s="11">
        <v>1.8</v>
      </c>
    </row>
    <row r="84" spans="1:2">
      <c r="A84" t="s">
        <v>946</v>
      </c>
      <c r="B84" s="11">
        <v>1.9</v>
      </c>
    </row>
    <row r="85" spans="1:2">
      <c r="A85" t="s">
        <v>947</v>
      </c>
      <c r="B85" s="11">
        <v>2.4</v>
      </c>
    </row>
    <row r="86" spans="1:2">
      <c r="A86" t="s">
        <v>948</v>
      </c>
      <c r="B86" s="11">
        <v>2.2000000000000002</v>
      </c>
    </row>
    <row r="87" spans="1:2">
      <c r="A87" t="s">
        <v>949</v>
      </c>
      <c r="B87" s="11">
        <v>2.1</v>
      </c>
    </row>
    <row r="88" spans="1:2">
      <c r="A88" t="s">
        <v>950</v>
      </c>
      <c r="B88" s="11">
        <v>2.4</v>
      </c>
    </row>
    <row r="89" spans="1:2">
      <c r="A89" t="s">
        <v>951</v>
      </c>
      <c r="B89" s="11">
        <v>2.5</v>
      </c>
    </row>
    <row r="90" spans="1:2">
      <c r="A90" t="s">
        <v>952</v>
      </c>
      <c r="B90" s="11">
        <v>2.7</v>
      </c>
    </row>
    <row r="91" spans="1:2">
      <c r="A91" t="s">
        <v>953</v>
      </c>
      <c r="B91" s="11">
        <v>2.8</v>
      </c>
    </row>
    <row r="92" spans="1:2">
      <c r="A92" t="s">
        <v>954</v>
      </c>
      <c r="B92" s="11">
        <v>2.6</v>
      </c>
    </row>
    <row r="93" spans="1:2">
      <c r="A93" t="s">
        <v>955</v>
      </c>
      <c r="B93" s="11">
        <v>2</v>
      </c>
    </row>
    <row r="94" spans="1:2">
      <c r="A94" t="s">
        <v>956</v>
      </c>
      <c r="B94" s="11">
        <v>2.2999999999999998</v>
      </c>
    </row>
    <row r="95" spans="1:2">
      <c r="A95" t="s">
        <v>957</v>
      </c>
      <c r="B95" s="11">
        <v>2.5</v>
      </c>
    </row>
    <row r="96" spans="1:2">
      <c r="A96" t="s">
        <v>958</v>
      </c>
      <c r="B96" s="11">
        <v>3.3</v>
      </c>
    </row>
    <row r="97" spans="1:2">
      <c r="A97" t="s">
        <v>959</v>
      </c>
      <c r="B97" s="11">
        <v>4.5</v>
      </c>
    </row>
    <row r="98" spans="1:2">
      <c r="A98" t="s">
        <v>960</v>
      </c>
      <c r="B98" s="11">
        <v>3.7</v>
      </c>
    </row>
    <row r="99" spans="1:2">
      <c r="A99" t="s">
        <v>961</v>
      </c>
      <c r="B99" s="11">
        <v>2.9</v>
      </c>
    </row>
    <row r="100" spans="1:2">
      <c r="A100" t="s">
        <v>962</v>
      </c>
      <c r="B100" s="11">
        <v>2</v>
      </c>
    </row>
    <row r="101" spans="1:2">
      <c r="A101" t="s">
        <v>963</v>
      </c>
      <c r="B101" s="11">
        <v>1.4</v>
      </c>
    </row>
    <row r="102" spans="1:2">
      <c r="A102" t="s">
        <v>964</v>
      </c>
      <c r="B102" s="11">
        <v>1.6</v>
      </c>
    </row>
    <row r="103" spans="1:2">
      <c r="A103" t="s">
        <v>965</v>
      </c>
      <c r="B103" s="11">
        <v>2.4</v>
      </c>
    </row>
    <row r="104" spans="1:2">
      <c r="A104" t="s">
        <v>966</v>
      </c>
      <c r="B104" s="11">
        <v>2.5</v>
      </c>
    </row>
    <row r="105" spans="1:2">
      <c r="A105" t="s">
        <v>967</v>
      </c>
      <c r="B105" s="11">
        <v>2.2999999999999998</v>
      </c>
    </row>
    <row r="106" spans="1:2">
      <c r="A106" t="s">
        <v>968</v>
      </c>
      <c r="B106" s="11">
        <v>2.7</v>
      </c>
    </row>
    <row r="107" spans="1:2">
      <c r="A107" t="s">
        <v>969</v>
      </c>
      <c r="B107" s="11">
        <v>3.5</v>
      </c>
    </row>
    <row r="108" spans="1:2">
      <c r="A108" t="s">
        <v>970</v>
      </c>
      <c r="B108" s="11">
        <v>3.8</v>
      </c>
    </row>
    <row r="109" spans="1:2">
      <c r="A109" t="s">
        <v>971</v>
      </c>
      <c r="B109" s="11">
        <v>4</v>
      </c>
    </row>
    <row r="110" spans="1:2">
      <c r="A110" t="s">
        <v>972</v>
      </c>
      <c r="B110" s="11">
        <v>4</v>
      </c>
    </row>
    <row r="111" spans="1:2">
      <c r="A111" t="s">
        <v>973</v>
      </c>
      <c r="B111" s="11">
        <v>3.1</v>
      </c>
    </row>
    <row r="112" spans="1:2">
      <c r="A112" t="s">
        <v>974</v>
      </c>
      <c r="B112" s="11">
        <v>2.5</v>
      </c>
    </row>
    <row r="113" spans="1:2">
      <c r="A113" t="s">
        <v>975</v>
      </c>
      <c r="B113" s="11">
        <v>2.2000000000000002</v>
      </c>
    </row>
    <row r="114" spans="1:2">
      <c r="A114" t="s">
        <v>976</v>
      </c>
      <c r="B114" s="11">
        <v>2.4</v>
      </c>
    </row>
    <row r="115" spans="1:2">
      <c r="A115" t="s">
        <v>977</v>
      </c>
      <c r="B115" s="11">
        <v>2.5</v>
      </c>
    </row>
    <row r="116" spans="1:2">
      <c r="A116" t="s">
        <v>978</v>
      </c>
      <c r="B116" s="11">
        <v>2.4</v>
      </c>
    </row>
    <row r="117" spans="1:2">
      <c r="A117" t="s">
        <v>979</v>
      </c>
      <c r="B117" s="11">
        <v>2.4</v>
      </c>
    </row>
    <row r="118" spans="1:2">
      <c r="A118" t="s">
        <v>980</v>
      </c>
      <c r="B118" s="11">
        <v>1.9</v>
      </c>
    </row>
    <row r="119" spans="1:2">
      <c r="A119" t="s">
        <v>981</v>
      </c>
      <c r="B119" s="11">
        <v>1.6</v>
      </c>
    </row>
    <row r="120" spans="1:2">
      <c r="A120" t="s">
        <v>982</v>
      </c>
      <c r="B120" s="11">
        <v>1.6</v>
      </c>
    </row>
    <row r="121" spans="1:2">
      <c r="A121" t="s">
        <v>983</v>
      </c>
      <c r="B121" s="11">
        <v>1.5</v>
      </c>
    </row>
    <row r="122" spans="1:2">
      <c r="A122" t="s">
        <v>984</v>
      </c>
      <c r="B122" s="11">
        <v>1.1000000000000001</v>
      </c>
    </row>
    <row r="123" spans="1:2">
      <c r="A123" t="s">
        <v>985</v>
      </c>
      <c r="B123" s="11">
        <v>0.4</v>
      </c>
    </row>
    <row r="124" spans="1:2">
      <c r="A124" t="s">
        <v>986</v>
      </c>
      <c r="B124" s="11">
        <v>0.3</v>
      </c>
    </row>
    <row r="125" spans="1:2">
      <c r="A125" t="s">
        <v>987</v>
      </c>
      <c r="B125" s="11">
        <v>0.4</v>
      </c>
    </row>
    <row r="126" spans="1:2">
      <c r="A126" t="s">
        <v>988</v>
      </c>
      <c r="B126" s="11">
        <v>0.4</v>
      </c>
    </row>
    <row r="127" spans="1:2">
      <c r="A127" t="s">
        <v>989</v>
      </c>
      <c r="B127" s="11">
        <v>0.7</v>
      </c>
    </row>
    <row r="128" spans="1:2">
      <c r="A128" t="s">
        <v>990</v>
      </c>
      <c r="B128" s="11">
        <v>0.7</v>
      </c>
    </row>
    <row r="129" spans="1:2">
      <c r="A129" t="s">
        <v>991</v>
      </c>
      <c r="B129" s="11">
        <v>1</v>
      </c>
    </row>
    <row r="130" spans="1:2">
      <c r="A130" t="s">
        <v>686</v>
      </c>
      <c r="B130" s="11">
        <v>1.5</v>
      </c>
    </row>
    <row r="131" spans="1:2">
      <c r="A131" t="s">
        <v>992</v>
      </c>
      <c r="B131" s="11">
        <v>2.2000000000000002</v>
      </c>
    </row>
    <row r="132" spans="1:2">
      <c r="A132" t="s">
        <v>993</v>
      </c>
      <c r="B132" s="11">
        <v>2.6</v>
      </c>
    </row>
    <row r="133" spans="1:2">
      <c r="A133" t="s">
        <v>994</v>
      </c>
      <c r="B133" s="11">
        <v>2.7</v>
      </c>
    </row>
    <row r="134" spans="1:2">
      <c r="A134" t="s">
        <v>690</v>
      </c>
      <c r="B134" s="11">
        <v>2.8</v>
      </c>
    </row>
    <row r="135" spans="1:2">
      <c r="A135" t="s">
        <v>995</v>
      </c>
      <c r="B135" s="11">
        <v>2.5</v>
      </c>
    </row>
    <row r="136" spans="1:2">
      <c r="A136" t="s">
        <v>996</v>
      </c>
      <c r="B136" s="11">
        <v>2.2000000000000002</v>
      </c>
    </row>
    <row r="137" spans="1:2">
      <c r="A137" t="s">
        <v>997</v>
      </c>
      <c r="B137" s="11">
        <v>2.2999999999999998</v>
      </c>
    </row>
    <row r="138" spans="1:2">
      <c r="A138" t="s">
        <v>694</v>
      </c>
      <c r="B138" s="11">
        <v>2.1</v>
      </c>
    </row>
    <row r="139" spans="1:2">
      <c r="A139" t="s">
        <v>998</v>
      </c>
      <c r="B139" s="11">
        <v>1.8</v>
      </c>
    </row>
    <row r="140" spans="1:2">
      <c r="A140" t="s">
        <v>999</v>
      </c>
      <c r="B140" s="11">
        <v>2</v>
      </c>
    </row>
    <row r="141" spans="1:2">
      <c r="A141" t="s">
        <v>1000</v>
      </c>
      <c r="B141" s="11">
        <v>1.8</v>
      </c>
    </row>
    <row r="142" spans="1:2">
      <c r="A142" t="s">
        <v>698</v>
      </c>
      <c r="B142" s="11">
        <v>1.4</v>
      </c>
    </row>
    <row r="143" spans="1:2">
      <c r="A143" t="s">
        <v>1001</v>
      </c>
      <c r="B143" s="11">
        <v>1.7</v>
      </c>
    </row>
    <row r="144" spans="1:2">
      <c r="A144" t="s">
        <v>1002</v>
      </c>
      <c r="B144" s="11">
        <v>0.8</v>
      </c>
    </row>
    <row r="145" spans="1:2">
      <c r="A145" t="s">
        <v>1003</v>
      </c>
      <c r="B145" s="11">
        <v>0.8</v>
      </c>
    </row>
    <row r="146" spans="1:2">
      <c r="A146" t="s">
        <v>702</v>
      </c>
      <c r="B146" s="11">
        <v>0.8</v>
      </c>
    </row>
    <row r="147" spans="1:2">
      <c r="A147" t="s">
        <v>1004</v>
      </c>
      <c r="B147" s="11">
        <v>0.9</v>
      </c>
    </row>
    <row r="148" spans="1:2">
      <c r="A148" t="s">
        <v>1005</v>
      </c>
      <c r="B148" s="11">
        <v>2.1</v>
      </c>
    </row>
    <row r="149" spans="1:2">
      <c r="A149" t="s">
        <v>1006</v>
      </c>
      <c r="B149" s="11">
        <v>2.7</v>
      </c>
    </row>
    <row r="150" spans="1:2">
      <c r="A150" t="s">
        <v>706</v>
      </c>
      <c r="B150" s="11">
        <v>4.4000000000000004</v>
      </c>
    </row>
    <row r="151" spans="1:2">
      <c r="A151" t="s">
        <v>707</v>
      </c>
      <c r="B151" s="11">
        <v>5.5</v>
      </c>
    </row>
    <row r="152" spans="1:2">
      <c r="A152" t="s">
        <v>1007</v>
      </c>
      <c r="B152" s="11">
        <v>5.7</v>
      </c>
    </row>
    <row r="153" spans="1:2">
      <c r="A153" t="s">
        <v>1008</v>
      </c>
      <c r="B153" s="11">
        <v>5.8</v>
      </c>
    </row>
    <row r="154" spans="1:2">
      <c r="A154" t="s">
        <v>1009</v>
      </c>
      <c r="B154" s="11">
        <v>5.9</v>
      </c>
    </row>
    <row r="155" spans="1:2">
      <c r="A155" t="s">
        <v>1010</v>
      </c>
      <c r="B155" s="11">
        <v>5.6</v>
      </c>
    </row>
    <row r="156" spans="1:2">
      <c r="A156" t="s">
        <v>1011</v>
      </c>
      <c r="B156" s="11">
        <v>5.9</v>
      </c>
    </row>
    <row r="157" spans="1:2">
      <c r="A157" t="s">
        <v>1012</v>
      </c>
      <c r="B157" s="11">
        <v>5.8</v>
      </c>
    </row>
    <row r="158" spans="1:2">
      <c r="A158" t="s">
        <v>1013</v>
      </c>
      <c r="B158" s="11">
        <v>5.7</v>
      </c>
    </row>
    <row r="159" spans="1:2">
      <c r="A159" t="s">
        <v>1014</v>
      </c>
      <c r="B159" s="11">
        <v>5.5</v>
      </c>
    </row>
    <row r="160" spans="1:2">
      <c r="A160" t="s">
        <v>1015</v>
      </c>
      <c r="B160" s="11">
        <v>5.7</v>
      </c>
    </row>
    <row r="161" spans="1:2">
      <c r="A161" t="s">
        <v>1016</v>
      </c>
      <c r="B161" s="11">
        <v>5.8</v>
      </c>
    </row>
    <row r="162" spans="1:2">
      <c r="A162" t="s">
        <v>1017</v>
      </c>
      <c r="B162" s="11">
        <v>5.7</v>
      </c>
    </row>
    <row r="163" spans="1:2">
      <c r="A163" t="s">
        <v>1018</v>
      </c>
      <c r="B163" s="11">
        <v>5.8</v>
      </c>
    </row>
    <row r="164" spans="1:2">
      <c r="A164" t="s">
        <v>1019</v>
      </c>
      <c r="B164" s="11">
        <v>5.9</v>
      </c>
    </row>
    <row r="165" spans="1:2">
      <c r="A165" t="s">
        <v>1020</v>
      </c>
      <c r="B165" s="11">
        <v>6.3</v>
      </c>
    </row>
    <row r="166" spans="1:2">
      <c r="A166" t="s">
        <v>1021</v>
      </c>
      <c r="B166" s="11">
        <v>6.2</v>
      </c>
    </row>
    <row r="167" spans="1:2">
      <c r="A167" t="s">
        <v>1022</v>
      </c>
      <c r="B167" s="11">
        <v>7.7</v>
      </c>
    </row>
    <row r="168" spans="1:2">
      <c r="A168" t="s">
        <v>1023</v>
      </c>
      <c r="B168" s="11">
        <v>8.1999999999999993</v>
      </c>
    </row>
    <row r="169" spans="1:2">
      <c r="A169" t="s">
        <v>1024</v>
      </c>
      <c r="B169" s="11">
        <v>8.1999999999999993</v>
      </c>
    </row>
    <row r="170" spans="1:2">
      <c r="A170" t="s">
        <v>1025</v>
      </c>
      <c r="B170" s="11">
        <v>8.1999999999999993</v>
      </c>
    </row>
    <row r="171" spans="1:2">
      <c r="A171" t="s">
        <v>1026</v>
      </c>
      <c r="B171" s="11">
        <v>8.9</v>
      </c>
    </row>
    <row r="172" spans="1:2">
      <c r="A172" t="s">
        <v>1027</v>
      </c>
      <c r="B172" s="11">
        <v>9.1999999999999993</v>
      </c>
    </row>
    <row r="173" spans="1:2">
      <c r="A173" t="s">
        <v>1028</v>
      </c>
      <c r="B173" s="11">
        <v>9.1999999999999993</v>
      </c>
    </row>
    <row r="174" spans="1:2">
      <c r="A174" t="s">
        <v>1029</v>
      </c>
      <c r="B174" s="11">
        <v>9.1999999999999993</v>
      </c>
    </row>
    <row r="175" spans="1:2">
      <c r="A175" t="s">
        <v>1030</v>
      </c>
      <c r="B175" s="11">
        <v>9.1999999999999993</v>
      </c>
    </row>
    <row r="176" spans="1:2">
      <c r="A176" t="s">
        <v>1031</v>
      </c>
      <c r="B176" s="11">
        <v>8.6</v>
      </c>
    </row>
    <row r="177" spans="1:2">
      <c r="A177" t="s">
        <v>1032</v>
      </c>
      <c r="B177" s="11">
        <v>8.1999999999999993</v>
      </c>
    </row>
    <row r="178" spans="1:2">
      <c r="A178" t="s">
        <v>1033</v>
      </c>
      <c r="B178" s="11">
        <v>8.3000000000000007</v>
      </c>
    </row>
    <row r="179" spans="1:2">
      <c r="A179" t="s">
        <v>1034</v>
      </c>
      <c r="B179" s="11">
        <v>8</v>
      </c>
    </row>
    <row r="180" spans="1:2">
      <c r="A180" t="s">
        <v>1035</v>
      </c>
      <c r="B180" s="11">
        <v>7.5</v>
      </c>
    </row>
    <row r="181" spans="1:2">
      <c r="A181" t="s">
        <v>1036</v>
      </c>
      <c r="B181" s="11">
        <v>7.7</v>
      </c>
    </row>
    <row r="182" spans="1:2">
      <c r="A182" t="s">
        <v>1037</v>
      </c>
      <c r="B182" s="11">
        <v>7.5</v>
      </c>
    </row>
    <row r="183" spans="1:2">
      <c r="A183" t="s">
        <v>1038</v>
      </c>
      <c r="B183" s="11">
        <v>7.5</v>
      </c>
    </row>
    <row r="184" spans="1:2">
      <c r="A184" t="s">
        <v>1039</v>
      </c>
      <c r="B184" s="11">
        <v>6.9</v>
      </c>
    </row>
    <row r="185" spans="1:2">
      <c r="A185" t="s">
        <v>1040</v>
      </c>
      <c r="B185" s="11">
        <v>6.5</v>
      </c>
    </row>
    <row r="186" spans="1:2">
      <c r="A186" t="s">
        <v>1041</v>
      </c>
      <c r="B186" s="11">
        <v>6.5</v>
      </c>
    </row>
    <row r="187" spans="1:2">
      <c r="A187" t="s">
        <v>1042</v>
      </c>
      <c r="B187" s="11">
        <v>6.5</v>
      </c>
    </row>
    <row r="188" spans="1:2">
      <c r="A188" t="s">
        <v>1043</v>
      </c>
      <c r="B188" s="11">
        <v>6.2</v>
      </c>
    </row>
    <row r="189" spans="1:2">
      <c r="A189" t="s">
        <v>1044</v>
      </c>
      <c r="B189" s="11">
        <v>6.3</v>
      </c>
    </row>
    <row r="190" spans="1:2">
      <c r="A190" t="s">
        <v>1045</v>
      </c>
      <c r="B190" s="11">
        <v>6.2</v>
      </c>
    </row>
    <row r="191" spans="1:2">
      <c r="A191" t="s">
        <v>1046</v>
      </c>
      <c r="B191" s="11">
        <v>5.2</v>
      </c>
    </row>
    <row r="192" spans="1:2">
      <c r="A192" t="s">
        <v>1047</v>
      </c>
      <c r="B192" s="11">
        <v>5.0999999999999996</v>
      </c>
    </row>
    <row r="193" spans="1:2">
      <c r="A193" t="s">
        <v>1048</v>
      </c>
      <c r="B193" s="11">
        <v>4.5999999999999996</v>
      </c>
    </row>
    <row r="194" spans="1:2">
      <c r="A194" t="s">
        <v>1049</v>
      </c>
      <c r="B194" s="11">
        <v>4.5</v>
      </c>
    </row>
    <row r="195" spans="1:2">
      <c r="A195" t="s">
        <v>1050</v>
      </c>
      <c r="B195" s="11">
        <v>3.7</v>
      </c>
    </row>
    <row r="196" spans="1:2">
      <c r="A196" t="s">
        <v>1051</v>
      </c>
      <c r="B196" s="11">
        <v>3.7</v>
      </c>
    </row>
    <row r="197" spans="1:2">
      <c r="A197" t="s">
        <v>1052</v>
      </c>
      <c r="B197" s="11">
        <v>3.5</v>
      </c>
    </row>
    <row r="198" spans="1:2">
      <c r="A198" t="s">
        <v>1053</v>
      </c>
      <c r="B198" s="11">
        <v>3.3</v>
      </c>
    </row>
    <row r="199" spans="1:2">
      <c r="A199" t="s">
        <v>1054</v>
      </c>
      <c r="B199" s="11">
        <v>3.2</v>
      </c>
    </row>
    <row r="200" spans="1:2">
      <c r="A200" t="s">
        <v>1055</v>
      </c>
      <c r="B200" s="11">
        <v>3</v>
      </c>
    </row>
    <row r="201" spans="1:2">
      <c r="A201" t="s">
        <v>1056</v>
      </c>
      <c r="B201" s="11">
        <v>3.1</v>
      </c>
    </row>
    <row r="202" spans="1:2">
      <c r="A202" t="s">
        <v>1057</v>
      </c>
      <c r="B202" s="11">
        <v>3.2</v>
      </c>
    </row>
    <row r="203" spans="1:2">
      <c r="A203" t="s">
        <v>1058</v>
      </c>
      <c r="B203" s="11">
        <v>2.6</v>
      </c>
    </row>
    <row r="204" spans="1:2">
      <c r="A204" t="s">
        <v>1059</v>
      </c>
      <c r="B204" s="11">
        <v>2.2999999999999998</v>
      </c>
    </row>
    <row r="205" spans="1:2">
      <c r="A205" t="s">
        <v>1060</v>
      </c>
      <c r="B205" s="11">
        <v>2.2000000000000002</v>
      </c>
    </row>
    <row r="206" spans="1:2">
      <c r="A206" t="s">
        <v>1061</v>
      </c>
      <c r="B206" s="11">
        <v>2.2999999999999998</v>
      </c>
    </row>
    <row r="207" spans="1:2">
      <c r="A207" t="s">
        <v>1062</v>
      </c>
      <c r="B207" s="11">
        <v>2.6</v>
      </c>
    </row>
    <row r="208" spans="1:2">
      <c r="A208" t="s">
        <v>1063</v>
      </c>
      <c r="B208" s="11">
        <v>2.7</v>
      </c>
    </row>
    <row r="209" spans="1:2">
      <c r="A209" t="s">
        <v>1064</v>
      </c>
      <c r="B209" s="11">
        <v>2.4</v>
      </c>
    </row>
    <row r="210" spans="1:2">
      <c r="A210" t="s">
        <v>1065</v>
      </c>
      <c r="B210" s="11">
        <v>2.1</v>
      </c>
    </row>
    <row r="211" spans="1:2">
      <c r="A211" t="s">
        <v>1066</v>
      </c>
      <c r="B211" s="11">
        <v>2.2999999999999998</v>
      </c>
    </row>
    <row r="212" spans="1:2">
      <c r="A212" t="s">
        <v>1067</v>
      </c>
      <c r="B212" s="11">
        <v>2.6</v>
      </c>
    </row>
    <row r="213" spans="1:2">
      <c r="A213" t="s">
        <v>1068</v>
      </c>
      <c r="B213" s="11">
        <v>2.4</v>
      </c>
    </row>
    <row r="214" spans="1:2">
      <c r="A214" t="s">
        <v>1069</v>
      </c>
      <c r="B214" s="11">
        <v>2.2000000000000002</v>
      </c>
    </row>
    <row r="215" spans="1:2">
      <c r="A215" t="s">
        <v>1070</v>
      </c>
      <c r="B215" s="11">
        <v>2.4</v>
      </c>
    </row>
    <row r="216" spans="1:2">
      <c r="A216" t="s">
        <v>1071</v>
      </c>
      <c r="B216" s="11">
        <v>2.4</v>
      </c>
    </row>
    <row r="217" spans="1:2">
      <c r="A217" t="s">
        <v>1072</v>
      </c>
      <c r="B217" s="11">
        <v>2.2999999999999998</v>
      </c>
    </row>
    <row r="218" spans="1:2">
      <c r="A218" t="s">
        <v>1073</v>
      </c>
      <c r="B218" s="11">
        <v>2.1</v>
      </c>
    </row>
    <row r="219" spans="1:2">
      <c r="A219" t="s">
        <v>1074</v>
      </c>
      <c r="B219" s="11">
        <v>2.2000000000000002</v>
      </c>
    </row>
    <row r="220" spans="1:2">
      <c r="A220" t="s">
        <v>1075</v>
      </c>
      <c r="B220" s="11">
        <v>1.9</v>
      </c>
    </row>
    <row r="221" spans="1:2">
      <c r="A221" t="s">
        <v>1076</v>
      </c>
      <c r="B221" s="11">
        <v>1.8</v>
      </c>
    </row>
    <row r="222" spans="1:2">
      <c r="A222" t="s">
        <v>1077</v>
      </c>
      <c r="B222" s="11">
        <v>2.1</v>
      </c>
    </row>
    <row r="223" spans="1:2">
      <c r="A223" t="s">
        <v>1078</v>
      </c>
      <c r="B223" s="11">
        <v>2.2000000000000002</v>
      </c>
    </row>
    <row r="224" spans="1:2">
      <c r="A224" t="s">
        <v>1079</v>
      </c>
      <c r="B224" s="11">
        <v>2.4</v>
      </c>
    </row>
    <row r="225" spans="1:2">
      <c r="A225" t="s">
        <v>1080</v>
      </c>
      <c r="B225" s="11">
        <v>2.2999999999999998</v>
      </c>
    </row>
    <row r="226" spans="1:2">
      <c r="A226" t="s">
        <v>1081</v>
      </c>
      <c r="B226" s="11">
        <v>2.4</v>
      </c>
    </row>
    <row r="227" spans="1:2">
      <c r="A227" t="s">
        <v>1082</v>
      </c>
      <c r="B227" s="11">
        <v>2.2999999999999998</v>
      </c>
    </row>
    <row r="228" spans="1:2">
      <c r="A228" t="s">
        <v>1083</v>
      </c>
      <c r="B228" s="11">
        <v>2.6</v>
      </c>
    </row>
    <row r="229" spans="1:2">
      <c r="A229" t="s">
        <v>1084</v>
      </c>
      <c r="B229" s="11">
        <v>2.7</v>
      </c>
    </row>
    <row r="230" spans="1:2">
      <c r="A230" t="s">
        <v>1085</v>
      </c>
      <c r="B230" s="11">
        <v>2.8</v>
      </c>
    </row>
    <row r="231" spans="1:2">
      <c r="A231" t="s">
        <v>1086</v>
      </c>
      <c r="B231" s="11">
        <v>2.7</v>
      </c>
    </row>
    <row r="232" spans="1:2">
      <c r="A232" t="s">
        <v>1087</v>
      </c>
      <c r="B232" s="11">
        <v>3</v>
      </c>
    </row>
    <row r="233" spans="1:2">
      <c r="A233" t="s">
        <v>1088</v>
      </c>
      <c r="B233" s="11">
        <v>3</v>
      </c>
    </row>
    <row r="234" spans="1:2">
      <c r="A234" t="s">
        <v>1089</v>
      </c>
      <c r="B234" s="11">
        <v>2.9</v>
      </c>
    </row>
    <row r="235" spans="1:2">
      <c r="A235" t="s">
        <v>1090</v>
      </c>
      <c r="B235" s="11">
        <v>3.1</v>
      </c>
    </row>
    <row r="236" spans="1:2">
      <c r="A236" t="s">
        <v>1091</v>
      </c>
      <c r="B236" s="11">
        <v>2.9</v>
      </c>
    </row>
    <row r="237" spans="1:2">
      <c r="A237" t="s">
        <v>1092</v>
      </c>
      <c r="B237" s="11">
        <v>3</v>
      </c>
    </row>
    <row r="238" spans="1:2">
      <c r="A238" t="s">
        <v>1093</v>
      </c>
      <c r="B238" s="11">
        <v>3</v>
      </c>
    </row>
    <row r="239" spans="1:2">
      <c r="A239" t="s">
        <v>1094</v>
      </c>
      <c r="B239" s="11">
        <v>2.8</v>
      </c>
    </row>
    <row r="240" spans="1:2">
      <c r="A240" t="s">
        <v>1095</v>
      </c>
      <c r="B240" s="11">
        <v>2.8</v>
      </c>
    </row>
    <row r="241" spans="1:2">
      <c r="A241" t="s">
        <v>1096</v>
      </c>
      <c r="B241" s="11">
        <v>2.8</v>
      </c>
    </row>
    <row r="242" spans="1:2">
      <c r="A242" t="s">
        <v>1097</v>
      </c>
      <c r="B242" s="11">
        <v>2.7</v>
      </c>
    </row>
    <row r="243" spans="1:2">
      <c r="A243" t="s">
        <v>1098</v>
      </c>
      <c r="B243" s="11">
        <v>2.7</v>
      </c>
    </row>
    <row r="244" spans="1:2">
      <c r="A244" t="s">
        <v>1099</v>
      </c>
      <c r="B244" s="11">
        <v>2.7</v>
      </c>
    </row>
    <row r="245" spans="1:2">
      <c r="A245" t="s">
        <v>1100</v>
      </c>
      <c r="B245" s="11">
        <v>3</v>
      </c>
    </row>
    <row r="246" spans="1:2">
      <c r="A246" t="s">
        <v>1101</v>
      </c>
      <c r="B246" s="11">
        <v>3.1</v>
      </c>
    </row>
    <row r="247" spans="1:2">
      <c r="A247" t="s">
        <v>1102</v>
      </c>
      <c r="B247" s="11">
        <v>2.8</v>
      </c>
    </row>
    <row r="248" spans="1:2">
      <c r="A248" t="s">
        <v>1103</v>
      </c>
      <c r="B248" s="11">
        <v>2.6</v>
      </c>
    </row>
    <row r="249" spans="1:2">
      <c r="A249" t="s">
        <v>1104</v>
      </c>
      <c r="B249" s="11">
        <v>2.4</v>
      </c>
    </row>
    <row r="250" spans="1:2">
      <c r="A250" t="s">
        <v>1105</v>
      </c>
      <c r="B250" s="11">
        <v>2.2000000000000002</v>
      </c>
    </row>
    <row r="251" spans="1:2">
      <c r="A251" t="s">
        <v>1106</v>
      </c>
      <c r="B251" s="11">
        <v>2.1</v>
      </c>
    </row>
    <row r="252" spans="1:2">
      <c r="A252" t="s">
        <v>1107</v>
      </c>
      <c r="B252" s="11">
        <v>2.1</v>
      </c>
    </row>
    <row r="253" spans="1:2">
      <c r="A253" t="s">
        <v>1108</v>
      </c>
      <c r="B253" s="11">
        <v>2.1</v>
      </c>
    </row>
    <row r="254" spans="1:2">
      <c r="A254" t="s">
        <v>1109</v>
      </c>
      <c r="B254" s="11">
        <v>2.4</v>
      </c>
    </row>
    <row r="255" spans="1:2">
      <c r="A255" t="s">
        <v>1110</v>
      </c>
      <c r="B255" s="11">
        <v>2.2999999999999998</v>
      </c>
    </row>
    <row r="256" spans="1:2">
      <c r="A256" t="s">
        <v>1111</v>
      </c>
      <c r="B256" s="11">
        <v>2.2000000000000002</v>
      </c>
    </row>
    <row r="257" spans="1:2">
      <c r="A257" t="s">
        <v>1112</v>
      </c>
      <c r="B257" s="11">
        <v>2.2000000000000002</v>
      </c>
    </row>
    <row r="258" spans="1:2">
      <c r="A258" t="s">
        <v>1113</v>
      </c>
      <c r="B258" s="11">
        <v>2.1</v>
      </c>
    </row>
    <row r="259" spans="1:2">
      <c r="A259" t="s">
        <v>1114</v>
      </c>
      <c r="B259" s="11">
        <v>1.9</v>
      </c>
    </row>
    <row r="260" spans="1:2">
      <c r="A260" t="s">
        <v>1115</v>
      </c>
      <c r="B260" s="11">
        <v>1.8</v>
      </c>
    </row>
    <row r="261" spans="1:2">
      <c r="A261" t="s">
        <v>1116</v>
      </c>
      <c r="B261" s="11">
        <v>1.8</v>
      </c>
    </row>
    <row r="262" spans="1:2">
      <c r="A262" t="s">
        <v>1117</v>
      </c>
      <c r="B262" s="11">
        <v>1.9</v>
      </c>
    </row>
    <row r="263" spans="1:2">
      <c r="A263" t="s">
        <v>1118</v>
      </c>
      <c r="B263" s="11">
        <v>2.1</v>
      </c>
    </row>
    <row r="264" spans="1:2">
      <c r="A264" t="s">
        <v>1119</v>
      </c>
      <c r="B264" s="11">
        <v>2.2000000000000002</v>
      </c>
    </row>
    <row r="265" spans="1:2">
      <c r="A265" t="s">
        <v>1120</v>
      </c>
      <c r="B265" s="11">
        <v>1.9</v>
      </c>
    </row>
    <row r="266" spans="1:2">
      <c r="A266" t="s">
        <v>1121</v>
      </c>
      <c r="B266" s="11">
        <v>1.7</v>
      </c>
    </row>
    <row r="267" spans="1:2">
      <c r="A267" t="s">
        <v>1122</v>
      </c>
      <c r="B267" s="11">
        <v>1.6</v>
      </c>
    </row>
    <row r="268" spans="1:2">
      <c r="A268" t="s">
        <v>1123</v>
      </c>
      <c r="B268" s="11">
        <v>1.7</v>
      </c>
    </row>
    <row r="269" spans="1:2">
      <c r="A269" t="s">
        <v>1124</v>
      </c>
      <c r="B269" s="11">
        <v>1.6</v>
      </c>
    </row>
    <row r="270" spans="1:2">
      <c r="A270" t="s">
        <v>1125</v>
      </c>
      <c r="B270" s="11">
        <v>1.7</v>
      </c>
    </row>
    <row r="271" spans="1:2">
      <c r="A271" t="s">
        <v>1126</v>
      </c>
      <c r="B271" s="11">
        <v>1.9</v>
      </c>
    </row>
    <row r="272" spans="1:2">
      <c r="A272" t="s">
        <v>1127</v>
      </c>
      <c r="B272" s="11">
        <v>2</v>
      </c>
    </row>
    <row r="273" spans="1:2">
      <c r="A273" t="s">
        <v>1128</v>
      </c>
      <c r="B273" s="11">
        <v>1.9</v>
      </c>
    </row>
    <row r="274" spans="1:2">
      <c r="A274" t="s">
        <v>1129</v>
      </c>
      <c r="B274" s="11">
        <v>2.1</v>
      </c>
    </row>
    <row r="275" spans="1:2">
      <c r="A275" t="s">
        <v>1130</v>
      </c>
      <c r="B275" s="11">
        <v>2</v>
      </c>
    </row>
    <row r="276" spans="1:2">
      <c r="A276" t="s">
        <v>1131</v>
      </c>
      <c r="B276" s="11">
        <v>1.7</v>
      </c>
    </row>
    <row r="277" spans="1:2">
      <c r="A277" t="s">
        <v>1132</v>
      </c>
      <c r="B277" s="11">
        <v>1.8</v>
      </c>
    </row>
    <row r="278" spans="1:2">
      <c r="A278" t="s">
        <v>1133</v>
      </c>
      <c r="B278" s="11">
        <v>1.7</v>
      </c>
    </row>
    <row r="279" spans="1:2">
      <c r="A279" t="s">
        <v>1134</v>
      </c>
      <c r="B279" s="11">
        <v>1.6</v>
      </c>
    </row>
    <row r="280" spans="1:2">
      <c r="A280" t="s">
        <v>1135</v>
      </c>
      <c r="B280" s="11">
        <v>1.6</v>
      </c>
    </row>
    <row r="281" spans="1:2">
      <c r="A281" t="s">
        <v>1136</v>
      </c>
      <c r="B281" s="11">
        <v>1.5</v>
      </c>
    </row>
    <row r="282" spans="1:2">
      <c r="A282" t="s">
        <v>1137</v>
      </c>
      <c r="B282" s="11">
        <v>1.5</v>
      </c>
    </row>
    <row r="283" spans="1:2">
      <c r="A283" t="s">
        <v>1138</v>
      </c>
      <c r="B283" s="11">
        <v>1.5</v>
      </c>
    </row>
    <row r="284" spans="1:2">
      <c r="A284" t="s">
        <v>1139</v>
      </c>
      <c r="B284" s="11">
        <v>1.2</v>
      </c>
    </row>
    <row r="285" spans="1:2">
      <c r="A285" t="s">
        <v>1140</v>
      </c>
      <c r="B285" s="11">
        <v>1.2</v>
      </c>
    </row>
    <row r="286" spans="1:2">
      <c r="A286" t="s">
        <v>1141</v>
      </c>
      <c r="B286" s="11">
        <v>1</v>
      </c>
    </row>
    <row r="287" spans="1:2">
      <c r="A287" t="s">
        <v>1142</v>
      </c>
      <c r="B287" s="11">
        <v>0.9</v>
      </c>
    </row>
    <row r="288" spans="1:2">
      <c r="A288" t="s">
        <v>1143</v>
      </c>
      <c r="B288" s="11">
        <v>1</v>
      </c>
    </row>
    <row r="289" spans="1:2">
      <c r="A289" t="s">
        <v>1144</v>
      </c>
      <c r="B289" s="11">
        <v>1.2</v>
      </c>
    </row>
    <row r="290" spans="1:2">
      <c r="A290" t="s">
        <v>1145</v>
      </c>
      <c r="B290" s="11">
        <v>1.2</v>
      </c>
    </row>
    <row r="291" spans="1:2">
      <c r="A291" t="s">
        <v>1146</v>
      </c>
      <c r="B291" s="11">
        <v>1</v>
      </c>
    </row>
    <row r="292" spans="1:2">
      <c r="A292" t="s">
        <v>1147</v>
      </c>
      <c r="B292" s="11">
        <v>1.3</v>
      </c>
    </row>
    <row r="293" spans="1:2">
      <c r="A293" t="s">
        <v>1148</v>
      </c>
      <c r="B293" s="11">
        <v>1.4</v>
      </c>
    </row>
    <row r="294" spans="1:2">
      <c r="A294" t="s">
        <v>1149</v>
      </c>
      <c r="B294" s="11">
        <v>1.5</v>
      </c>
    </row>
    <row r="295" spans="1:2">
      <c r="A295" t="s">
        <v>1150</v>
      </c>
      <c r="B295" s="11">
        <v>1.2</v>
      </c>
    </row>
    <row r="296" spans="1:2">
      <c r="A296" t="s">
        <v>1151</v>
      </c>
      <c r="B296" s="11">
        <v>1.2</v>
      </c>
    </row>
    <row r="297" spans="1:2">
      <c r="A297" t="s">
        <v>1152</v>
      </c>
      <c r="B297" s="11">
        <v>1.2</v>
      </c>
    </row>
    <row r="298" spans="1:2">
      <c r="A298" t="s">
        <v>1153</v>
      </c>
      <c r="B298" s="11">
        <v>1.3</v>
      </c>
    </row>
    <row r="299" spans="1:2">
      <c r="A299" t="s">
        <v>1154</v>
      </c>
      <c r="B299" s="11">
        <v>1.5</v>
      </c>
    </row>
    <row r="300" spans="1:2">
      <c r="A300" t="s">
        <v>1155</v>
      </c>
      <c r="B300" s="11">
        <v>1.9</v>
      </c>
    </row>
    <row r="301" spans="1:2">
      <c r="A301" t="s">
        <v>1156</v>
      </c>
      <c r="B301" s="11">
        <v>1.9</v>
      </c>
    </row>
    <row r="302" spans="1:2">
      <c r="A302" t="s">
        <v>1157</v>
      </c>
      <c r="B302" s="11">
        <v>1.7</v>
      </c>
    </row>
    <row r="303" spans="1:2">
      <c r="A303" t="s">
        <v>1158</v>
      </c>
      <c r="B303" s="11">
        <v>2.1</v>
      </c>
    </row>
    <row r="304" spans="1:2">
      <c r="A304" t="s">
        <v>1159</v>
      </c>
      <c r="B304" s="11">
        <v>1.7</v>
      </c>
    </row>
    <row r="305" spans="1:2">
      <c r="A305" t="s">
        <v>1160</v>
      </c>
      <c r="B305" s="11">
        <v>1.6</v>
      </c>
    </row>
    <row r="306" spans="1:2">
      <c r="A306" t="s">
        <v>1161</v>
      </c>
      <c r="B306" s="11">
        <v>1.2</v>
      </c>
    </row>
    <row r="307" spans="1:2">
      <c r="A307" t="s">
        <v>1162</v>
      </c>
      <c r="B307" s="11">
        <v>1.4</v>
      </c>
    </row>
    <row r="308" spans="1:2">
      <c r="A308" t="s">
        <v>1163</v>
      </c>
      <c r="B308" s="11">
        <v>1.8</v>
      </c>
    </row>
    <row r="309" spans="1:2">
      <c r="A309" t="s">
        <v>1164</v>
      </c>
      <c r="B309" s="11">
        <v>1.7</v>
      </c>
    </row>
    <row r="310" spans="1:2">
      <c r="A310" t="s">
        <v>1165</v>
      </c>
      <c r="B310" s="11">
        <v>1.7</v>
      </c>
    </row>
    <row r="311" spans="1:2">
      <c r="A311" t="s">
        <v>1166</v>
      </c>
      <c r="B311" s="11">
        <v>1.6</v>
      </c>
    </row>
    <row r="312" spans="1:2">
      <c r="A312" t="s">
        <v>1167</v>
      </c>
      <c r="B312" s="11">
        <v>1.2</v>
      </c>
    </row>
    <row r="313" spans="1:2">
      <c r="A313" t="s">
        <v>1168</v>
      </c>
      <c r="B313" s="11">
        <v>1.1000000000000001</v>
      </c>
    </row>
    <row r="314" spans="1:2">
      <c r="A314" t="s">
        <v>1169</v>
      </c>
      <c r="B314" s="11">
        <v>1.4</v>
      </c>
    </row>
    <row r="315" spans="1:2">
      <c r="A315" t="s">
        <v>1170</v>
      </c>
      <c r="B315" s="11">
        <v>1.3</v>
      </c>
    </row>
    <row r="316" spans="1:2">
      <c r="A316" t="s">
        <v>1171</v>
      </c>
      <c r="B316" s="11">
        <v>1.2</v>
      </c>
    </row>
    <row r="317" spans="1:2">
      <c r="A317" t="s">
        <v>1172</v>
      </c>
      <c r="B317" s="11">
        <v>1.5</v>
      </c>
    </row>
    <row r="318" spans="1:2">
      <c r="A318" t="s">
        <v>1173</v>
      </c>
      <c r="B318" s="11">
        <v>1.6</v>
      </c>
    </row>
    <row r="319" spans="1:2">
      <c r="A319" t="s">
        <v>1174</v>
      </c>
      <c r="B319" s="11">
        <v>1.7</v>
      </c>
    </row>
    <row r="320" spans="1:2">
      <c r="A320" t="s">
        <v>1175</v>
      </c>
      <c r="B320" s="11">
        <v>1.4</v>
      </c>
    </row>
    <row r="321" spans="1:2">
      <c r="A321" t="s">
        <v>1176</v>
      </c>
      <c r="B321" s="11">
        <v>1.6</v>
      </c>
    </row>
    <row r="322" spans="1:2">
      <c r="A322" t="s">
        <v>1177</v>
      </c>
      <c r="B322" s="11">
        <v>1.6</v>
      </c>
    </row>
    <row r="323" spans="1:2">
      <c r="A323" t="s">
        <v>1178</v>
      </c>
      <c r="B323" s="11">
        <v>1.5</v>
      </c>
    </row>
    <row r="324" spans="1:2">
      <c r="A324" t="s">
        <v>1179</v>
      </c>
      <c r="B324" s="11">
        <v>1.3</v>
      </c>
    </row>
    <row r="325" spans="1:2">
      <c r="A325" t="s">
        <v>1180</v>
      </c>
      <c r="B325" s="11">
        <v>1.2</v>
      </c>
    </row>
    <row r="326" spans="1:2">
      <c r="A326" t="s">
        <v>1181</v>
      </c>
      <c r="B326" s="11">
        <v>1.3</v>
      </c>
    </row>
    <row r="327" spans="1:2">
      <c r="A327" t="s">
        <v>1182</v>
      </c>
      <c r="B327" s="11">
        <v>1.4</v>
      </c>
    </row>
    <row r="328" spans="1:2">
      <c r="A328" t="s">
        <v>1183</v>
      </c>
      <c r="B328" s="11">
        <v>1.3</v>
      </c>
    </row>
    <row r="329" spans="1:2">
      <c r="A329" t="s">
        <v>1184</v>
      </c>
      <c r="B329" s="11">
        <v>1.3</v>
      </c>
    </row>
    <row r="330" spans="1:2">
      <c r="A330" t="s">
        <v>1185</v>
      </c>
      <c r="B330" s="11">
        <v>1.3</v>
      </c>
    </row>
    <row r="331" spans="1:2">
      <c r="A331" t="s">
        <v>1186</v>
      </c>
      <c r="B331" s="11">
        <v>1.3</v>
      </c>
    </row>
    <row r="332" spans="1:2">
      <c r="A332" t="s">
        <v>1187</v>
      </c>
      <c r="B332" s="11">
        <v>1.5</v>
      </c>
    </row>
    <row r="333" spans="1:2">
      <c r="A333" t="s">
        <v>1188</v>
      </c>
      <c r="B333" s="11">
        <v>1.4</v>
      </c>
    </row>
    <row r="334" spans="1:2">
      <c r="A334" t="s">
        <v>1189</v>
      </c>
      <c r="B334" s="11">
        <v>1.2</v>
      </c>
    </row>
    <row r="335" spans="1:2">
      <c r="A335" t="s">
        <v>1190</v>
      </c>
      <c r="B335" s="11">
        <v>1.1000000000000001</v>
      </c>
    </row>
    <row r="336" spans="1:2">
      <c r="A336" t="s">
        <v>1191</v>
      </c>
      <c r="B336" s="11">
        <v>1.4</v>
      </c>
    </row>
    <row r="337" spans="1:2">
      <c r="A337" t="s">
        <v>1192</v>
      </c>
      <c r="B337" s="11">
        <v>1.5</v>
      </c>
    </row>
    <row r="338" spans="1:2">
      <c r="A338" t="s">
        <v>1193</v>
      </c>
      <c r="B338" s="11">
        <v>1.4</v>
      </c>
    </row>
    <row r="339" spans="1:2">
      <c r="A339" t="s">
        <v>1194</v>
      </c>
      <c r="B339" s="11">
        <v>1.4</v>
      </c>
    </row>
    <row r="340" spans="1:2">
      <c r="A340" t="s">
        <v>1195</v>
      </c>
      <c r="B340" s="11">
        <v>1.2</v>
      </c>
    </row>
    <row r="341" spans="1:2">
      <c r="A341" t="s">
        <v>1196</v>
      </c>
      <c r="B341" s="11">
        <v>1.3</v>
      </c>
    </row>
    <row r="342" spans="1:2">
      <c r="A342" t="s">
        <v>1197</v>
      </c>
      <c r="B342" s="11">
        <v>1.5</v>
      </c>
    </row>
    <row r="343" spans="1:2">
      <c r="A343" t="s">
        <v>1198</v>
      </c>
      <c r="B343" s="11">
        <v>1.8</v>
      </c>
    </row>
    <row r="344" spans="1:2">
      <c r="A344" t="s">
        <v>1199</v>
      </c>
      <c r="B344" s="11">
        <v>1.7</v>
      </c>
    </row>
    <row r="345" spans="1:2">
      <c r="A345" t="s">
        <v>1200</v>
      </c>
      <c r="B345" s="11">
        <v>1.7</v>
      </c>
    </row>
    <row r="346" spans="1:2">
      <c r="A346" t="s">
        <v>1201</v>
      </c>
      <c r="B346" s="11">
        <v>2</v>
      </c>
    </row>
    <row r="347" spans="1:2">
      <c r="A347" t="s">
        <v>1202</v>
      </c>
      <c r="B347" s="11">
        <v>1.9</v>
      </c>
    </row>
    <row r="348" spans="1:2">
      <c r="A348" t="s">
        <v>1203</v>
      </c>
      <c r="B348" s="11">
        <v>1.9</v>
      </c>
    </row>
    <row r="349" spans="1:2">
      <c r="A349" t="s">
        <v>1204</v>
      </c>
      <c r="B349" s="11">
        <v>2</v>
      </c>
    </row>
    <row r="350" spans="1:2">
      <c r="A350" t="s">
        <v>1205</v>
      </c>
      <c r="B350" s="11">
        <v>2.2999999999999998</v>
      </c>
    </row>
    <row r="351" spans="1:2">
      <c r="A351" t="s">
        <v>1206</v>
      </c>
      <c r="B351" s="11">
        <v>2.4</v>
      </c>
    </row>
    <row r="352" spans="1:2">
      <c r="A352" t="s">
        <v>1207</v>
      </c>
      <c r="B352" s="11">
        <v>2.5</v>
      </c>
    </row>
    <row r="353" spans="1:2">
      <c r="A353" t="s">
        <v>1208</v>
      </c>
      <c r="B353" s="11">
        <v>2.4</v>
      </c>
    </row>
    <row r="354" spans="1:2">
      <c r="A354" t="s">
        <v>1209</v>
      </c>
      <c r="B354" s="11">
        <v>2.2000000000000002</v>
      </c>
    </row>
    <row r="355" spans="1:2">
      <c r="A355" t="s">
        <v>1210</v>
      </c>
      <c r="B355" s="11">
        <v>2.1</v>
      </c>
    </row>
    <row r="356" spans="1:2">
      <c r="A356" t="s">
        <v>1211</v>
      </c>
      <c r="B356" s="11">
        <v>2.2000000000000002</v>
      </c>
    </row>
    <row r="357" spans="1:2">
      <c r="A357" t="s">
        <v>1212</v>
      </c>
      <c r="B357" s="11">
        <v>2.2000000000000002</v>
      </c>
    </row>
    <row r="358" spans="1:2">
      <c r="A358" t="s">
        <v>1213</v>
      </c>
      <c r="B358" s="11">
        <v>2</v>
      </c>
    </row>
    <row r="359" spans="1:2">
      <c r="A359" t="s">
        <v>1214</v>
      </c>
      <c r="B359" s="11">
        <v>2.2000000000000002</v>
      </c>
    </row>
    <row r="360" spans="1:2">
      <c r="A360" t="s">
        <v>1215</v>
      </c>
      <c r="B360" s="11">
        <v>2.4</v>
      </c>
    </row>
    <row r="361" spans="1:2">
      <c r="A361" t="s">
        <v>1216</v>
      </c>
      <c r="B361" s="11">
        <v>2.6</v>
      </c>
    </row>
    <row r="362" spans="1:2">
      <c r="A362" t="s">
        <v>1217</v>
      </c>
      <c r="B362" s="11">
        <v>2.5</v>
      </c>
    </row>
    <row r="363" spans="1:2">
      <c r="A363" t="s">
        <v>1218</v>
      </c>
      <c r="B363" s="11">
        <v>2.6</v>
      </c>
    </row>
    <row r="364" spans="1:2">
      <c r="A364" t="s">
        <v>1219</v>
      </c>
      <c r="B364" s="11">
        <v>2.5</v>
      </c>
    </row>
    <row r="365" spans="1:2">
      <c r="A365" t="s">
        <v>1220</v>
      </c>
      <c r="B365" s="11">
        <v>2.5</v>
      </c>
    </row>
    <row r="366" spans="1:2">
      <c r="A366" t="s">
        <v>1221</v>
      </c>
      <c r="B366" s="11">
        <v>2.8</v>
      </c>
    </row>
    <row r="367" spans="1:2">
      <c r="A367" t="s">
        <v>1222</v>
      </c>
      <c r="B367" s="11">
        <v>2.9</v>
      </c>
    </row>
    <row r="368" spans="1:2">
      <c r="A368" t="s">
        <v>1223</v>
      </c>
      <c r="B368" s="11">
        <v>2.7</v>
      </c>
    </row>
    <row r="369" spans="1:2">
      <c r="A369" t="s">
        <v>1224</v>
      </c>
      <c r="B369" s="11">
        <v>2.7</v>
      </c>
    </row>
    <row r="370" spans="1:2">
      <c r="A370" t="s">
        <v>1225</v>
      </c>
      <c r="B370" s="11">
        <v>2.9</v>
      </c>
    </row>
    <row r="371" spans="1:2">
      <c r="A371" t="s">
        <v>1226</v>
      </c>
      <c r="B371" s="11">
        <v>2.7</v>
      </c>
    </row>
    <row r="372" spans="1:2">
      <c r="A372" t="s">
        <v>1227</v>
      </c>
      <c r="B372" s="11">
        <v>2.5</v>
      </c>
    </row>
    <row r="373" spans="1:2">
      <c r="A373" t="s">
        <v>1228</v>
      </c>
      <c r="B373" s="11">
        <v>2.5</v>
      </c>
    </row>
    <row r="374" spans="1:2">
      <c r="A374" t="s">
        <v>1229</v>
      </c>
      <c r="B374" s="11">
        <v>2</v>
      </c>
    </row>
    <row r="375" spans="1:2">
      <c r="A375" t="s">
        <v>1230</v>
      </c>
      <c r="B375" s="11">
        <v>2</v>
      </c>
    </row>
    <row r="376" spans="1:2">
      <c r="A376" t="s">
        <v>1231</v>
      </c>
      <c r="B376" s="11">
        <v>2</v>
      </c>
    </row>
    <row r="377" spans="1:2">
      <c r="A377" t="s">
        <v>1232</v>
      </c>
      <c r="B377" s="11">
        <v>2.2999999999999998</v>
      </c>
    </row>
    <row r="378" spans="1:2">
      <c r="A378" t="s">
        <v>1233</v>
      </c>
      <c r="B378" s="11">
        <v>2.2000000000000002</v>
      </c>
    </row>
    <row r="379" spans="1:2">
      <c r="A379" t="s">
        <v>1234</v>
      </c>
      <c r="B379" s="11">
        <v>2.2999999999999998</v>
      </c>
    </row>
    <row r="380" spans="1:2">
      <c r="A380" t="s">
        <v>1235</v>
      </c>
      <c r="B380" s="11">
        <v>2.4</v>
      </c>
    </row>
    <row r="381" spans="1:2">
      <c r="A381" t="s">
        <v>1236</v>
      </c>
      <c r="B381" s="11">
        <v>2.6</v>
      </c>
    </row>
    <row r="382" spans="1:2">
      <c r="A382" t="s">
        <v>1237</v>
      </c>
      <c r="B382" s="11">
        <v>2.6</v>
      </c>
    </row>
    <row r="383" spans="1:2">
      <c r="A383" t="s">
        <v>1238</v>
      </c>
      <c r="B383" s="11">
        <v>3</v>
      </c>
    </row>
    <row r="384" spans="1:2">
      <c r="A384" t="s">
        <v>1239</v>
      </c>
      <c r="B384" s="11">
        <v>3.3</v>
      </c>
    </row>
    <row r="385" spans="1:2">
      <c r="A385" t="s">
        <v>1240</v>
      </c>
      <c r="B385" s="11">
        <v>3.7</v>
      </c>
    </row>
    <row r="386" spans="1:2">
      <c r="A386" t="s">
        <v>1241</v>
      </c>
      <c r="B386" s="11">
        <v>4.2</v>
      </c>
    </row>
    <row r="387" spans="1:2">
      <c r="A387" t="s">
        <v>1242</v>
      </c>
      <c r="B387" s="11">
        <v>4.4000000000000004</v>
      </c>
    </row>
    <row r="388" spans="1:2">
      <c r="A388" t="s">
        <v>1243</v>
      </c>
      <c r="B388" s="11">
        <v>4.8</v>
      </c>
    </row>
    <row r="389" spans="1:2">
      <c r="A389" t="s">
        <v>1244</v>
      </c>
      <c r="B389" s="11">
        <v>4.2</v>
      </c>
    </row>
    <row r="390" spans="1:2">
      <c r="A390" t="s">
        <v>1245</v>
      </c>
      <c r="B390" s="11">
        <v>3.8</v>
      </c>
    </row>
    <row r="391" spans="1:2">
      <c r="A391" t="s">
        <v>1246</v>
      </c>
      <c r="B391" s="11">
        <v>3</v>
      </c>
    </row>
    <row r="392" spans="1:2">
      <c r="A392" t="s">
        <v>1247</v>
      </c>
      <c r="B392" s="11">
        <v>2.9</v>
      </c>
    </row>
    <row r="393" spans="1:2">
      <c r="A393" t="s">
        <v>1248</v>
      </c>
      <c r="B393" s="11">
        <v>3.1</v>
      </c>
    </row>
    <row r="394" spans="1:2">
      <c r="A394" t="s">
        <v>1249</v>
      </c>
      <c r="B394" s="11">
        <v>2.8</v>
      </c>
    </row>
    <row r="395" spans="1:2">
      <c r="A395" t="s">
        <v>1250</v>
      </c>
      <c r="B395" s="11">
        <v>2.2999999999999998</v>
      </c>
    </row>
    <row r="396" spans="1:2">
      <c r="A396" t="s">
        <v>1251</v>
      </c>
      <c r="B396" s="11">
        <v>2.1</v>
      </c>
    </row>
    <row r="397" spans="1:2">
      <c r="A397" t="s">
        <v>1252</v>
      </c>
      <c r="B397" s="11">
        <v>1.7</v>
      </c>
    </row>
    <row r="398" spans="1:2">
      <c r="A398" t="s">
        <v>1253</v>
      </c>
      <c r="B398" s="11">
        <v>1.6</v>
      </c>
    </row>
    <row r="399" spans="1:2">
      <c r="A399" t="s">
        <v>1254</v>
      </c>
      <c r="B399" s="11">
        <v>1.4</v>
      </c>
    </row>
    <row r="400" spans="1:2">
      <c r="A400" t="s">
        <v>1255</v>
      </c>
      <c r="B400" s="11">
        <v>1</v>
      </c>
    </row>
    <row r="401" spans="1:2">
      <c r="A401" t="s">
        <v>1256</v>
      </c>
      <c r="B401" s="11">
        <v>1.2</v>
      </c>
    </row>
    <row r="402" spans="1:2">
      <c r="A402" t="s">
        <v>1257</v>
      </c>
      <c r="B402" s="11">
        <v>1.5</v>
      </c>
    </row>
    <row r="403" spans="1:2">
      <c r="A403" t="s">
        <v>1258</v>
      </c>
      <c r="B403" s="11">
        <v>2.1</v>
      </c>
    </row>
    <row r="404" spans="1:2">
      <c r="A404" t="s">
        <v>1259</v>
      </c>
      <c r="B404" s="11">
        <v>2.6</v>
      </c>
    </row>
    <row r="405" spans="1:2">
      <c r="A405" t="s">
        <v>1260</v>
      </c>
      <c r="B405" s="11">
        <v>2.1</v>
      </c>
    </row>
    <row r="406" spans="1:2">
      <c r="A406" t="s">
        <v>1261</v>
      </c>
      <c r="B406" s="11">
        <v>2.4</v>
      </c>
    </row>
    <row r="407" spans="1:2">
      <c r="A407" t="s">
        <v>1262</v>
      </c>
      <c r="B407" s="11">
        <v>2.7</v>
      </c>
    </row>
    <row r="408" spans="1:2">
      <c r="A408" t="s">
        <v>1263</v>
      </c>
      <c r="B408" s="11">
        <v>2.5</v>
      </c>
    </row>
    <row r="409" spans="1:2">
      <c r="A409" t="s">
        <v>1264</v>
      </c>
      <c r="B409" s="11">
        <v>2.4</v>
      </c>
    </row>
    <row r="410" spans="1:2">
      <c r="A410" t="s">
        <v>1265</v>
      </c>
      <c r="B410" s="11">
        <v>2.2999999999999998</v>
      </c>
    </row>
    <row r="411" spans="1:2">
      <c r="A411" t="s">
        <v>1266</v>
      </c>
      <c r="B411" s="11">
        <v>2.4</v>
      </c>
    </row>
    <row r="412" spans="1:2">
      <c r="A412" t="s">
        <v>1267</v>
      </c>
      <c r="B412" s="11">
        <v>2.4</v>
      </c>
    </row>
    <row r="413" spans="1:2">
      <c r="A413" t="s">
        <v>1268</v>
      </c>
      <c r="B413" s="11">
        <v>2.5</v>
      </c>
    </row>
    <row r="414" spans="1:2">
      <c r="A414" t="s">
        <v>1269</v>
      </c>
      <c r="B414" s="11">
        <v>2.6</v>
      </c>
    </row>
    <row r="415" spans="1:2">
      <c r="A415" t="s">
        <v>1270</v>
      </c>
      <c r="B415" s="11">
        <v>3.1</v>
      </c>
    </row>
    <row r="416" spans="1:2">
      <c r="A416" t="s">
        <v>1271</v>
      </c>
      <c r="B416" s="11">
        <v>3.4</v>
      </c>
    </row>
    <row r="417" spans="1:2">
      <c r="A417" t="s">
        <v>1272</v>
      </c>
      <c r="B417" s="11">
        <v>3.7</v>
      </c>
    </row>
    <row r="418" spans="1:2">
      <c r="A418" t="s">
        <v>1273</v>
      </c>
      <c r="B418" s="11">
        <v>3.5</v>
      </c>
    </row>
    <row r="419" spans="1:2">
      <c r="A419" t="s">
        <v>1274</v>
      </c>
      <c r="B419" s="11">
        <v>3.8</v>
      </c>
    </row>
    <row r="420" spans="1:2">
      <c r="A420" t="s">
        <v>1275</v>
      </c>
      <c r="B420" s="11">
        <v>3.8</v>
      </c>
    </row>
    <row r="421" spans="1:2">
      <c r="A421" t="s">
        <v>1276</v>
      </c>
      <c r="B421" s="11">
        <v>3.6</v>
      </c>
    </row>
    <row r="422" spans="1:2">
      <c r="A422" t="s">
        <v>1277</v>
      </c>
      <c r="B422" s="11">
        <v>3.8</v>
      </c>
    </row>
    <row r="423" spans="1:2">
      <c r="A423" t="s">
        <v>1278</v>
      </c>
      <c r="B423" s="11">
        <v>3.9</v>
      </c>
    </row>
    <row r="424" spans="1:2">
      <c r="A424" t="s">
        <v>1279</v>
      </c>
      <c r="B424" s="11">
        <v>4.5</v>
      </c>
    </row>
    <row r="425" spans="1:2">
      <c r="A425" t="s">
        <v>1280</v>
      </c>
      <c r="B425" s="11">
        <v>4.3</v>
      </c>
    </row>
    <row r="426" spans="1:2">
      <c r="A426" t="s">
        <v>1281</v>
      </c>
      <c r="B426" s="11">
        <v>4.0999999999999996</v>
      </c>
    </row>
    <row r="427" spans="1:2">
      <c r="A427" t="s">
        <v>1282</v>
      </c>
      <c r="B427" s="11">
        <v>3.7</v>
      </c>
    </row>
    <row r="428" spans="1:2">
      <c r="A428" t="s">
        <v>1283</v>
      </c>
      <c r="B428" s="11">
        <v>3.2</v>
      </c>
    </row>
    <row r="429" spans="1:2">
      <c r="A429" t="s">
        <v>1284</v>
      </c>
      <c r="B429" s="11">
        <v>3.1</v>
      </c>
    </row>
    <row r="430" spans="1:2">
      <c r="A430" t="s">
        <v>1285</v>
      </c>
      <c r="B430" s="11">
        <v>3.1</v>
      </c>
    </row>
    <row r="431" spans="1:2">
      <c r="A431" t="s">
        <v>1286</v>
      </c>
      <c r="B431" s="11">
        <v>2.8</v>
      </c>
    </row>
    <row r="432" spans="1:2">
      <c r="A432" t="s">
        <v>1287</v>
      </c>
      <c r="B432" s="11">
        <v>2.5</v>
      </c>
    </row>
    <row r="433" spans="1:2">
      <c r="A433" t="s">
        <v>1288</v>
      </c>
      <c r="B433" s="11">
        <v>2.2999999999999998</v>
      </c>
    </row>
    <row r="434" spans="1:2">
      <c r="A434" t="s">
        <v>1289</v>
      </c>
      <c r="B434" s="11">
        <v>2.4</v>
      </c>
    </row>
    <row r="435" spans="1:2">
      <c r="A435" t="s">
        <v>1290</v>
      </c>
      <c r="B435" s="11">
        <v>2.2999999999999998</v>
      </c>
    </row>
    <row r="436" spans="1:2">
      <c r="A436" t="s">
        <v>1291</v>
      </c>
      <c r="B436" s="11">
        <v>2.1</v>
      </c>
    </row>
    <row r="437" spans="1:2">
      <c r="A437" t="s">
        <v>1292</v>
      </c>
      <c r="B437" s="11">
        <v>2.4</v>
      </c>
    </row>
    <row r="438" spans="1:2">
      <c r="A438" t="s">
        <v>1293</v>
      </c>
      <c r="B438" s="11">
        <v>2.4</v>
      </c>
    </row>
    <row r="439" spans="1:2">
      <c r="A439" t="s">
        <v>1294</v>
      </c>
      <c r="B439" s="11">
        <v>2.4</v>
      </c>
    </row>
    <row r="440" spans="1:2">
      <c r="A440" t="s">
        <v>1295</v>
      </c>
      <c r="B440" s="11">
        <v>2.4</v>
      </c>
    </row>
    <row r="441" spans="1:2">
      <c r="A441" t="s">
        <v>1296</v>
      </c>
      <c r="B441" s="11">
        <v>2.5</v>
      </c>
    </row>
    <row r="442" spans="1:2">
      <c r="A442" t="s">
        <v>1297</v>
      </c>
      <c r="B442" s="11">
        <v>2.5</v>
      </c>
    </row>
    <row r="443" spans="1:2">
      <c r="A443" t="s">
        <v>1298</v>
      </c>
      <c r="B443" s="11">
        <v>2.2000000000000002</v>
      </c>
    </row>
    <row r="444" spans="1:2">
      <c r="A444" t="s">
        <v>1299</v>
      </c>
      <c r="B444" s="11">
        <v>2.4</v>
      </c>
    </row>
    <row r="445" spans="1:2">
      <c r="A445" t="s">
        <v>1300</v>
      </c>
      <c r="B445" s="11">
        <v>2.6</v>
      </c>
    </row>
    <row r="446" spans="1:2">
      <c r="A446" t="s">
        <v>1301</v>
      </c>
      <c r="B446" s="11">
        <v>2.5</v>
      </c>
    </row>
    <row r="447" spans="1:2">
      <c r="A447" t="s">
        <v>1302</v>
      </c>
      <c r="B447" s="11">
        <v>2.4</v>
      </c>
    </row>
    <row r="448" spans="1:2">
      <c r="A448" t="s">
        <v>1303</v>
      </c>
      <c r="B448" s="11">
        <v>2.4</v>
      </c>
    </row>
    <row r="449" spans="1:2">
      <c r="A449" t="s">
        <v>1304</v>
      </c>
      <c r="B449" s="11">
        <v>2</v>
      </c>
    </row>
    <row r="450" spans="1:2">
      <c r="A450" t="s">
        <v>1305</v>
      </c>
      <c r="B450" s="11">
        <v>1.9</v>
      </c>
    </row>
    <row r="451" spans="1:2">
      <c r="A451" t="s">
        <v>1306</v>
      </c>
      <c r="B451" s="11">
        <v>1.9</v>
      </c>
    </row>
    <row r="452" spans="1:2">
      <c r="A452" t="s">
        <v>1307</v>
      </c>
      <c r="B452" s="11">
        <v>1.8</v>
      </c>
    </row>
    <row r="453" spans="1:2">
      <c r="A453" t="s">
        <v>1308</v>
      </c>
      <c r="B453" s="11">
        <v>1.6</v>
      </c>
    </row>
    <row r="454" spans="1:2">
      <c r="A454" t="s">
        <v>1309</v>
      </c>
      <c r="B454" s="11">
        <v>1.5</v>
      </c>
    </row>
    <row r="455" spans="1:2">
      <c r="A455" t="s">
        <v>1310</v>
      </c>
      <c r="B455" s="11">
        <v>1.7</v>
      </c>
    </row>
    <row r="456" spans="1:2">
      <c r="A456" t="s">
        <v>1311</v>
      </c>
      <c r="B456" s="11">
        <v>1.5</v>
      </c>
    </row>
    <row r="457" spans="1:2">
      <c r="A457" t="s">
        <v>1312</v>
      </c>
      <c r="B457" s="11">
        <v>1.8</v>
      </c>
    </row>
    <row r="458" spans="1:2">
      <c r="A458" t="s">
        <v>1313</v>
      </c>
      <c r="B458" s="11">
        <v>1.6</v>
      </c>
    </row>
    <row r="459" spans="1:2">
      <c r="A459" t="s">
        <v>1314</v>
      </c>
      <c r="B459" s="11">
        <v>1.5</v>
      </c>
    </row>
    <row r="460" spans="1:2">
      <c r="A460" t="s">
        <v>1315</v>
      </c>
      <c r="B460" s="11">
        <v>1.3</v>
      </c>
    </row>
    <row r="461" spans="1:2">
      <c r="A461" t="s">
        <v>1316</v>
      </c>
      <c r="B461" s="11">
        <v>1.3</v>
      </c>
    </row>
    <row r="462" spans="1:2">
      <c r="A462" t="s">
        <v>1317</v>
      </c>
      <c r="B462" s="11">
        <v>1.1000000000000001</v>
      </c>
    </row>
    <row r="463" spans="1:2">
      <c r="A463" t="s">
        <v>1318</v>
      </c>
      <c r="B463" s="11">
        <v>0.7</v>
      </c>
    </row>
    <row r="464" spans="1:2">
      <c r="A464" t="s">
        <v>1319</v>
      </c>
      <c r="B464" s="11">
        <v>0.5</v>
      </c>
    </row>
    <row r="465" spans="1:2">
      <c r="A465" t="s">
        <v>1320</v>
      </c>
      <c r="B465" s="11">
        <v>0.4</v>
      </c>
    </row>
    <row r="466" spans="1:2">
      <c r="A466" t="s">
        <v>1321</v>
      </c>
      <c r="B466" s="11">
        <v>0.3</v>
      </c>
    </row>
    <row r="467" spans="1:2">
      <c r="A467" t="s">
        <v>1322</v>
      </c>
      <c r="B467" s="11">
        <v>0.3</v>
      </c>
    </row>
    <row r="468" spans="1:2">
      <c r="A468" t="s">
        <v>1323</v>
      </c>
      <c r="B468" s="11">
        <v>0.4</v>
      </c>
    </row>
    <row r="469" spans="1:2">
      <c r="A469" t="s">
        <v>1324</v>
      </c>
      <c r="B469" s="11">
        <v>0.3</v>
      </c>
    </row>
    <row r="470" spans="1:2">
      <c r="A470" t="s">
        <v>1325</v>
      </c>
      <c r="B470" s="11">
        <v>0.5</v>
      </c>
    </row>
    <row r="471" spans="1:2">
      <c r="A471" t="s">
        <v>1326</v>
      </c>
      <c r="B471" s="11">
        <v>0.4</v>
      </c>
    </row>
    <row r="472" spans="1:2">
      <c r="A472" t="s">
        <v>1327</v>
      </c>
      <c r="B472" s="11">
        <v>0.2</v>
      </c>
    </row>
    <row r="473" spans="1:2">
      <c r="A473" t="s">
        <v>1328</v>
      </c>
      <c r="B473" s="11">
        <v>0.2</v>
      </c>
    </row>
    <row r="474" spans="1:2">
      <c r="A474" t="s">
        <v>1329</v>
      </c>
      <c r="B474" s="11">
        <v>0.4</v>
      </c>
    </row>
    <row r="475" spans="1:2">
      <c r="A475" t="s">
        <v>1330</v>
      </c>
      <c r="B475" s="11">
        <v>0.5</v>
      </c>
    </row>
    <row r="476" spans="1:2">
      <c r="A476" t="s">
        <v>1331</v>
      </c>
      <c r="B476" s="11">
        <v>0.6</v>
      </c>
    </row>
    <row r="477" spans="1:2">
      <c r="A477" t="s">
        <v>1332</v>
      </c>
      <c r="B477" s="11">
        <v>0.6</v>
      </c>
    </row>
    <row r="478" spans="1:2">
      <c r="A478" t="s">
        <v>1333</v>
      </c>
      <c r="B478" s="11">
        <v>0.8</v>
      </c>
    </row>
    <row r="479" spans="1:2">
      <c r="A479" t="s">
        <v>1334</v>
      </c>
      <c r="B479" s="11">
        <v>0.7</v>
      </c>
    </row>
    <row r="480" spans="1:2">
      <c r="A480" t="s">
        <v>1335</v>
      </c>
      <c r="B480" s="11">
        <v>0.7</v>
      </c>
    </row>
    <row r="481" spans="1:2">
      <c r="A481" t="s">
        <v>1336</v>
      </c>
      <c r="B481" s="11">
        <v>0.8</v>
      </c>
    </row>
    <row r="482" spans="1:2">
      <c r="A482" t="s">
        <v>1337</v>
      </c>
      <c r="B482" s="11">
        <v>0.9</v>
      </c>
    </row>
    <row r="483" spans="1:2">
      <c r="A483" t="s">
        <v>1338</v>
      </c>
      <c r="B483" s="11">
        <v>1</v>
      </c>
    </row>
    <row r="484" spans="1:2">
      <c r="A484" t="s">
        <v>1339</v>
      </c>
      <c r="B484" s="11">
        <v>1.3</v>
      </c>
    </row>
    <row r="485" spans="1:2">
      <c r="A485" t="s">
        <v>1340</v>
      </c>
      <c r="B485" s="11">
        <v>1.3</v>
      </c>
    </row>
    <row r="486" spans="1:2">
      <c r="A486" t="s">
        <v>1341</v>
      </c>
      <c r="B486" s="11">
        <v>1.5</v>
      </c>
    </row>
    <row r="487" spans="1:2">
      <c r="A487" t="s">
        <v>1342</v>
      </c>
      <c r="B487" s="11">
        <v>1.8</v>
      </c>
    </row>
    <row r="488" spans="1:2">
      <c r="A488" t="s">
        <v>1343</v>
      </c>
      <c r="B488" s="11">
        <v>1.9</v>
      </c>
    </row>
    <row r="489" spans="1:2">
      <c r="A489" t="s">
        <v>1344</v>
      </c>
      <c r="B489" s="11">
        <v>2.2999999999999998</v>
      </c>
    </row>
    <row r="490" spans="1:2">
      <c r="A490" t="s">
        <v>1345</v>
      </c>
      <c r="B490" s="11">
        <v>2.2999999999999998</v>
      </c>
    </row>
    <row r="491" spans="1:2">
      <c r="A491" t="s">
        <v>1346</v>
      </c>
      <c r="B491" s="11">
        <v>2.6</v>
      </c>
    </row>
    <row r="492" spans="1:2">
      <c r="A492" t="s">
        <v>1347</v>
      </c>
      <c r="B492" s="11">
        <v>2.7</v>
      </c>
    </row>
    <row r="493" spans="1:2">
      <c r="A493" t="s">
        <v>1348</v>
      </c>
      <c r="B493" s="11">
        <v>2.6</v>
      </c>
    </row>
    <row r="494" spans="1:2">
      <c r="A494" t="s">
        <v>1349</v>
      </c>
      <c r="B494" s="11">
        <v>2.6</v>
      </c>
    </row>
    <row r="495" spans="1:2">
      <c r="A495" t="s">
        <v>1350</v>
      </c>
      <c r="B495" s="11">
        <v>2.7</v>
      </c>
    </row>
    <row r="496" spans="1:2">
      <c r="A496" t="s">
        <v>1351</v>
      </c>
      <c r="B496" s="11">
        <v>2.8</v>
      </c>
    </row>
    <row r="497" spans="1:2">
      <c r="A497" t="s">
        <v>1352</v>
      </c>
      <c r="B497" s="11">
        <v>2.8</v>
      </c>
    </row>
    <row r="498" spans="1:2">
      <c r="A498" t="s">
        <v>1353</v>
      </c>
      <c r="B498" s="11">
        <v>2.8</v>
      </c>
    </row>
    <row r="499" spans="1:2">
      <c r="A499" t="s">
        <v>1354</v>
      </c>
      <c r="B499" s="11">
        <v>2.7</v>
      </c>
    </row>
    <row r="500" spans="1:2">
      <c r="A500" t="s">
        <v>1355</v>
      </c>
      <c r="B500" s="11">
        <v>2.7</v>
      </c>
    </row>
    <row r="501" spans="1:2">
      <c r="A501" t="s">
        <v>1356</v>
      </c>
      <c r="B501" s="11">
        <v>2.5</v>
      </c>
    </row>
    <row r="502" spans="1:2">
      <c r="A502" t="s">
        <v>1357</v>
      </c>
      <c r="B502" s="11">
        <v>2.2999999999999998</v>
      </c>
    </row>
    <row r="503" spans="1:2">
      <c r="A503" t="s">
        <v>1358</v>
      </c>
      <c r="B503" s="11">
        <v>2.2000000000000002</v>
      </c>
    </row>
    <row r="504" spans="1:2">
      <c r="A504" t="s">
        <v>1359</v>
      </c>
      <c r="B504" s="11">
        <v>2.2999999999999998</v>
      </c>
    </row>
    <row r="505" spans="1:2">
      <c r="A505" t="s">
        <v>1360</v>
      </c>
      <c r="B505" s="11">
        <v>2.2999999999999998</v>
      </c>
    </row>
    <row r="506" spans="1:2">
      <c r="A506" t="s">
        <v>1361</v>
      </c>
      <c r="B506" s="11">
        <v>2.2999999999999998</v>
      </c>
    </row>
    <row r="507" spans="1:2">
      <c r="A507" t="s">
        <v>1362</v>
      </c>
      <c r="B507" s="11">
        <v>2.4</v>
      </c>
    </row>
    <row r="508" spans="1:2">
      <c r="A508" t="s">
        <v>1363</v>
      </c>
      <c r="B508" s="11">
        <v>2.2000000000000002</v>
      </c>
    </row>
    <row r="509" spans="1:2">
      <c r="A509" t="s">
        <v>1364</v>
      </c>
      <c r="B509" s="11">
        <v>2.2000000000000002</v>
      </c>
    </row>
    <row r="510" spans="1:2">
      <c r="A510" t="s">
        <v>1365</v>
      </c>
      <c r="B510" s="11">
        <v>2.2000000000000002</v>
      </c>
    </row>
    <row r="511" spans="1:2">
      <c r="A511" t="s">
        <v>1366</v>
      </c>
      <c r="B511" s="11">
        <v>2</v>
      </c>
    </row>
    <row r="512" spans="1:2">
      <c r="A512" t="s">
        <v>1367</v>
      </c>
      <c r="B512" s="11">
        <v>1.8</v>
      </c>
    </row>
    <row r="513" spans="1:2">
      <c r="A513" t="s">
        <v>1368</v>
      </c>
      <c r="B513" s="11">
        <v>1.8</v>
      </c>
    </row>
    <row r="514" spans="1:2">
      <c r="A514" t="s">
        <v>1369</v>
      </c>
      <c r="B514" s="11">
        <v>1.8</v>
      </c>
    </row>
    <row r="515" spans="1:2">
      <c r="A515" t="s">
        <v>1370</v>
      </c>
      <c r="B515" s="11">
        <v>2</v>
      </c>
    </row>
    <row r="516" spans="1:2">
      <c r="A516" t="s">
        <v>1371</v>
      </c>
      <c r="B516" s="11">
        <v>1.9</v>
      </c>
    </row>
    <row r="517" spans="1:2">
      <c r="A517" t="s">
        <v>1372</v>
      </c>
      <c r="B517" s="11">
        <v>1.9</v>
      </c>
    </row>
    <row r="518" spans="1:2">
      <c r="A518" t="s">
        <v>1373</v>
      </c>
      <c r="B518" s="11">
        <v>2</v>
      </c>
    </row>
    <row r="519" spans="1:2">
      <c r="A519" t="s">
        <v>1374</v>
      </c>
      <c r="B519" s="11">
        <v>1.7</v>
      </c>
    </row>
    <row r="520" spans="1:2">
      <c r="A520" t="s">
        <v>1375</v>
      </c>
      <c r="B520" s="11">
        <v>1.7</v>
      </c>
    </row>
    <row r="521" spans="1:2">
      <c r="A521" t="s">
        <v>1376</v>
      </c>
      <c r="B521" s="11">
        <v>1.5</v>
      </c>
    </row>
    <row r="522" spans="1:2">
      <c r="A522" t="s">
        <v>1377</v>
      </c>
      <c r="B522" s="11">
        <v>1.5</v>
      </c>
    </row>
    <row r="523" spans="1:2">
      <c r="A523" t="s">
        <v>1378</v>
      </c>
      <c r="B523" s="11">
        <v>1.4</v>
      </c>
    </row>
    <row r="524" spans="1:2">
      <c r="A524" t="s">
        <v>1379</v>
      </c>
      <c r="B524" s="11">
        <v>1.8</v>
      </c>
    </row>
    <row r="525" spans="1:2">
      <c r="A525" t="s">
        <v>1380</v>
      </c>
      <c r="B525" s="11">
        <v>1.7</v>
      </c>
    </row>
    <row r="526" spans="1:2">
      <c r="A526" t="s">
        <v>1381</v>
      </c>
      <c r="B526" s="11">
        <v>1.5</v>
      </c>
    </row>
    <row r="527" spans="1:2">
      <c r="A527" t="s">
        <v>1382</v>
      </c>
      <c r="B527" s="11">
        <v>0.9</v>
      </c>
    </row>
    <row r="528" spans="1:2">
      <c r="A528" t="s">
        <v>1383</v>
      </c>
      <c r="B528" s="11">
        <v>0.7</v>
      </c>
    </row>
    <row r="529" spans="1:2">
      <c r="A529" t="s">
        <v>1384</v>
      </c>
      <c r="B529" s="11">
        <v>0.8</v>
      </c>
    </row>
    <row r="530" spans="1:2">
      <c r="A530" t="s">
        <v>1385</v>
      </c>
      <c r="B530" s="11">
        <v>1.1000000000000001</v>
      </c>
    </row>
    <row r="531" spans="1:2">
      <c r="A531" t="s">
        <v>1386</v>
      </c>
      <c r="B531" s="11">
        <v>0.5</v>
      </c>
    </row>
    <row r="532" spans="1:2">
      <c r="A532" t="s">
        <v>1387</v>
      </c>
      <c r="B532" s="11">
        <v>0.7</v>
      </c>
    </row>
    <row r="533" spans="1:2">
      <c r="A533" t="s">
        <v>1388</v>
      </c>
      <c r="B533" s="11">
        <v>0.9</v>
      </c>
    </row>
    <row r="534" spans="1:2">
      <c r="A534" t="s">
        <v>1389</v>
      </c>
      <c r="B534" s="11">
        <v>0.6</v>
      </c>
    </row>
    <row r="535" spans="1:2">
      <c r="A535" t="s">
        <v>1390</v>
      </c>
      <c r="B535" s="11">
        <v>0.8</v>
      </c>
    </row>
    <row r="536" spans="1:2">
      <c r="A536" t="s">
        <v>1391</v>
      </c>
      <c r="B536" s="11">
        <v>0.9</v>
      </c>
    </row>
    <row r="537" spans="1:2">
      <c r="A537" t="s">
        <v>1392</v>
      </c>
      <c r="B537" s="11">
        <v>0.7</v>
      </c>
    </row>
    <row r="538" spans="1:2">
      <c r="A538" t="s">
        <v>1393</v>
      </c>
      <c r="B538" s="11">
        <v>1</v>
      </c>
    </row>
    <row r="539" spans="1:2">
      <c r="A539" t="s">
        <v>1394</v>
      </c>
      <c r="B539" s="11">
        <v>1.6</v>
      </c>
    </row>
    <row r="540" spans="1:2">
      <c r="A540" t="s">
        <v>1395</v>
      </c>
      <c r="B540" s="11">
        <v>2.1</v>
      </c>
    </row>
    <row r="541" spans="1:2">
      <c r="A541" t="s">
        <v>1396</v>
      </c>
      <c r="B541" s="11">
        <v>2.4</v>
      </c>
    </row>
    <row r="542" spans="1:2">
      <c r="A542" t="s">
        <v>1397</v>
      </c>
      <c r="B542" s="11">
        <v>2.1</v>
      </c>
    </row>
    <row r="543" spans="1:2">
      <c r="A543" t="s">
        <v>1398</v>
      </c>
      <c r="B543" s="11">
        <v>3</v>
      </c>
    </row>
    <row r="544" spans="1:2">
      <c r="A544" t="s">
        <v>1399</v>
      </c>
      <c r="B544" s="11">
        <v>2.9</v>
      </c>
    </row>
    <row r="545" spans="1:24">
      <c r="A545" t="s">
        <v>1400</v>
      </c>
      <c r="B545" s="11">
        <v>3.8</v>
      </c>
    </row>
    <row r="546" spans="1:24">
      <c r="A546" t="s">
        <v>1401</v>
      </c>
      <c r="B546" s="11">
        <v>4.5999999999999996</v>
      </c>
    </row>
    <row r="547" spans="1:24">
      <c r="A547" t="s">
        <v>1402</v>
      </c>
      <c r="B547" s="11">
        <v>4.8</v>
      </c>
    </row>
    <row r="548" spans="1:24">
      <c r="A548" t="s">
        <v>1403</v>
      </c>
      <c r="B548" s="11">
        <v>4.9000000000000004</v>
      </c>
    </row>
    <row r="549" spans="1:24">
      <c r="A549" t="s">
        <v>1404</v>
      </c>
      <c r="B549" s="11">
        <v>5.5</v>
      </c>
    </row>
    <row r="550" spans="1:24">
      <c r="A550" t="s">
        <v>1405</v>
      </c>
      <c r="B550" s="11">
        <v>6.2</v>
      </c>
    </row>
    <row r="551" spans="1:24"/>
    <row r="552" spans="1:24"/>
    <row r="553" spans="1:24">
      <c r="B553" s="14" t="s">
        <v>362</v>
      </c>
      <c r="C553" s="15"/>
      <c r="D553" s="15"/>
      <c r="E553" s="15"/>
      <c r="F553" s="16"/>
      <c r="G553" s="14"/>
      <c r="H553" s="15"/>
      <c r="I553" s="15"/>
      <c r="J553" s="15"/>
      <c r="K553" s="16"/>
      <c r="L553" s="14"/>
      <c r="M553" s="15"/>
      <c r="N553" s="15"/>
      <c r="O553" s="15"/>
      <c r="P553" s="15"/>
      <c r="Q553" s="15"/>
      <c r="R553" s="15"/>
      <c r="S553" s="15"/>
      <c r="T553" s="15"/>
      <c r="U553" s="15"/>
      <c r="V553" s="15"/>
      <c r="W553" s="15"/>
      <c r="X553" s="15"/>
    </row>
    <row r="554" spans="1:24"/>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4630-953D-4338-8223-82474DFDD930}">
  <sheetPr codeName="Sheet34">
    <tabColor theme="7" tint="0.79998168889431442"/>
  </sheetPr>
  <dimension ref="A1:BY34"/>
  <sheetViews>
    <sheetView showGridLines="0" workbookViewId="0"/>
  </sheetViews>
  <sheetFormatPr defaultColWidth="0" defaultRowHeight="13.2" zeroHeight="1"/>
  <cols>
    <col min="1" max="2" width="4" style="10" customWidth="1"/>
    <col min="3" max="3" width="44.33203125" style="10" bestFit="1" customWidth="1"/>
    <col min="4" max="4" width="12.5546875" style="10" bestFit="1" customWidth="1"/>
    <col min="5" max="5" width="20.5546875" style="10" bestFit="1" customWidth="1"/>
    <col min="6" max="76" width="10.6640625" style="10" bestFit="1" customWidth="1"/>
    <col min="77" max="77" width="0" style="10" hidden="1" customWidth="1"/>
    <col min="78" max="16384" width="8.6640625" style="10" hidden="1"/>
  </cols>
  <sheetData>
    <row r="1" spans="1:76" ht="17.399999999999999">
      <c r="A1" s="43" t="s">
        <v>94</v>
      </c>
      <c r="C1" s="43"/>
    </row>
    <row r="2" spans="1:76"/>
    <row r="3" spans="1:76">
      <c r="C3" s="46" t="s">
        <v>1406</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row>
    <row r="4" spans="1:76"/>
    <row r="5" spans="1:76">
      <c r="C5" s="843" t="s">
        <v>1407</v>
      </c>
      <c r="D5" s="844" t="s">
        <v>1408</v>
      </c>
    </row>
    <row r="6" spans="1:76">
      <c r="C6" s="787" t="s">
        <v>1409</v>
      </c>
      <c r="D6" s="845">
        <f>BX19</f>
        <v>28448427.847222224</v>
      </c>
    </row>
    <row r="7" spans="1:76">
      <c r="C7" s="10" t="s">
        <v>1410</v>
      </c>
      <c r="D7" s="171">
        <f>BX20</f>
        <v>20157798.791666668</v>
      </c>
    </row>
    <row r="8" spans="1:76">
      <c r="C8" s="90" t="s">
        <v>1411</v>
      </c>
      <c r="D8" s="171">
        <f>BX22</f>
        <v>2611606.986111111</v>
      </c>
    </row>
    <row r="9" spans="1:76">
      <c r="C9" s="90" t="s">
        <v>1412</v>
      </c>
      <c r="D9" s="171">
        <f>BX24</f>
        <v>5679022.069444444</v>
      </c>
      <c r="E9" s="86"/>
    </row>
    <row r="10" spans="1:76">
      <c r="C10" s="10" t="s">
        <v>1413</v>
      </c>
      <c r="D10" s="171">
        <f>BX26</f>
        <v>2301113.111111111</v>
      </c>
      <c r="BW10" s="51"/>
    </row>
    <row r="11" spans="1:76">
      <c r="C11" s="10" t="s">
        <v>1414</v>
      </c>
      <c r="D11" s="171">
        <f>D9-D10</f>
        <v>3377908.958333333</v>
      </c>
      <c r="E11" s="86"/>
      <c r="BW11" s="51"/>
    </row>
    <row r="12" spans="1:76">
      <c r="C12" s="10" t="s">
        <v>1415</v>
      </c>
      <c r="D12" s="171">
        <f>SUM(D8:D9)</f>
        <v>8290629.055555555</v>
      </c>
    </row>
    <row r="13" spans="1:76">
      <c r="C13" s="62" t="s">
        <v>1416</v>
      </c>
      <c r="D13" s="172">
        <f>BX21</f>
        <v>5.458333333333333</v>
      </c>
      <c r="BW13" s="51"/>
    </row>
    <row r="14" spans="1:76">
      <c r="D14" s="47"/>
    </row>
    <row r="15" spans="1:76"/>
    <row r="16" spans="1:76">
      <c r="C16" s="46" t="s">
        <v>148</v>
      </c>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row>
    <row r="17" spans="3:77"/>
    <row r="18" spans="3:77">
      <c r="C18" s="843" t="s">
        <v>1417</v>
      </c>
      <c r="D18" s="846">
        <v>42400</v>
      </c>
      <c r="E18" s="846">
        <v>42429</v>
      </c>
      <c r="F18" s="846">
        <v>42460</v>
      </c>
      <c r="G18" s="846">
        <v>42490</v>
      </c>
      <c r="H18" s="846">
        <v>42521</v>
      </c>
      <c r="I18" s="846">
        <v>42551</v>
      </c>
      <c r="J18" s="846">
        <v>42582</v>
      </c>
      <c r="K18" s="846">
        <v>42613</v>
      </c>
      <c r="L18" s="846">
        <v>42643</v>
      </c>
      <c r="M18" s="846">
        <v>42674</v>
      </c>
      <c r="N18" s="846">
        <v>42704</v>
      </c>
      <c r="O18" s="846">
        <v>42735</v>
      </c>
      <c r="P18" s="846">
        <v>42766</v>
      </c>
      <c r="Q18" s="846">
        <v>42794</v>
      </c>
      <c r="R18" s="846">
        <v>42825</v>
      </c>
      <c r="S18" s="846">
        <v>42855</v>
      </c>
      <c r="T18" s="846">
        <v>42886</v>
      </c>
      <c r="U18" s="846">
        <v>42916</v>
      </c>
      <c r="V18" s="846">
        <v>42947</v>
      </c>
      <c r="W18" s="846">
        <v>42978</v>
      </c>
      <c r="X18" s="846">
        <v>43008</v>
      </c>
      <c r="Y18" s="846">
        <v>43039</v>
      </c>
      <c r="Z18" s="846">
        <v>43069</v>
      </c>
      <c r="AA18" s="846">
        <v>43100</v>
      </c>
      <c r="AB18" s="846">
        <v>43131</v>
      </c>
      <c r="AC18" s="846">
        <v>43159</v>
      </c>
      <c r="AD18" s="846">
        <v>43190</v>
      </c>
      <c r="AE18" s="846">
        <v>43220</v>
      </c>
      <c r="AF18" s="846">
        <v>43251</v>
      </c>
      <c r="AG18" s="846">
        <v>43281</v>
      </c>
      <c r="AH18" s="846">
        <v>43312</v>
      </c>
      <c r="AI18" s="846">
        <v>43343</v>
      </c>
      <c r="AJ18" s="846">
        <v>43373</v>
      </c>
      <c r="AK18" s="846">
        <v>43404</v>
      </c>
      <c r="AL18" s="846">
        <v>43434</v>
      </c>
      <c r="AM18" s="846">
        <v>43465</v>
      </c>
      <c r="AN18" s="846">
        <v>43496</v>
      </c>
      <c r="AO18" s="846">
        <v>43524</v>
      </c>
      <c r="AP18" s="846">
        <v>43555</v>
      </c>
      <c r="AQ18" s="846">
        <v>43585</v>
      </c>
      <c r="AR18" s="846">
        <v>43616</v>
      </c>
      <c r="AS18" s="846">
        <v>43646</v>
      </c>
      <c r="AT18" s="846">
        <v>43677</v>
      </c>
      <c r="AU18" s="846">
        <v>43708</v>
      </c>
      <c r="AV18" s="846">
        <v>43738</v>
      </c>
      <c r="AW18" s="846">
        <v>43769</v>
      </c>
      <c r="AX18" s="846">
        <v>43799</v>
      </c>
      <c r="AY18" s="846">
        <v>43830</v>
      </c>
      <c r="AZ18" s="846">
        <v>43861</v>
      </c>
      <c r="BA18" s="846">
        <v>43890</v>
      </c>
      <c r="BB18" s="846">
        <v>43921</v>
      </c>
      <c r="BC18" s="846">
        <v>43951</v>
      </c>
      <c r="BD18" s="846">
        <v>43982</v>
      </c>
      <c r="BE18" s="846">
        <v>44012</v>
      </c>
      <c r="BF18" s="846">
        <v>44043</v>
      </c>
      <c r="BG18" s="846">
        <v>44074</v>
      </c>
      <c r="BH18" s="846">
        <v>44104</v>
      </c>
      <c r="BI18" s="846">
        <v>44135</v>
      </c>
      <c r="BJ18" s="846">
        <v>44165</v>
      </c>
      <c r="BK18" s="846">
        <v>44196</v>
      </c>
      <c r="BL18" s="846">
        <v>44227</v>
      </c>
      <c r="BM18" s="846">
        <v>44255</v>
      </c>
      <c r="BN18" s="846">
        <v>44286</v>
      </c>
      <c r="BO18" s="846">
        <v>44316</v>
      </c>
      <c r="BP18" s="846">
        <v>44347</v>
      </c>
      <c r="BQ18" s="846">
        <v>44377</v>
      </c>
      <c r="BR18" s="846">
        <v>44408</v>
      </c>
      <c r="BS18" s="846">
        <v>44439</v>
      </c>
      <c r="BT18" s="846">
        <v>44469</v>
      </c>
      <c r="BU18" s="846">
        <v>44500</v>
      </c>
      <c r="BV18" s="846">
        <v>44530</v>
      </c>
      <c r="BW18" s="846">
        <v>44561</v>
      </c>
      <c r="BX18" s="846" t="s">
        <v>1418</v>
      </c>
      <c r="BY18" s="49"/>
    </row>
    <row r="19" spans="3:77">
      <c r="C19" s="787" t="s">
        <v>148</v>
      </c>
      <c r="D19" s="809">
        <v>27861876</v>
      </c>
      <c r="E19" s="809">
        <v>27875474</v>
      </c>
      <c r="F19" s="809">
        <v>27892102</v>
      </c>
      <c r="G19" s="809">
        <v>27905277</v>
      </c>
      <c r="H19" s="809">
        <v>27920894</v>
      </c>
      <c r="I19" s="809">
        <v>27923269</v>
      </c>
      <c r="J19" s="809">
        <v>27937947</v>
      </c>
      <c r="K19" s="809">
        <v>27951554</v>
      </c>
      <c r="L19" s="809">
        <v>27970479</v>
      </c>
      <c r="M19" s="809">
        <v>27825961</v>
      </c>
      <c r="N19" s="809">
        <v>27855896</v>
      </c>
      <c r="O19" s="809">
        <v>28025291</v>
      </c>
      <c r="P19" s="809">
        <v>28039858</v>
      </c>
      <c r="Q19" s="809">
        <v>28054838</v>
      </c>
      <c r="R19" s="809">
        <v>28073625</v>
      </c>
      <c r="S19" s="809">
        <v>28086707</v>
      </c>
      <c r="T19" s="809">
        <v>28105370</v>
      </c>
      <c r="U19" s="809">
        <v>28124116</v>
      </c>
      <c r="V19" s="809">
        <v>28140412</v>
      </c>
      <c r="W19" s="809">
        <v>28156448</v>
      </c>
      <c r="X19" s="809">
        <v>28171546</v>
      </c>
      <c r="Y19" s="809">
        <v>28185418</v>
      </c>
      <c r="Z19" s="809">
        <v>28207252</v>
      </c>
      <c r="AA19" s="809">
        <v>28223734</v>
      </c>
      <c r="AB19" s="809">
        <v>28239779</v>
      </c>
      <c r="AC19" s="809">
        <v>28256732</v>
      </c>
      <c r="AD19" s="809">
        <v>28273146</v>
      </c>
      <c r="AE19" s="809">
        <v>28285954</v>
      </c>
      <c r="AF19" s="809">
        <v>28306519</v>
      </c>
      <c r="AG19" s="809">
        <v>28325157</v>
      </c>
      <c r="AH19" s="809">
        <v>28344675</v>
      </c>
      <c r="AI19" s="809">
        <v>28359361</v>
      </c>
      <c r="AJ19" s="809">
        <v>28378375</v>
      </c>
      <c r="AK19" s="809">
        <v>28399088</v>
      </c>
      <c r="AL19" s="809">
        <v>28423938</v>
      </c>
      <c r="AM19" s="809">
        <v>28439147</v>
      </c>
      <c r="AN19" s="809">
        <v>28453352</v>
      </c>
      <c r="AO19" s="809">
        <v>28472526</v>
      </c>
      <c r="AP19" s="809">
        <v>28492524</v>
      </c>
      <c r="AQ19" s="809">
        <v>28511342</v>
      </c>
      <c r="AR19" s="809">
        <v>28529793</v>
      </c>
      <c r="AS19" s="809">
        <v>28543476</v>
      </c>
      <c r="AT19" s="809">
        <v>28556017</v>
      </c>
      <c r="AU19" s="809">
        <v>28572786</v>
      </c>
      <c r="AV19" s="809">
        <v>28595800</v>
      </c>
      <c r="AW19" s="809">
        <v>28600003</v>
      </c>
      <c r="AX19" s="809">
        <v>28642279</v>
      </c>
      <c r="AY19" s="809">
        <v>28660342</v>
      </c>
      <c r="AZ19" s="809">
        <v>28675851</v>
      </c>
      <c r="BA19" s="809">
        <v>28684446</v>
      </c>
      <c r="BB19" s="809">
        <v>28709152</v>
      </c>
      <c r="BC19" s="809">
        <v>28708398</v>
      </c>
      <c r="BD19" s="809">
        <v>28715919</v>
      </c>
      <c r="BE19" s="809">
        <v>28735001</v>
      </c>
      <c r="BF19" s="809">
        <v>28756866</v>
      </c>
      <c r="BG19" s="809">
        <v>28775599</v>
      </c>
      <c r="BH19" s="809">
        <v>28798881</v>
      </c>
      <c r="BI19" s="809">
        <v>28823669</v>
      </c>
      <c r="BJ19" s="809">
        <v>28848454</v>
      </c>
      <c r="BK19" s="809">
        <v>28866259</v>
      </c>
      <c r="BL19" s="809">
        <v>28883132</v>
      </c>
      <c r="BM19" s="809">
        <v>28905174</v>
      </c>
      <c r="BN19" s="809">
        <v>28928648</v>
      </c>
      <c r="BO19" s="809">
        <v>28950884</v>
      </c>
      <c r="BP19" s="809">
        <v>28976450</v>
      </c>
      <c r="BQ19" s="809">
        <v>29002098</v>
      </c>
      <c r="BR19" s="809">
        <v>29023236</v>
      </c>
      <c r="BS19" s="809">
        <v>29041673</v>
      </c>
      <c r="BT19" s="809">
        <v>29061876</v>
      </c>
      <c r="BU19" s="809">
        <v>29091245</v>
      </c>
      <c r="BV19" s="809">
        <v>29064112</v>
      </c>
      <c r="BW19" s="809">
        <v>29082327</v>
      </c>
      <c r="BX19" s="847">
        <f t="shared" ref="BX19:BX27" si="0">AVERAGE(D19:BW19)</f>
        <v>28448427.847222224</v>
      </c>
    </row>
    <row r="20" spans="3:77">
      <c r="C20" s="10" t="s">
        <v>1419</v>
      </c>
      <c r="D20" s="128">
        <v>24373167</v>
      </c>
      <c r="E20" s="128">
        <v>24275013</v>
      </c>
      <c r="F20" s="128">
        <v>24140123</v>
      </c>
      <c r="G20" s="128">
        <v>24022473</v>
      </c>
      <c r="H20" s="128">
        <v>23943831</v>
      </c>
      <c r="I20" s="128">
        <v>23881751</v>
      </c>
      <c r="J20" s="128">
        <v>23825424</v>
      </c>
      <c r="K20" s="128">
        <v>23764330</v>
      </c>
      <c r="L20" s="128">
        <v>23714070</v>
      </c>
      <c r="M20" s="128">
        <v>23703183</v>
      </c>
      <c r="N20" s="128">
        <v>23692315</v>
      </c>
      <c r="O20" s="128">
        <v>23619775</v>
      </c>
      <c r="P20" s="128">
        <v>23536614</v>
      </c>
      <c r="Q20" s="128">
        <v>23443939</v>
      </c>
      <c r="R20" s="128">
        <v>23320514</v>
      </c>
      <c r="S20" s="128">
        <v>23189536</v>
      </c>
      <c r="T20" s="128">
        <v>23082283</v>
      </c>
      <c r="U20" s="128">
        <v>23011220</v>
      </c>
      <c r="V20" s="128">
        <v>22955621</v>
      </c>
      <c r="W20" s="128">
        <v>22863492</v>
      </c>
      <c r="X20" s="128">
        <v>22721512</v>
      </c>
      <c r="Y20" s="128">
        <v>22559394</v>
      </c>
      <c r="Z20" s="128">
        <v>22472177</v>
      </c>
      <c r="AA20" s="128">
        <v>22376017</v>
      </c>
      <c r="AB20" s="128">
        <v>22296719</v>
      </c>
      <c r="AC20" s="128">
        <v>22189343</v>
      </c>
      <c r="AD20" s="128">
        <v>22098657</v>
      </c>
      <c r="AE20" s="128">
        <v>22003551</v>
      </c>
      <c r="AF20" s="128">
        <v>21852522</v>
      </c>
      <c r="AG20" s="128">
        <v>21651784</v>
      </c>
      <c r="AH20" s="128">
        <v>21492737</v>
      </c>
      <c r="AI20" s="128">
        <v>21358421</v>
      </c>
      <c r="AJ20" s="128">
        <v>21212923</v>
      </c>
      <c r="AK20" s="128">
        <v>21089334</v>
      </c>
      <c r="AL20" s="128">
        <v>21034962</v>
      </c>
      <c r="AM20" s="128">
        <v>21061314</v>
      </c>
      <c r="AN20" s="128">
        <v>20971967</v>
      </c>
      <c r="AO20" s="128">
        <v>20873582</v>
      </c>
      <c r="AP20" s="128">
        <v>20700645</v>
      </c>
      <c r="AQ20" s="128">
        <v>20487269</v>
      </c>
      <c r="AR20" s="128">
        <v>20369532</v>
      </c>
      <c r="AS20" s="128">
        <v>20302795</v>
      </c>
      <c r="AT20" s="128">
        <v>20224595</v>
      </c>
      <c r="AU20" s="128">
        <v>20118789</v>
      </c>
      <c r="AV20" s="128">
        <v>20023062</v>
      </c>
      <c r="AW20" s="128">
        <v>20074123</v>
      </c>
      <c r="AX20" s="128">
        <v>20034956</v>
      </c>
      <c r="AY20" s="128">
        <v>19996914</v>
      </c>
      <c r="AZ20" s="128">
        <v>16469318</v>
      </c>
      <c r="BA20" s="128">
        <v>16440067</v>
      </c>
      <c r="BB20" s="128">
        <v>16353280</v>
      </c>
      <c r="BC20" s="128">
        <v>16403824</v>
      </c>
      <c r="BD20" s="128">
        <v>16358290</v>
      </c>
      <c r="BE20" s="128">
        <v>16275756</v>
      </c>
      <c r="BF20" s="128">
        <v>16159180</v>
      </c>
      <c r="BG20" s="128">
        <v>16058396</v>
      </c>
      <c r="BH20" s="128">
        <v>15937893</v>
      </c>
      <c r="BI20" s="128">
        <v>14604927</v>
      </c>
      <c r="BJ20" s="128">
        <v>14959090</v>
      </c>
      <c r="BK20" s="128">
        <v>15210198</v>
      </c>
      <c r="BL20" s="128">
        <v>15967965</v>
      </c>
      <c r="BM20" s="128">
        <v>16299259</v>
      </c>
      <c r="BN20" s="128">
        <v>16127257</v>
      </c>
      <c r="BO20" s="128">
        <v>15989704</v>
      </c>
      <c r="BP20" s="128">
        <v>15905766</v>
      </c>
      <c r="BQ20" s="128">
        <v>15848560</v>
      </c>
      <c r="BR20" s="128">
        <v>15764731</v>
      </c>
      <c r="BS20" s="128">
        <v>15725321</v>
      </c>
      <c r="BT20" s="128">
        <v>16371372</v>
      </c>
      <c r="BU20" s="128">
        <v>16628401</v>
      </c>
      <c r="BV20" s="128">
        <v>16680316</v>
      </c>
      <c r="BW20" s="128">
        <v>16814372</v>
      </c>
      <c r="BX20" s="176">
        <f t="shared" si="0"/>
        <v>20157798.791666668</v>
      </c>
    </row>
    <row r="21" spans="3:77">
      <c r="C21" s="10" t="s">
        <v>1420</v>
      </c>
      <c r="D21" s="128">
        <v>6</v>
      </c>
      <c r="E21" s="128">
        <v>6</v>
      </c>
      <c r="F21" s="128">
        <v>6</v>
      </c>
      <c r="G21" s="128">
        <v>6</v>
      </c>
      <c r="H21" s="128">
        <v>6</v>
      </c>
      <c r="I21" s="128">
        <v>6</v>
      </c>
      <c r="J21" s="128">
        <v>6</v>
      </c>
      <c r="K21" s="128">
        <v>6</v>
      </c>
      <c r="L21" s="128">
        <v>6</v>
      </c>
      <c r="M21" s="128">
        <v>6</v>
      </c>
      <c r="N21" s="128">
        <v>6</v>
      </c>
      <c r="O21" s="128">
        <v>6</v>
      </c>
      <c r="P21" s="128">
        <v>6</v>
      </c>
      <c r="Q21" s="128">
        <v>6</v>
      </c>
      <c r="R21" s="128">
        <v>6</v>
      </c>
      <c r="S21" s="128">
        <v>6</v>
      </c>
      <c r="T21" s="128">
        <v>6</v>
      </c>
      <c r="U21" s="128">
        <v>6</v>
      </c>
      <c r="V21" s="128">
        <v>6</v>
      </c>
      <c r="W21" s="128">
        <v>6</v>
      </c>
      <c r="X21" s="128">
        <v>6</v>
      </c>
      <c r="Y21" s="128">
        <v>6</v>
      </c>
      <c r="Z21" s="128">
        <v>6</v>
      </c>
      <c r="AA21" s="128">
        <v>6</v>
      </c>
      <c r="AB21" s="128">
        <v>6</v>
      </c>
      <c r="AC21" s="128">
        <v>6</v>
      </c>
      <c r="AD21" s="128">
        <v>6</v>
      </c>
      <c r="AE21" s="128">
        <v>6</v>
      </c>
      <c r="AF21" s="128">
        <v>6</v>
      </c>
      <c r="AG21" s="128">
        <v>6</v>
      </c>
      <c r="AH21" s="128">
        <v>6</v>
      </c>
      <c r="AI21" s="128">
        <v>6</v>
      </c>
      <c r="AJ21" s="128">
        <v>6</v>
      </c>
      <c r="AK21" s="128">
        <v>6</v>
      </c>
      <c r="AL21" s="128">
        <v>6</v>
      </c>
      <c r="AM21" s="128">
        <v>6</v>
      </c>
      <c r="AN21" s="128">
        <v>6</v>
      </c>
      <c r="AO21" s="128">
        <v>6</v>
      </c>
      <c r="AP21" s="128">
        <v>6</v>
      </c>
      <c r="AQ21" s="128">
        <v>6</v>
      </c>
      <c r="AR21" s="128">
        <v>6</v>
      </c>
      <c r="AS21" s="128">
        <v>6</v>
      </c>
      <c r="AT21" s="128">
        <v>6</v>
      </c>
      <c r="AU21" s="128">
        <v>6</v>
      </c>
      <c r="AV21" s="128">
        <v>6</v>
      </c>
      <c r="AW21" s="128">
        <v>6</v>
      </c>
      <c r="AX21" s="128">
        <v>6</v>
      </c>
      <c r="AY21" s="128">
        <v>6</v>
      </c>
      <c r="AZ21" s="128">
        <v>5</v>
      </c>
      <c r="BA21" s="128">
        <v>5</v>
      </c>
      <c r="BB21" s="128">
        <v>5</v>
      </c>
      <c r="BC21" s="128">
        <v>5</v>
      </c>
      <c r="BD21" s="128">
        <v>5</v>
      </c>
      <c r="BE21" s="128">
        <v>5</v>
      </c>
      <c r="BF21" s="128">
        <v>5</v>
      </c>
      <c r="BG21" s="128">
        <v>5</v>
      </c>
      <c r="BH21" s="128">
        <v>5</v>
      </c>
      <c r="BI21" s="128">
        <v>4</v>
      </c>
      <c r="BJ21" s="128">
        <v>4</v>
      </c>
      <c r="BK21" s="128">
        <v>4</v>
      </c>
      <c r="BL21" s="128">
        <v>4</v>
      </c>
      <c r="BM21" s="128">
        <v>4</v>
      </c>
      <c r="BN21" s="128">
        <v>4</v>
      </c>
      <c r="BO21" s="128">
        <v>4</v>
      </c>
      <c r="BP21" s="128">
        <v>4</v>
      </c>
      <c r="BQ21" s="128">
        <v>4</v>
      </c>
      <c r="BR21" s="128">
        <v>4</v>
      </c>
      <c r="BS21" s="128">
        <v>4</v>
      </c>
      <c r="BT21" s="128">
        <v>4</v>
      </c>
      <c r="BU21" s="128">
        <v>4</v>
      </c>
      <c r="BV21" s="128">
        <v>4</v>
      </c>
      <c r="BW21" s="128">
        <v>4</v>
      </c>
      <c r="BX21" s="176">
        <f t="shared" si="0"/>
        <v>5.458333333333333</v>
      </c>
    </row>
    <row r="22" spans="3:77">
      <c r="C22" s="10" t="s">
        <v>1421</v>
      </c>
      <c r="D22" s="128">
        <v>0</v>
      </c>
      <c r="E22" s="128">
        <v>0</v>
      </c>
      <c r="F22" s="128">
        <v>0</v>
      </c>
      <c r="G22" s="128">
        <v>0</v>
      </c>
      <c r="H22" s="128">
        <v>0</v>
      </c>
      <c r="I22" s="128">
        <v>0</v>
      </c>
      <c r="J22" s="128">
        <v>0</v>
      </c>
      <c r="K22" s="128">
        <v>0</v>
      </c>
      <c r="L22" s="128">
        <v>0</v>
      </c>
      <c r="M22" s="128">
        <v>0</v>
      </c>
      <c r="N22" s="128">
        <v>0</v>
      </c>
      <c r="O22" s="128">
        <v>0</v>
      </c>
      <c r="P22" s="128">
        <v>0</v>
      </c>
      <c r="Q22" s="128">
        <v>0</v>
      </c>
      <c r="R22" s="128">
        <v>0</v>
      </c>
      <c r="S22" s="128">
        <v>0</v>
      </c>
      <c r="T22" s="128">
        <v>0</v>
      </c>
      <c r="U22" s="128">
        <v>0</v>
      </c>
      <c r="V22" s="128">
        <v>0</v>
      </c>
      <c r="W22" s="128">
        <v>0</v>
      </c>
      <c r="X22" s="128">
        <v>0</v>
      </c>
      <c r="Y22" s="128">
        <v>0</v>
      </c>
      <c r="Z22" s="128">
        <v>0</v>
      </c>
      <c r="AA22" s="128">
        <v>0</v>
      </c>
      <c r="AB22" s="128">
        <v>0</v>
      </c>
      <c r="AC22" s="128">
        <v>0</v>
      </c>
      <c r="AD22" s="128">
        <v>0</v>
      </c>
      <c r="AE22" s="128">
        <v>0</v>
      </c>
      <c r="AF22" s="128">
        <v>0</v>
      </c>
      <c r="AG22" s="128">
        <v>0</v>
      </c>
      <c r="AH22" s="128">
        <v>0</v>
      </c>
      <c r="AI22" s="128">
        <v>0</v>
      </c>
      <c r="AJ22" s="128">
        <v>0</v>
      </c>
      <c r="AK22" s="128">
        <v>0</v>
      </c>
      <c r="AL22" s="128">
        <v>0</v>
      </c>
      <c r="AM22" s="128">
        <v>0</v>
      </c>
      <c r="AN22" s="128">
        <v>0</v>
      </c>
      <c r="AO22" s="128">
        <v>0</v>
      </c>
      <c r="AP22" s="128">
        <v>0</v>
      </c>
      <c r="AQ22" s="128">
        <v>0</v>
      </c>
      <c r="AR22" s="128">
        <v>0</v>
      </c>
      <c r="AS22" s="128">
        <v>0</v>
      </c>
      <c r="AT22" s="128">
        <v>0</v>
      </c>
      <c r="AU22" s="128">
        <v>0</v>
      </c>
      <c r="AV22" s="128">
        <v>0</v>
      </c>
      <c r="AW22" s="128">
        <v>1469822</v>
      </c>
      <c r="AX22" s="128">
        <v>1508656</v>
      </c>
      <c r="AY22" s="128">
        <v>1549985</v>
      </c>
      <c r="AZ22" s="128">
        <v>6167523</v>
      </c>
      <c r="BA22" s="128">
        <v>6203186</v>
      </c>
      <c r="BB22" s="128">
        <v>6170635</v>
      </c>
      <c r="BC22" s="128">
        <v>7579390</v>
      </c>
      <c r="BD22" s="128">
        <v>7553756</v>
      </c>
      <c r="BE22" s="128">
        <v>7534652</v>
      </c>
      <c r="BF22" s="128">
        <v>7540365</v>
      </c>
      <c r="BG22" s="128">
        <v>7569675</v>
      </c>
      <c r="BH22" s="128">
        <v>7608056</v>
      </c>
      <c r="BI22" s="128">
        <v>7602361</v>
      </c>
      <c r="BJ22" s="128">
        <v>7603741</v>
      </c>
      <c r="BK22" s="128">
        <v>7611524</v>
      </c>
      <c r="BL22" s="128">
        <v>7649254</v>
      </c>
      <c r="BM22" s="128">
        <v>7730749</v>
      </c>
      <c r="BN22" s="128">
        <v>7818279</v>
      </c>
      <c r="BO22" s="128">
        <v>7856457</v>
      </c>
      <c r="BP22" s="128">
        <v>7893634</v>
      </c>
      <c r="BQ22" s="128">
        <v>7918982</v>
      </c>
      <c r="BR22" s="128">
        <v>7976199</v>
      </c>
      <c r="BS22" s="128">
        <v>8009147</v>
      </c>
      <c r="BT22" s="128">
        <v>8053093</v>
      </c>
      <c r="BU22" s="128">
        <v>8665225</v>
      </c>
      <c r="BV22" s="128">
        <v>8599807</v>
      </c>
      <c r="BW22" s="128">
        <v>8591550</v>
      </c>
      <c r="BX22" s="176">
        <f t="shared" si="0"/>
        <v>2611606.986111111</v>
      </c>
    </row>
    <row r="23" spans="3:77">
      <c r="C23" s="10" t="s">
        <v>1422</v>
      </c>
      <c r="D23" s="128">
        <v>0</v>
      </c>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128">
        <v>0</v>
      </c>
      <c r="V23" s="128">
        <v>0</v>
      </c>
      <c r="W23" s="128">
        <v>0</v>
      </c>
      <c r="X23" s="128">
        <v>0</v>
      </c>
      <c r="Y23" s="128">
        <v>0</v>
      </c>
      <c r="Z23" s="128">
        <v>0</v>
      </c>
      <c r="AA23" s="128">
        <v>0</v>
      </c>
      <c r="AB23" s="128">
        <v>0</v>
      </c>
      <c r="AC23" s="128">
        <v>0</v>
      </c>
      <c r="AD23" s="128">
        <v>0</v>
      </c>
      <c r="AE23" s="128">
        <v>0</v>
      </c>
      <c r="AF23" s="128">
        <v>0</v>
      </c>
      <c r="AG23" s="128">
        <v>0</v>
      </c>
      <c r="AH23" s="128">
        <v>0</v>
      </c>
      <c r="AI23" s="128">
        <v>0</v>
      </c>
      <c r="AJ23" s="128">
        <v>0</v>
      </c>
      <c r="AK23" s="128">
        <v>0</v>
      </c>
      <c r="AL23" s="128">
        <v>0</v>
      </c>
      <c r="AM23" s="128">
        <v>0</v>
      </c>
      <c r="AN23" s="128">
        <v>0</v>
      </c>
      <c r="AO23" s="128">
        <v>0</v>
      </c>
      <c r="AP23" s="128">
        <v>0</v>
      </c>
      <c r="AQ23" s="128">
        <v>0</v>
      </c>
      <c r="AR23" s="128">
        <v>0</v>
      </c>
      <c r="AS23" s="128">
        <v>0</v>
      </c>
      <c r="AT23" s="128">
        <v>0</v>
      </c>
      <c r="AU23" s="128">
        <v>0</v>
      </c>
      <c r="AV23" s="128">
        <v>0</v>
      </c>
      <c r="AW23" s="128">
        <v>1</v>
      </c>
      <c r="AX23" s="128">
        <v>1</v>
      </c>
      <c r="AY23" s="128">
        <v>1</v>
      </c>
      <c r="AZ23" s="128">
        <v>2</v>
      </c>
      <c r="BA23" s="128">
        <v>2</v>
      </c>
      <c r="BB23" s="128">
        <v>2</v>
      </c>
      <c r="BC23" s="128">
        <v>3</v>
      </c>
      <c r="BD23" s="128">
        <v>3</v>
      </c>
      <c r="BE23" s="128">
        <v>3</v>
      </c>
      <c r="BF23" s="128">
        <v>3</v>
      </c>
      <c r="BG23" s="128">
        <v>3</v>
      </c>
      <c r="BH23" s="128">
        <v>3</v>
      </c>
      <c r="BI23" s="128">
        <v>3</v>
      </c>
      <c r="BJ23" s="128">
        <v>3</v>
      </c>
      <c r="BK23" s="128">
        <v>3</v>
      </c>
      <c r="BL23" s="128">
        <v>3</v>
      </c>
      <c r="BM23" s="128">
        <v>3</v>
      </c>
      <c r="BN23" s="128">
        <v>3</v>
      </c>
      <c r="BO23" s="128">
        <v>3</v>
      </c>
      <c r="BP23" s="128">
        <v>3</v>
      </c>
      <c r="BQ23" s="128">
        <v>3</v>
      </c>
      <c r="BR23" s="128">
        <v>3</v>
      </c>
      <c r="BS23" s="128">
        <v>3</v>
      </c>
      <c r="BT23" s="128">
        <v>3</v>
      </c>
      <c r="BU23" s="128">
        <v>3</v>
      </c>
      <c r="BV23" s="128">
        <v>3</v>
      </c>
      <c r="BW23" s="128">
        <v>3</v>
      </c>
      <c r="BX23" s="176">
        <f t="shared" si="0"/>
        <v>1</v>
      </c>
    </row>
    <row r="24" spans="3:77">
      <c r="C24" s="10" t="s">
        <v>1423</v>
      </c>
      <c r="D24" s="128">
        <f t="shared" ref="D24:AI24" si="1">D19-D20-D22</f>
        <v>3488709</v>
      </c>
      <c r="E24" s="128">
        <f t="shared" si="1"/>
        <v>3600461</v>
      </c>
      <c r="F24" s="128">
        <f t="shared" si="1"/>
        <v>3751979</v>
      </c>
      <c r="G24" s="128">
        <f t="shared" si="1"/>
        <v>3882804</v>
      </c>
      <c r="H24" s="128">
        <f t="shared" si="1"/>
        <v>3977063</v>
      </c>
      <c r="I24" s="128">
        <f t="shared" si="1"/>
        <v>4041518</v>
      </c>
      <c r="J24" s="128">
        <f t="shared" si="1"/>
        <v>4112523</v>
      </c>
      <c r="K24" s="128">
        <f t="shared" si="1"/>
        <v>4187224</v>
      </c>
      <c r="L24" s="128">
        <f t="shared" si="1"/>
        <v>4256409</v>
      </c>
      <c r="M24" s="128">
        <f t="shared" si="1"/>
        <v>4122778</v>
      </c>
      <c r="N24" s="128">
        <f t="shared" si="1"/>
        <v>4163581</v>
      </c>
      <c r="O24" s="128">
        <f t="shared" si="1"/>
        <v>4405516</v>
      </c>
      <c r="P24" s="128">
        <f t="shared" si="1"/>
        <v>4503244</v>
      </c>
      <c r="Q24" s="128">
        <f t="shared" si="1"/>
        <v>4610899</v>
      </c>
      <c r="R24" s="128">
        <f t="shared" si="1"/>
        <v>4753111</v>
      </c>
      <c r="S24" s="128">
        <f t="shared" si="1"/>
        <v>4897171</v>
      </c>
      <c r="T24" s="128">
        <f t="shared" si="1"/>
        <v>5023087</v>
      </c>
      <c r="U24" s="128">
        <f t="shared" si="1"/>
        <v>5112896</v>
      </c>
      <c r="V24" s="128">
        <f t="shared" si="1"/>
        <v>5184791</v>
      </c>
      <c r="W24" s="128">
        <f t="shared" si="1"/>
        <v>5292956</v>
      </c>
      <c r="X24" s="128">
        <f t="shared" si="1"/>
        <v>5450034</v>
      </c>
      <c r="Y24" s="128">
        <f t="shared" si="1"/>
        <v>5626024</v>
      </c>
      <c r="Z24" s="128">
        <f t="shared" si="1"/>
        <v>5735075</v>
      </c>
      <c r="AA24" s="128">
        <f t="shared" si="1"/>
        <v>5847717</v>
      </c>
      <c r="AB24" s="128">
        <f t="shared" si="1"/>
        <v>5943060</v>
      </c>
      <c r="AC24" s="128">
        <f t="shared" si="1"/>
        <v>6067389</v>
      </c>
      <c r="AD24" s="128">
        <f t="shared" si="1"/>
        <v>6174489</v>
      </c>
      <c r="AE24" s="128">
        <f t="shared" si="1"/>
        <v>6282403</v>
      </c>
      <c r="AF24" s="128">
        <f t="shared" si="1"/>
        <v>6453997</v>
      </c>
      <c r="AG24" s="128">
        <f t="shared" si="1"/>
        <v>6673373</v>
      </c>
      <c r="AH24" s="128">
        <f t="shared" si="1"/>
        <v>6851938</v>
      </c>
      <c r="AI24" s="128">
        <f t="shared" si="1"/>
        <v>7000940</v>
      </c>
      <c r="AJ24" s="128">
        <f t="shared" ref="AJ24:BO24" si="2">AJ19-AJ20-AJ22</f>
        <v>7165452</v>
      </c>
      <c r="AK24" s="128">
        <f t="shared" si="2"/>
        <v>7309754</v>
      </c>
      <c r="AL24" s="128">
        <f t="shared" si="2"/>
        <v>7388976</v>
      </c>
      <c r="AM24" s="128">
        <f t="shared" si="2"/>
        <v>7377833</v>
      </c>
      <c r="AN24" s="128">
        <f t="shared" si="2"/>
        <v>7481385</v>
      </c>
      <c r="AO24" s="128">
        <f t="shared" si="2"/>
        <v>7598944</v>
      </c>
      <c r="AP24" s="128">
        <f t="shared" si="2"/>
        <v>7791879</v>
      </c>
      <c r="AQ24" s="128">
        <f t="shared" si="2"/>
        <v>8024073</v>
      </c>
      <c r="AR24" s="128">
        <f t="shared" si="2"/>
        <v>8160261</v>
      </c>
      <c r="AS24" s="128">
        <f t="shared" si="2"/>
        <v>8240681</v>
      </c>
      <c r="AT24" s="128">
        <f t="shared" si="2"/>
        <v>8331422</v>
      </c>
      <c r="AU24" s="128">
        <f t="shared" si="2"/>
        <v>8453997</v>
      </c>
      <c r="AV24" s="128">
        <f t="shared" si="2"/>
        <v>8572738</v>
      </c>
      <c r="AW24" s="128">
        <f t="shared" si="2"/>
        <v>7056058</v>
      </c>
      <c r="AX24" s="128">
        <f t="shared" si="2"/>
        <v>7098667</v>
      </c>
      <c r="AY24" s="128">
        <f t="shared" si="2"/>
        <v>7113443</v>
      </c>
      <c r="AZ24" s="128">
        <f t="shared" si="2"/>
        <v>6039010</v>
      </c>
      <c r="BA24" s="128">
        <f t="shared" si="2"/>
        <v>6041193</v>
      </c>
      <c r="BB24" s="128">
        <f t="shared" si="2"/>
        <v>6185237</v>
      </c>
      <c r="BC24" s="128">
        <f t="shared" si="2"/>
        <v>4725184</v>
      </c>
      <c r="BD24" s="128">
        <f t="shared" si="2"/>
        <v>4803873</v>
      </c>
      <c r="BE24" s="128">
        <f t="shared" si="2"/>
        <v>4924593</v>
      </c>
      <c r="BF24" s="128">
        <f t="shared" si="2"/>
        <v>5057321</v>
      </c>
      <c r="BG24" s="128">
        <f t="shared" si="2"/>
        <v>5147528</v>
      </c>
      <c r="BH24" s="128">
        <f t="shared" si="2"/>
        <v>5252932</v>
      </c>
      <c r="BI24" s="128">
        <f t="shared" si="2"/>
        <v>6616381</v>
      </c>
      <c r="BJ24" s="128">
        <f t="shared" si="2"/>
        <v>6285623</v>
      </c>
      <c r="BK24" s="128">
        <f t="shared" si="2"/>
        <v>6044537</v>
      </c>
      <c r="BL24" s="128">
        <f t="shared" si="2"/>
        <v>5265913</v>
      </c>
      <c r="BM24" s="128">
        <f t="shared" si="2"/>
        <v>4875166</v>
      </c>
      <c r="BN24" s="128">
        <f t="shared" si="2"/>
        <v>4983112</v>
      </c>
      <c r="BO24" s="128">
        <f t="shared" si="2"/>
        <v>5104723</v>
      </c>
      <c r="BP24" s="128">
        <f t="shared" ref="BP24:BW24" si="3">BP19-BP20-BP22</f>
        <v>5177050</v>
      </c>
      <c r="BQ24" s="128">
        <f t="shared" si="3"/>
        <v>5234556</v>
      </c>
      <c r="BR24" s="128">
        <f t="shared" si="3"/>
        <v>5282306</v>
      </c>
      <c r="BS24" s="128">
        <f t="shared" si="3"/>
        <v>5307205</v>
      </c>
      <c r="BT24" s="128">
        <f t="shared" si="3"/>
        <v>4637411</v>
      </c>
      <c r="BU24" s="128">
        <f t="shared" si="3"/>
        <v>3797619</v>
      </c>
      <c r="BV24" s="128">
        <f t="shared" si="3"/>
        <v>3783989</v>
      </c>
      <c r="BW24" s="128">
        <f t="shared" si="3"/>
        <v>3676405</v>
      </c>
      <c r="BX24" s="176">
        <f>AVERAGE(D24:BW24)</f>
        <v>5679022.069444444</v>
      </c>
    </row>
    <row r="25" spans="3:77">
      <c r="C25" s="10" t="s">
        <v>1424</v>
      </c>
      <c r="D25" s="128">
        <v>17</v>
      </c>
      <c r="E25" s="128">
        <v>17</v>
      </c>
      <c r="F25" s="128">
        <v>17</v>
      </c>
      <c r="G25" s="128">
        <v>17</v>
      </c>
      <c r="H25" s="128">
        <v>17</v>
      </c>
      <c r="I25" s="128">
        <v>17</v>
      </c>
      <c r="J25" s="128">
        <v>17</v>
      </c>
      <c r="K25" s="128">
        <v>17</v>
      </c>
      <c r="L25" s="128">
        <v>17</v>
      </c>
      <c r="M25" s="128">
        <v>18</v>
      </c>
      <c r="N25" s="128">
        <v>18</v>
      </c>
      <c r="O25" s="128">
        <v>18</v>
      </c>
      <c r="P25" s="128">
        <v>18</v>
      </c>
      <c r="Q25" s="128">
        <v>19</v>
      </c>
      <c r="R25" s="128">
        <v>19</v>
      </c>
      <c r="S25" s="128">
        <v>20</v>
      </c>
      <c r="T25" s="128">
        <v>20</v>
      </c>
      <c r="U25" s="128">
        <v>20</v>
      </c>
      <c r="V25" s="128">
        <v>20</v>
      </c>
      <c r="W25" s="128">
        <v>22</v>
      </c>
      <c r="X25" s="128">
        <v>23</v>
      </c>
      <c r="Y25" s="128">
        <v>23</v>
      </c>
      <c r="Z25" s="128">
        <v>23</v>
      </c>
      <c r="AA25" s="128">
        <v>23</v>
      </c>
      <c r="AB25" s="128">
        <v>24</v>
      </c>
      <c r="AC25" s="128">
        <v>24</v>
      </c>
      <c r="AD25" s="128">
        <v>24</v>
      </c>
      <c r="AE25" s="128">
        <v>24</v>
      </c>
      <c r="AF25" s="128">
        <v>24</v>
      </c>
      <c r="AG25" s="128">
        <v>24</v>
      </c>
      <c r="AH25" s="128">
        <v>24</v>
      </c>
      <c r="AI25" s="128">
        <v>24</v>
      </c>
      <c r="AJ25" s="128">
        <v>24</v>
      </c>
      <c r="AK25" s="128">
        <v>24</v>
      </c>
      <c r="AL25" s="128">
        <v>24</v>
      </c>
      <c r="AM25" s="128">
        <v>24</v>
      </c>
      <c r="AN25" s="128">
        <v>24</v>
      </c>
      <c r="AO25" s="128">
        <v>25</v>
      </c>
      <c r="AP25" s="128">
        <v>25</v>
      </c>
      <c r="AQ25" s="128">
        <v>26</v>
      </c>
      <c r="AR25" s="128">
        <v>26</v>
      </c>
      <c r="AS25" s="128">
        <v>26</v>
      </c>
      <c r="AT25" s="128">
        <v>25</v>
      </c>
      <c r="AU25" s="128">
        <v>25</v>
      </c>
      <c r="AV25" s="128">
        <v>24</v>
      </c>
      <c r="AW25" s="128">
        <v>25</v>
      </c>
      <c r="AX25" s="128">
        <v>24</v>
      </c>
      <c r="AY25" s="128">
        <v>24</v>
      </c>
      <c r="AZ25" s="128">
        <v>23</v>
      </c>
      <c r="BA25" s="128">
        <v>24</v>
      </c>
      <c r="BB25" s="128">
        <v>23</v>
      </c>
      <c r="BC25" s="128">
        <v>22</v>
      </c>
      <c r="BD25" s="128">
        <v>22</v>
      </c>
      <c r="BE25" s="128">
        <v>22</v>
      </c>
      <c r="BF25" s="128">
        <v>22</v>
      </c>
      <c r="BG25" s="128">
        <v>22</v>
      </c>
      <c r="BH25" s="128">
        <v>20</v>
      </c>
      <c r="BI25" s="128">
        <v>20</v>
      </c>
      <c r="BJ25" s="128">
        <v>20</v>
      </c>
      <c r="BK25" s="128">
        <v>20</v>
      </c>
      <c r="BL25" s="128">
        <v>20</v>
      </c>
      <c r="BM25" s="128">
        <v>20</v>
      </c>
      <c r="BN25" s="128">
        <v>20</v>
      </c>
      <c r="BO25" s="128">
        <v>20</v>
      </c>
      <c r="BP25" s="128">
        <v>20</v>
      </c>
      <c r="BQ25" s="128">
        <v>20</v>
      </c>
      <c r="BR25" s="128">
        <v>20</v>
      </c>
      <c r="BS25" s="128">
        <v>19</v>
      </c>
      <c r="BT25" s="128">
        <v>19</v>
      </c>
      <c r="BU25" s="128">
        <v>19</v>
      </c>
      <c r="BV25" s="128">
        <v>19</v>
      </c>
      <c r="BW25" s="128">
        <v>19</v>
      </c>
      <c r="BX25" s="176">
        <f t="shared" si="0"/>
        <v>21.375</v>
      </c>
    </row>
    <row r="26" spans="3:77">
      <c r="C26" s="10" t="s">
        <v>1425</v>
      </c>
      <c r="D26" s="128">
        <v>601446</v>
      </c>
      <c r="E26" s="128">
        <v>649271</v>
      </c>
      <c r="F26" s="128">
        <v>723260</v>
      </c>
      <c r="G26" s="128">
        <v>765322</v>
      </c>
      <c r="H26" s="128">
        <v>803701</v>
      </c>
      <c r="I26" s="128">
        <v>838856</v>
      </c>
      <c r="J26" s="128">
        <v>881913</v>
      </c>
      <c r="K26" s="128">
        <v>916574</v>
      </c>
      <c r="L26" s="128">
        <v>949742</v>
      </c>
      <c r="M26" s="128">
        <v>809658</v>
      </c>
      <c r="N26" s="128">
        <v>832570</v>
      </c>
      <c r="O26" s="128">
        <v>871622</v>
      </c>
      <c r="P26" s="128">
        <v>904002</v>
      </c>
      <c r="Q26" s="128">
        <v>944764</v>
      </c>
      <c r="R26" s="128">
        <v>1017407</v>
      </c>
      <c r="S26" s="128">
        <v>1084727</v>
      </c>
      <c r="T26" s="128">
        <v>1156289</v>
      </c>
      <c r="U26" s="128">
        <v>1220963</v>
      </c>
      <c r="V26" s="128">
        <v>1277072</v>
      </c>
      <c r="W26" s="128">
        <v>1362248</v>
      </c>
      <c r="X26" s="128">
        <v>1456239</v>
      </c>
      <c r="Y26" s="128">
        <v>1526758</v>
      </c>
      <c r="Z26" s="128">
        <v>1608602</v>
      </c>
      <c r="AA26" s="128">
        <v>1703275</v>
      </c>
      <c r="AB26" s="128">
        <v>1773657</v>
      </c>
      <c r="AC26" s="128">
        <v>1813729</v>
      </c>
      <c r="AD26" s="128">
        <v>1849822</v>
      </c>
      <c r="AE26" s="128">
        <v>1897576</v>
      </c>
      <c r="AF26" s="128">
        <v>2059427</v>
      </c>
      <c r="AG26" s="128">
        <v>2260993</v>
      </c>
      <c r="AH26" s="128">
        <v>2395874</v>
      </c>
      <c r="AI26" s="128">
        <v>2438877</v>
      </c>
      <c r="AJ26" s="128">
        <v>2567147</v>
      </c>
      <c r="AK26" s="128">
        <v>2662595</v>
      </c>
      <c r="AL26" s="128">
        <v>2717094</v>
      </c>
      <c r="AM26" s="128">
        <v>2374697</v>
      </c>
      <c r="AN26" s="128">
        <v>2248335</v>
      </c>
      <c r="AO26" s="128">
        <v>2325153</v>
      </c>
      <c r="AP26" s="128">
        <v>2446169</v>
      </c>
      <c r="AQ26" s="128">
        <v>2559949</v>
      </c>
      <c r="AR26" s="128">
        <v>2656336</v>
      </c>
      <c r="AS26" s="128">
        <v>2720281</v>
      </c>
      <c r="AT26" s="128">
        <v>2785757</v>
      </c>
      <c r="AU26" s="128">
        <v>2885178</v>
      </c>
      <c r="AV26" s="128">
        <v>2899768</v>
      </c>
      <c r="AW26" s="128">
        <v>2866802</v>
      </c>
      <c r="AX26" s="128">
        <v>2962048</v>
      </c>
      <c r="AY26" s="128">
        <v>3027692</v>
      </c>
      <c r="AZ26" s="128">
        <v>3101700</v>
      </c>
      <c r="BA26" s="128">
        <v>3098514</v>
      </c>
      <c r="BB26" s="128">
        <v>3256876</v>
      </c>
      <c r="BC26" s="128">
        <v>3336035</v>
      </c>
      <c r="BD26" s="128">
        <v>3443020</v>
      </c>
      <c r="BE26" s="128">
        <v>3578122</v>
      </c>
      <c r="BF26" s="128">
        <v>3704491</v>
      </c>
      <c r="BG26" s="128">
        <v>3782972</v>
      </c>
      <c r="BH26" s="128">
        <v>3947690</v>
      </c>
      <c r="BI26" s="128">
        <v>3962923</v>
      </c>
      <c r="BJ26" s="128">
        <v>3875101</v>
      </c>
      <c r="BK26" s="128">
        <v>3873222</v>
      </c>
      <c r="BL26" s="128">
        <v>3886342</v>
      </c>
      <c r="BM26" s="128">
        <v>3521407</v>
      </c>
      <c r="BN26" s="128">
        <v>3605825</v>
      </c>
      <c r="BO26" s="128">
        <v>3704391</v>
      </c>
      <c r="BP26" s="128">
        <v>3757281</v>
      </c>
      <c r="BQ26" s="128">
        <v>3781229</v>
      </c>
      <c r="BR26" s="128">
        <v>3815937</v>
      </c>
      <c r="BS26" s="128">
        <v>3841114</v>
      </c>
      <c r="BT26" s="128">
        <v>3181660</v>
      </c>
      <c r="BU26" s="128">
        <v>2074690</v>
      </c>
      <c r="BV26" s="128">
        <v>1779396</v>
      </c>
      <c r="BW26" s="128">
        <v>1668969</v>
      </c>
      <c r="BX26" s="176">
        <f t="shared" si="0"/>
        <v>2301113.111111111</v>
      </c>
    </row>
    <row r="27" spans="3:77">
      <c r="C27" s="62" t="s">
        <v>1426</v>
      </c>
      <c r="D27" s="177">
        <v>14</v>
      </c>
      <c r="E27" s="177">
        <v>14</v>
      </c>
      <c r="F27" s="177">
        <v>16</v>
      </c>
      <c r="G27" s="177">
        <v>16</v>
      </c>
      <c r="H27" s="177">
        <v>17</v>
      </c>
      <c r="I27" s="177">
        <v>17</v>
      </c>
      <c r="J27" s="177">
        <v>17</v>
      </c>
      <c r="K27" s="177">
        <v>18</v>
      </c>
      <c r="L27" s="177">
        <v>19</v>
      </c>
      <c r="M27" s="177">
        <v>19</v>
      </c>
      <c r="N27" s="177">
        <v>21</v>
      </c>
      <c r="O27" s="177">
        <v>20</v>
      </c>
      <c r="P27" s="177">
        <v>22</v>
      </c>
      <c r="Q27" s="177">
        <v>22</v>
      </c>
      <c r="R27" s="177">
        <v>22</v>
      </c>
      <c r="S27" s="177">
        <v>25</v>
      </c>
      <c r="T27" s="177">
        <v>25</v>
      </c>
      <c r="U27" s="177">
        <v>25</v>
      </c>
      <c r="V27" s="177">
        <v>26</v>
      </c>
      <c r="W27" s="177">
        <v>28</v>
      </c>
      <c r="X27" s="177">
        <v>29</v>
      </c>
      <c r="Y27" s="177">
        <v>30</v>
      </c>
      <c r="Z27" s="177">
        <v>31</v>
      </c>
      <c r="AA27" s="177">
        <v>32</v>
      </c>
      <c r="AB27" s="177">
        <v>33</v>
      </c>
      <c r="AC27" s="177">
        <v>33</v>
      </c>
      <c r="AD27" s="177">
        <v>33</v>
      </c>
      <c r="AE27" s="177">
        <v>34</v>
      </c>
      <c r="AF27" s="177">
        <v>34</v>
      </c>
      <c r="AG27" s="177">
        <v>34</v>
      </c>
      <c r="AH27" s="177">
        <v>34</v>
      </c>
      <c r="AI27" s="177">
        <v>33</v>
      </c>
      <c r="AJ27" s="177">
        <v>32</v>
      </c>
      <c r="AK27" s="177">
        <v>31</v>
      </c>
      <c r="AL27" s="177">
        <v>30</v>
      </c>
      <c r="AM27" s="177">
        <v>28</v>
      </c>
      <c r="AN27" s="177">
        <v>27</v>
      </c>
      <c r="AO27" s="177">
        <v>27</v>
      </c>
      <c r="AP27" s="177">
        <v>27</v>
      </c>
      <c r="AQ27" s="177">
        <v>25</v>
      </c>
      <c r="AR27" s="177">
        <v>26</v>
      </c>
      <c r="AS27" s="177">
        <v>28</v>
      </c>
      <c r="AT27" s="177">
        <v>28</v>
      </c>
      <c r="AU27" s="177">
        <v>27</v>
      </c>
      <c r="AV27" s="177">
        <v>25</v>
      </c>
      <c r="AW27" s="177">
        <v>23</v>
      </c>
      <c r="AX27" s="177">
        <v>24</v>
      </c>
      <c r="AY27" s="177">
        <v>23</v>
      </c>
      <c r="AZ27" s="177">
        <v>24</v>
      </c>
      <c r="BA27" s="177">
        <v>24</v>
      </c>
      <c r="BB27" s="177">
        <v>24</v>
      </c>
      <c r="BC27" s="177">
        <v>24</v>
      </c>
      <c r="BD27" s="177">
        <v>25</v>
      </c>
      <c r="BE27" s="177">
        <v>25</v>
      </c>
      <c r="BF27" s="177">
        <v>25</v>
      </c>
      <c r="BG27" s="177">
        <v>25</v>
      </c>
      <c r="BH27" s="177">
        <v>25</v>
      </c>
      <c r="BI27" s="177">
        <v>25</v>
      </c>
      <c r="BJ27" s="177">
        <v>24</v>
      </c>
      <c r="BK27" s="177">
        <v>24</v>
      </c>
      <c r="BL27" s="177">
        <v>23</v>
      </c>
      <c r="BM27" s="177">
        <v>21</v>
      </c>
      <c r="BN27" s="177">
        <v>21</v>
      </c>
      <c r="BO27" s="177">
        <v>21</v>
      </c>
      <c r="BP27" s="177">
        <v>21</v>
      </c>
      <c r="BQ27" s="177">
        <v>21</v>
      </c>
      <c r="BR27" s="177">
        <v>21</v>
      </c>
      <c r="BS27" s="177">
        <v>21</v>
      </c>
      <c r="BT27" s="177">
        <v>17</v>
      </c>
      <c r="BU27" s="177">
        <v>12</v>
      </c>
      <c r="BV27" s="177">
        <v>6</v>
      </c>
      <c r="BW27" s="177">
        <v>2</v>
      </c>
      <c r="BX27" s="178">
        <f t="shared" si="0"/>
        <v>23.958333333333332</v>
      </c>
    </row>
    <row r="28" spans="3:77"/>
    <row r="29" spans="3:77" ht="13.8" thickBot="1"/>
    <row r="30" spans="3:77" ht="13.8" thickBot="1">
      <c r="C30" s="50" t="s">
        <v>1427</v>
      </c>
      <c r="D30" s="179">
        <v>0.05</v>
      </c>
    </row>
    <row r="31" spans="3:77"/>
    <row r="32" spans="3:77"/>
    <row r="33" spans="2:24"/>
    <row r="34" spans="2:24">
      <c r="B34" s="14" t="s">
        <v>362</v>
      </c>
      <c r="C34" s="16"/>
      <c r="D34" s="14"/>
      <c r="E34" s="15"/>
      <c r="F34" s="15"/>
      <c r="G34" s="15"/>
      <c r="H34" s="16"/>
      <c r="I34" s="14"/>
      <c r="J34" s="15"/>
      <c r="K34" s="15"/>
      <c r="L34" s="15"/>
      <c r="M34" s="15"/>
      <c r="N34" s="15"/>
      <c r="O34" s="15"/>
      <c r="P34" s="15"/>
      <c r="Q34" s="15"/>
      <c r="R34" s="15"/>
      <c r="S34" s="15"/>
      <c r="T34" s="15"/>
      <c r="U34" s="15"/>
      <c r="V34" s="15"/>
      <c r="W34" s="15"/>
      <c r="X34" s="15"/>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E5AD-C218-435D-A7AC-CD80589F0A38}">
  <sheetPr codeName="Sheet45">
    <tabColor theme="7" tint="0.79998168889431442"/>
  </sheetPr>
  <dimension ref="A1:X15"/>
  <sheetViews>
    <sheetView showGridLines="0" workbookViewId="0"/>
  </sheetViews>
  <sheetFormatPr defaultColWidth="0" defaultRowHeight="14.4" zeroHeight="1"/>
  <cols>
    <col min="1" max="1" width="18" style="4" bestFit="1" customWidth="1"/>
    <col min="2" max="2" width="22.6640625" style="4" customWidth="1"/>
    <col min="3" max="3" width="29" style="4" customWidth="1"/>
    <col min="4" max="4" width="17.33203125" style="4" bestFit="1" customWidth="1"/>
    <col min="5" max="6" width="14.5546875" style="4" bestFit="1" customWidth="1"/>
    <col min="7" max="7" width="33" style="4" customWidth="1"/>
    <col min="8" max="8" width="17.44140625" style="4" bestFit="1" customWidth="1"/>
    <col min="9" max="9" width="9" style="4" customWidth="1"/>
    <col min="10" max="24" width="0" style="4" hidden="1" customWidth="1"/>
    <col min="25" max="16384" width="9" style="4" hidden="1"/>
  </cols>
  <sheetData>
    <row r="1" spans="1:24" ht="18">
      <c r="A1" s="59" t="s">
        <v>91</v>
      </c>
    </row>
    <row r="2" spans="1:24"/>
    <row r="3" spans="1:24"/>
    <row r="4" spans="1:24" s="3" customFormat="1" ht="14.4" customHeight="1">
      <c r="B4" s="605" t="s">
        <v>1428</v>
      </c>
      <c r="C4" s="605"/>
      <c r="D4" s="605"/>
      <c r="E4" s="605"/>
      <c r="F4" s="605"/>
      <c r="G4" s="605"/>
      <c r="H4" s="605"/>
    </row>
    <row r="5" spans="1:24" ht="15.6" customHeight="1">
      <c r="A5" s="603"/>
      <c r="B5" s="603"/>
      <c r="C5" s="3"/>
      <c r="D5" s="606" t="s">
        <v>1429</v>
      </c>
      <c r="E5" s="606" t="s">
        <v>1430</v>
      </c>
      <c r="F5" s="606" t="s">
        <v>1431</v>
      </c>
      <c r="G5" s="606" t="s">
        <v>1432</v>
      </c>
      <c r="H5" s="606" t="s">
        <v>107</v>
      </c>
    </row>
    <row r="6" spans="1:24" ht="15" thickBot="1">
      <c r="A6" s="604"/>
      <c r="B6" s="604"/>
      <c r="C6" s="602" t="s">
        <v>1433</v>
      </c>
      <c r="D6" s="5">
        <v>1291182</v>
      </c>
      <c r="E6" s="5">
        <v>47643274.829999998</v>
      </c>
      <c r="F6" s="5">
        <v>5646081</v>
      </c>
      <c r="G6" s="5">
        <v>5385468</v>
      </c>
      <c r="H6" s="5">
        <v>59966005.829999998</v>
      </c>
    </row>
    <row r="7" spans="1:24" ht="15" thickTop="1"/>
    <row r="8" spans="1:24"/>
    <row r="9" spans="1:24" ht="14.4" customHeight="1">
      <c r="B9" s="605" t="s">
        <v>1434</v>
      </c>
      <c r="C9" s="605"/>
      <c r="D9" s="605"/>
      <c r="E9" s="605"/>
      <c r="F9" s="605"/>
      <c r="G9" s="605"/>
      <c r="H9" s="605"/>
    </row>
    <row r="10" spans="1:24" ht="15.6" customHeight="1">
      <c r="A10" s="3"/>
      <c r="B10" s="3"/>
      <c r="C10" s="3"/>
      <c r="D10" s="606" t="s">
        <v>1429</v>
      </c>
      <c r="E10" s="606" t="s">
        <v>1430</v>
      </c>
      <c r="F10" s="606" t="s">
        <v>1431</v>
      </c>
      <c r="G10" s="606" t="s">
        <v>1432</v>
      </c>
      <c r="H10" s="606" t="s">
        <v>107</v>
      </c>
    </row>
    <row r="11" spans="1:24" ht="15" thickBot="1">
      <c r="C11" s="602" t="s">
        <v>621</v>
      </c>
      <c r="D11" s="5">
        <v>1712989022.4699998</v>
      </c>
      <c r="E11" s="5">
        <v>69125883.599999994</v>
      </c>
      <c r="F11" s="5">
        <v>48708894.814897895</v>
      </c>
      <c r="G11" s="5">
        <v>6463500.71</v>
      </c>
      <c r="H11" s="5">
        <v>1837287301.5948977</v>
      </c>
    </row>
    <row r="12" spans="1:24" ht="15" thickTop="1">
      <c r="C12" s="4" t="s">
        <v>1435</v>
      </c>
      <c r="D12" s="6">
        <f>D11/$H$11</f>
        <v>0.93234684688834557</v>
      </c>
      <c r="E12" s="6">
        <f>E11/$H$11</f>
        <v>3.762388361362632E-2</v>
      </c>
      <c r="F12" s="6">
        <f>F11/$H$11</f>
        <v>2.651131087261914E-2</v>
      </c>
      <c r="G12" s="6">
        <f>G11/$H$11</f>
        <v>3.5179586254088925E-3</v>
      </c>
    </row>
    <row r="13" spans="1:24"/>
    <row r="14" spans="1:24"/>
    <row r="15" spans="1:24">
      <c r="B15" s="14" t="s">
        <v>362</v>
      </c>
      <c r="C15" s="15"/>
      <c r="D15" s="15"/>
      <c r="E15" s="15"/>
      <c r="F15" s="16"/>
      <c r="G15" s="14"/>
      <c r="H15" s="15"/>
      <c r="I15" s="15"/>
      <c r="J15" s="15"/>
      <c r="K15" s="16"/>
      <c r="L15" s="14"/>
      <c r="M15" s="15"/>
      <c r="N15" s="15"/>
      <c r="O15" s="15"/>
      <c r="P15" s="15"/>
      <c r="Q15" s="15"/>
      <c r="R15" s="15"/>
      <c r="S15" s="15"/>
      <c r="T15" s="15"/>
      <c r="U15" s="15"/>
      <c r="V15" s="15"/>
      <c r="W15" s="15"/>
      <c r="X15" s="15"/>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C0B4-1CC3-4E49-8F2C-3BFA038447E2}">
  <sheetPr codeName="Sheet48">
    <tabColor theme="7" tint="0.79998168889431442"/>
  </sheetPr>
  <dimension ref="A1:AO39"/>
  <sheetViews>
    <sheetView showGridLines="0" workbookViewId="0"/>
  </sheetViews>
  <sheetFormatPr defaultColWidth="0" defaultRowHeight="14.4" zeroHeight="1"/>
  <cols>
    <col min="1" max="1" width="9" customWidth="1"/>
    <col min="2" max="2" width="15" customWidth="1"/>
    <col min="3" max="3" width="22.109375" bestFit="1" customWidth="1"/>
    <col min="4" max="12" width="12.109375" bestFit="1" customWidth="1"/>
    <col min="13" max="13" width="12" customWidth="1"/>
    <col min="14" max="16" width="9" customWidth="1"/>
    <col min="17" max="41" width="0" hidden="1" customWidth="1"/>
    <col min="42" max="16384" width="9" hidden="1"/>
  </cols>
  <sheetData>
    <row r="1" spans="1:41" ht="21">
      <c r="A1" s="43" t="s">
        <v>96</v>
      </c>
      <c r="B1" s="607"/>
      <c r="C1" s="607"/>
      <c r="D1" s="607"/>
      <c r="E1" s="607"/>
      <c r="F1" s="607"/>
      <c r="G1" s="607"/>
      <c r="H1" s="607"/>
      <c r="I1" s="607"/>
      <c r="J1" s="607"/>
      <c r="K1" s="607"/>
    </row>
    <row r="2" spans="1:41" ht="57" customHeight="1">
      <c r="A2" s="922" t="s">
        <v>1436</v>
      </c>
      <c r="B2" s="922"/>
      <c r="C2" s="922"/>
      <c r="D2" s="922"/>
      <c r="E2" s="922"/>
      <c r="F2" s="922"/>
      <c r="G2" s="922"/>
      <c r="H2" s="922"/>
      <c r="I2" s="922"/>
      <c r="J2" s="922"/>
      <c r="K2" s="922"/>
      <c r="L2" s="922"/>
      <c r="M2" s="922"/>
      <c r="N2" s="922"/>
      <c r="O2" s="922"/>
    </row>
    <row r="3" spans="1:41" ht="24" customHeight="1">
      <c r="A3" s="610"/>
      <c r="B3" s="610"/>
      <c r="C3" s="610"/>
      <c r="D3" s="610"/>
      <c r="E3" s="610"/>
      <c r="F3" s="610"/>
      <c r="G3" s="610"/>
      <c r="H3" s="610"/>
      <c r="I3" s="10"/>
      <c r="J3" s="10"/>
      <c r="K3" s="10"/>
      <c r="L3" s="10"/>
      <c r="M3" s="10"/>
      <c r="N3" s="10"/>
      <c r="O3" s="10"/>
    </row>
    <row r="4" spans="1:41">
      <c r="A4" s="28" t="s">
        <v>1437</v>
      </c>
      <c r="B4" s="28"/>
      <c r="C4" s="28"/>
      <c r="D4" s="28"/>
      <c r="E4" s="28"/>
      <c r="F4" s="28"/>
      <c r="G4" s="28"/>
      <c r="H4" s="28"/>
      <c r="I4" s="28"/>
      <c r="J4" s="28"/>
      <c r="K4" s="28"/>
      <c r="L4" s="28"/>
      <c r="M4" s="28"/>
      <c r="N4" s="10"/>
      <c r="O4" s="10"/>
    </row>
    <row r="5" spans="1:41">
      <c r="A5" s="10" t="s">
        <v>1438</v>
      </c>
      <c r="B5" s="611"/>
      <c r="C5" s="611"/>
      <c r="D5" s="611"/>
      <c r="E5" s="611"/>
      <c r="F5" s="611"/>
      <c r="G5" s="611"/>
      <c r="H5" s="611"/>
      <c r="I5" s="611"/>
      <c r="J5" s="611"/>
      <c r="K5" s="611"/>
      <c r="L5" s="611"/>
      <c r="M5" s="611"/>
      <c r="N5" s="10"/>
      <c r="O5" s="10"/>
    </row>
    <row r="6" spans="1:41">
      <c r="A6" s="611"/>
      <c r="B6" s="611"/>
      <c r="C6" s="611"/>
      <c r="D6" s="611"/>
      <c r="E6" s="611"/>
      <c r="F6" s="611"/>
      <c r="G6" s="611"/>
      <c r="H6" s="611"/>
      <c r="I6" s="611"/>
      <c r="J6" s="611"/>
      <c r="K6" s="611"/>
      <c r="L6" s="611"/>
      <c r="M6" s="611"/>
      <c r="N6" s="10"/>
      <c r="O6" s="10"/>
    </row>
    <row r="7" spans="1:41">
      <c r="A7" s="611"/>
      <c r="B7" s="611"/>
      <c r="C7" s="611"/>
      <c r="D7" s="611"/>
      <c r="E7" s="611"/>
      <c r="F7" s="611"/>
      <c r="G7" s="611"/>
      <c r="H7" s="611"/>
      <c r="I7" s="611"/>
      <c r="J7" s="611"/>
      <c r="K7" s="611"/>
      <c r="L7" s="611"/>
      <c r="M7" s="611"/>
      <c r="N7" s="10"/>
      <c r="O7" s="10"/>
    </row>
    <row r="8" spans="1:41">
      <c r="A8" s="10"/>
      <c r="B8" s="612" t="s">
        <v>1439</v>
      </c>
      <c r="C8" s="10"/>
      <c r="D8" s="10"/>
      <c r="E8" s="10"/>
      <c r="F8" s="10"/>
      <c r="G8" s="10"/>
      <c r="H8" s="10"/>
      <c r="I8" s="10"/>
      <c r="J8" s="10"/>
      <c r="K8" s="10"/>
      <c r="L8" s="10"/>
      <c r="M8" s="10"/>
      <c r="N8" s="10"/>
      <c r="O8" s="10"/>
    </row>
    <row r="9" spans="1:41" ht="15.6">
      <c r="A9" s="10"/>
      <c r="B9" s="10"/>
      <c r="C9" s="919" t="s">
        <v>1440</v>
      </c>
      <c r="D9" s="920"/>
      <c r="E9" s="920"/>
      <c r="F9" s="920"/>
      <c r="G9" s="920"/>
      <c r="H9" s="920"/>
      <c r="I9" s="920"/>
      <c r="J9" s="920"/>
      <c r="K9" s="920"/>
      <c r="L9" s="920"/>
      <c r="M9" s="613"/>
      <c r="N9" s="10"/>
      <c r="O9" s="10"/>
    </row>
    <row r="10" spans="1:41">
      <c r="A10" s="10"/>
      <c r="B10" s="10"/>
      <c r="C10" s="608" t="s">
        <v>1441</v>
      </c>
      <c r="D10" s="608" t="s">
        <v>1442</v>
      </c>
      <c r="E10" s="608" t="s">
        <v>1443</v>
      </c>
      <c r="F10" s="608" t="s">
        <v>1444</v>
      </c>
      <c r="G10" s="608" t="s">
        <v>1445</v>
      </c>
      <c r="H10" s="608" t="s">
        <v>1446</v>
      </c>
      <c r="I10" s="608" t="s">
        <v>1447</v>
      </c>
      <c r="J10" s="608" t="s">
        <v>1448</v>
      </c>
      <c r="K10" s="608" t="s">
        <v>1449</v>
      </c>
      <c r="L10" s="608" t="s">
        <v>1450</v>
      </c>
      <c r="M10" s="609" t="s">
        <v>1451</v>
      </c>
      <c r="N10" s="10"/>
      <c r="O10" s="10"/>
    </row>
    <row r="11" spans="1:41">
      <c r="A11" s="10"/>
      <c r="B11" s="10" t="s">
        <v>1452</v>
      </c>
      <c r="C11" s="10">
        <v>5.4795544855401588E-6</v>
      </c>
      <c r="D11" s="10">
        <v>3.2627775316687777E-6</v>
      </c>
      <c r="E11" s="10">
        <v>2.5788985710527164E-6</v>
      </c>
      <c r="F11" s="10">
        <v>2.1272469845222741E-6</v>
      </c>
      <c r="G11" s="10">
        <v>1.7725961533357242E-6</v>
      </c>
      <c r="H11" s="10">
        <v>1.4901531390603264E-6</v>
      </c>
      <c r="I11" s="10">
        <v>1.2271605788859719E-6</v>
      </c>
      <c r="J11" s="10">
        <v>9.8815691958048292E-7</v>
      </c>
      <c r="K11" s="10">
        <v>7.7403234365481188E-7</v>
      </c>
      <c r="L11" s="10">
        <v>3.8644882661206336E-7</v>
      </c>
      <c r="M11" s="10">
        <v>1.5851538661048758E-6</v>
      </c>
      <c r="N11" s="10"/>
      <c r="O11" s="10"/>
      <c r="AN11">
        <f t="shared" ref="AN11:AO11" si="0">AB11-N11</f>
        <v>0</v>
      </c>
      <c r="AO11">
        <f t="shared" si="0"/>
        <v>0</v>
      </c>
    </row>
    <row r="12" spans="1:41">
      <c r="A12" s="10"/>
      <c r="B12" s="10" t="s">
        <v>1453</v>
      </c>
      <c r="C12" s="10">
        <v>6.2124847225347112E-6</v>
      </c>
      <c r="D12" s="10">
        <v>3.2884951201024173E-6</v>
      </c>
      <c r="E12" s="10">
        <v>2.5778881983676751E-6</v>
      </c>
      <c r="F12" s="10">
        <v>2.1035187309949747E-6</v>
      </c>
      <c r="G12" s="10">
        <v>1.7699096594217936E-6</v>
      </c>
      <c r="H12" s="10">
        <v>1.4874764201026692E-6</v>
      </c>
      <c r="I12" s="10">
        <v>1.2265270368050462E-6</v>
      </c>
      <c r="J12" s="10">
        <v>1.0018077277200164E-6</v>
      </c>
      <c r="K12" s="10">
        <v>7.6414880408993798E-7</v>
      </c>
      <c r="L12" s="10">
        <v>3.9210741731941034E-7</v>
      </c>
      <c r="M12" s="10">
        <v>1.5905104592198972E-6</v>
      </c>
      <c r="N12" s="10"/>
      <c r="O12" s="10"/>
    </row>
    <row r="13" spans="1:41">
      <c r="A13" s="10"/>
      <c r="B13" s="10" t="s">
        <v>1454</v>
      </c>
      <c r="C13" s="10">
        <v>5.6658527912550329E-6</v>
      </c>
      <c r="D13" s="10">
        <v>3.2830647369736279E-6</v>
      </c>
      <c r="E13" s="10">
        <v>2.5837919314083582E-6</v>
      </c>
      <c r="F13" s="10">
        <v>2.0928768487983084E-6</v>
      </c>
      <c r="G13" s="10">
        <v>1.7738117745360986E-6</v>
      </c>
      <c r="H13" s="10">
        <v>1.4690995804895842E-6</v>
      </c>
      <c r="I13" s="10">
        <v>1.2161119873677665E-6</v>
      </c>
      <c r="J13" s="10">
        <v>9.9686523287829335E-7</v>
      </c>
      <c r="K13" s="10">
        <v>7.5208068331297654E-7</v>
      </c>
      <c r="L13" s="10">
        <v>3.8240679466981339E-7</v>
      </c>
      <c r="M13" s="10">
        <v>1.2475574666444991E-6</v>
      </c>
      <c r="N13" s="10"/>
      <c r="O13" s="10"/>
    </row>
    <row r="14" spans="1:41">
      <c r="A14" s="10"/>
      <c r="B14" s="10" t="s">
        <v>1455</v>
      </c>
      <c r="C14" s="10">
        <v>5.9020650281032054E-6</v>
      </c>
      <c r="D14" s="10">
        <v>3.3150988335405228E-6</v>
      </c>
      <c r="E14" s="10">
        <v>2.5767103150806533E-6</v>
      </c>
      <c r="F14" s="10" t="s">
        <v>1456</v>
      </c>
      <c r="G14" s="10" t="s">
        <v>1456</v>
      </c>
      <c r="H14" s="10" t="s">
        <v>1456</v>
      </c>
      <c r="I14" s="10" t="s">
        <v>1456</v>
      </c>
      <c r="J14" s="10" t="s">
        <v>1456</v>
      </c>
      <c r="K14" s="10" t="s">
        <v>1456</v>
      </c>
      <c r="L14" s="10" t="s">
        <v>1456</v>
      </c>
      <c r="M14" s="10">
        <v>2.40440369940386E-6</v>
      </c>
      <c r="N14" s="10"/>
      <c r="O14" s="10"/>
    </row>
    <row r="15" spans="1:41">
      <c r="A15" s="10"/>
      <c r="B15" s="10" t="s">
        <v>1457</v>
      </c>
      <c r="C15" s="10">
        <v>6.4483816709721174E-6</v>
      </c>
      <c r="D15" s="10" t="s">
        <v>1456</v>
      </c>
      <c r="E15" s="10" t="s">
        <v>1456</v>
      </c>
      <c r="F15" s="10" t="s">
        <v>1456</v>
      </c>
      <c r="G15" s="10" t="s">
        <v>1456</v>
      </c>
      <c r="H15" s="10" t="s">
        <v>1456</v>
      </c>
      <c r="I15" s="10" t="s">
        <v>1456</v>
      </c>
      <c r="J15" s="10" t="s">
        <v>1456</v>
      </c>
      <c r="K15" s="10" t="s">
        <v>1456</v>
      </c>
      <c r="L15" s="10" t="s">
        <v>1456</v>
      </c>
      <c r="M15" s="10">
        <v>2.0776085863974429E-6</v>
      </c>
      <c r="N15" s="10"/>
      <c r="O15" s="10"/>
    </row>
    <row r="16" spans="1:41">
      <c r="A16" s="10"/>
      <c r="B16" s="10" t="s">
        <v>1458</v>
      </c>
      <c r="C16" s="10">
        <v>6.4135984319875445E-6</v>
      </c>
      <c r="D16" s="10">
        <v>3.3296024765976194E-6</v>
      </c>
      <c r="E16" s="10" t="s">
        <v>1456</v>
      </c>
      <c r="F16" s="10" t="s">
        <v>1456</v>
      </c>
      <c r="G16" s="10" t="s">
        <v>1456</v>
      </c>
      <c r="H16" s="10" t="s">
        <v>1456</v>
      </c>
      <c r="I16" s="10" t="s">
        <v>1456</v>
      </c>
      <c r="J16" s="10" t="s">
        <v>1456</v>
      </c>
      <c r="K16" s="10" t="s">
        <v>1456</v>
      </c>
      <c r="L16" s="10" t="s">
        <v>1456</v>
      </c>
      <c r="M16" s="10">
        <v>2.4015791397030579E-6</v>
      </c>
      <c r="N16" s="10"/>
      <c r="O16" s="10"/>
    </row>
    <row r="17" spans="1:15">
      <c r="A17" s="10"/>
      <c r="B17" s="27" t="s">
        <v>1459</v>
      </c>
      <c r="C17" s="10">
        <v>6.281793767149346E-6</v>
      </c>
      <c r="D17" s="10">
        <v>3.3009672826071036E-6</v>
      </c>
      <c r="E17" s="10">
        <v>2.5706676410434973E-6</v>
      </c>
      <c r="F17" s="10">
        <v>2.1142567256229723E-6</v>
      </c>
      <c r="G17" s="10">
        <v>1.7674030020615167E-6</v>
      </c>
      <c r="H17" s="10">
        <v>1.4859506829424363E-6</v>
      </c>
      <c r="I17" s="10">
        <v>1.2292462992940794E-6</v>
      </c>
      <c r="J17" s="10">
        <v>9.9890624448265215E-7</v>
      </c>
      <c r="K17" s="10">
        <v>7.5837163790545317E-7</v>
      </c>
      <c r="L17" s="10">
        <v>3.7432166879717102E-7</v>
      </c>
      <c r="M17" s="10">
        <v>1.281007806328685E-6</v>
      </c>
      <c r="N17" s="10"/>
      <c r="O17" s="10"/>
    </row>
    <row r="18" spans="1:15">
      <c r="A18" s="10"/>
      <c r="B18" s="10"/>
      <c r="C18" s="10"/>
      <c r="D18" s="10"/>
      <c r="E18" s="10"/>
      <c r="F18" s="10"/>
      <c r="G18" s="10"/>
      <c r="H18" s="10"/>
      <c r="I18" s="10"/>
      <c r="J18" s="10"/>
      <c r="K18" s="10"/>
      <c r="L18" s="10"/>
      <c r="M18" s="10"/>
      <c r="N18" s="10"/>
      <c r="O18" s="10"/>
    </row>
    <row r="19" spans="1:15">
      <c r="A19" s="10"/>
      <c r="B19" s="10"/>
      <c r="C19" s="10"/>
      <c r="D19" s="10"/>
      <c r="E19" s="10"/>
      <c r="F19" s="10"/>
      <c r="G19" s="10"/>
      <c r="H19" s="10"/>
      <c r="I19" s="10"/>
      <c r="J19" s="10"/>
      <c r="K19" s="10"/>
      <c r="L19" s="10"/>
      <c r="M19" s="10"/>
      <c r="N19" s="10"/>
      <c r="O19" s="10"/>
    </row>
    <row r="20" spans="1:15">
      <c r="A20" s="921" t="s">
        <v>1460</v>
      </c>
      <c r="B20" s="921"/>
      <c r="C20" s="921"/>
      <c r="D20" s="921"/>
      <c r="E20" s="921"/>
      <c r="F20" s="921"/>
      <c r="G20" s="921"/>
      <c r="H20" s="921"/>
      <c r="I20" s="921"/>
      <c r="J20" s="921"/>
      <c r="K20" s="921"/>
      <c r="L20" s="921"/>
      <c r="M20" s="921"/>
      <c r="N20" s="10"/>
      <c r="O20" s="10"/>
    </row>
    <row r="21" spans="1:15">
      <c r="A21" s="10" t="s">
        <v>1461</v>
      </c>
      <c r="B21" s="10"/>
      <c r="C21" s="10"/>
      <c r="D21" s="10"/>
      <c r="E21" s="10"/>
      <c r="F21" s="10"/>
      <c r="G21" s="10"/>
      <c r="H21" s="10"/>
      <c r="I21" s="10"/>
      <c r="J21" s="10"/>
      <c r="K21" s="10"/>
      <c r="L21" s="10"/>
      <c r="M21" s="10"/>
      <c r="N21" s="10"/>
      <c r="O21" s="10"/>
    </row>
    <row r="22" spans="1:15">
      <c r="A22" s="10"/>
      <c r="B22" s="10"/>
      <c r="C22" s="10"/>
      <c r="D22" s="10"/>
      <c r="E22" s="10"/>
      <c r="F22" s="10"/>
      <c r="G22" s="10"/>
      <c r="H22" s="10"/>
      <c r="I22" s="10"/>
      <c r="J22" s="10"/>
      <c r="K22" s="10"/>
      <c r="L22" s="10"/>
      <c r="M22" s="10"/>
      <c r="N22" s="10"/>
      <c r="O22" s="10"/>
    </row>
    <row r="23" spans="1:15">
      <c r="A23" s="10"/>
      <c r="B23" s="10"/>
      <c r="C23" s="10"/>
      <c r="D23" s="10"/>
      <c r="E23" s="10"/>
      <c r="F23" s="10"/>
      <c r="G23" s="10"/>
      <c r="H23" s="10"/>
      <c r="I23" s="10"/>
      <c r="J23" s="10"/>
      <c r="K23" s="10"/>
      <c r="L23" s="10"/>
      <c r="M23" s="10"/>
      <c r="N23" s="10"/>
      <c r="O23" s="10"/>
    </row>
    <row r="24" spans="1:15">
      <c r="A24" s="10"/>
      <c r="B24" s="10"/>
      <c r="C24" s="10"/>
      <c r="D24" s="10"/>
      <c r="E24" s="10"/>
      <c r="F24" s="10"/>
      <c r="G24" s="10"/>
      <c r="H24" s="10"/>
      <c r="I24" s="10"/>
      <c r="J24" s="10"/>
      <c r="K24" s="10"/>
      <c r="L24" s="10"/>
      <c r="M24" s="10"/>
      <c r="N24" s="10"/>
      <c r="O24" s="10"/>
    </row>
    <row r="25" spans="1:15">
      <c r="A25" s="10"/>
      <c r="B25" s="612" t="s">
        <v>1462</v>
      </c>
      <c r="C25" s="10"/>
      <c r="D25" s="10"/>
      <c r="E25" s="10"/>
      <c r="F25" s="10"/>
      <c r="G25" s="10"/>
      <c r="H25" s="10"/>
      <c r="I25" s="10"/>
      <c r="J25" s="10"/>
      <c r="K25" s="10"/>
      <c r="L25" s="10"/>
      <c r="M25" s="10"/>
      <c r="N25" s="10"/>
      <c r="O25" s="10"/>
    </row>
    <row r="26" spans="1:15" ht="15.6">
      <c r="A26" s="10"/>
      <c r="B26" s="10"/>
      <c r="C26" s="919" t="s">
        <v>1440</v>
      </c>
      <c r="D26" s="920"/>
      <c r="E26" s="920"/>
      <c r="F26" s="920"/>
      <c r="G26" s="920"/>
      <c r="H26" s="920"/>
      <c r="I26" s="920"/>
      <c r="J26" s="920"/>
      <c r="K26" s="920"/>
      <c r="L26" s="920"/>
      <c r="M26" s="613"/>
      <c r="N26" s="10"/>
      <c r="O26" s="10"/>
    </row>
    <row r="27" spans="1:15">
      <c r="A27" s="10"/>
      <c r="B27" s="10"/>
      <c r="C27" s="608" t="s">
        <v>1441</v>
      </c>
      <c r="D27" s="608" t="s">
        <v>1442</v>
      </c>
      <c r="E27" s="608" t="s">
        <v>1443</v>
      </c>
      <c r="F27" s="608" t="s">
        <v>1444</v>
      </c>
      <c r="G27" s="608" t="s">
        <v>1445</v>
      </c>
      <c r="H27" s="608" t="s">
        <v>1446</v>
      </c>
      <c r="I27" s="608" t="s">
        <v>1447</v>
      </c>
      <c r="J27" s="608" t="s">
        <v>1448</v>
      </c>
      <c r="K27" s="608" t="s">
        <v>1449</v>
      </c>
      <c r="L27" s="608" t="s">
        <v>1450</v>
      </c>
      <c r="M27" s="609" t="s">
        <v>1451</v>
      </c>
      <c r="N27" s="10"/>
      <c r="O27" s="10"/>
    </row>
    <row r="28" spans="1:15">
      <c r="A28" s="10"/>
      <c r="B28" s="10" t="s">
        <v>1452</v>
      </c>
      <c r="C28" s="10">
        <f>IF(ISNUMBER(C11),(C11/$M$17),"na")</f>
        <v>4.2775340309941852</v>
      </c>
      <c r="D28" s="10">
        <f t="shared" ref="D28:M28" si="1">IF(ISNUMBER(D11),(D11/$M$17),"na")</f>
        <v>2.5470395383614108</v>
      </c>
      <c r="E28" s="10">
        <f t="shared" si="1"/>
        <v>2.01317943443587</v>
      </c>
      <c r="F28" s="10">
        <f t="shared" si="1"/>
        <v>1.6606042320841707</v>
      </c>
      <c r="G28" s="10">
        <f t="shared" si="1"/>
        <v>1.3837512500535893</v>
      </c>
      <c r="H28" s="10">
        <f t="shared" si="1"/>
        <v>1.163266243732771</v>
      </c>
      <c r="I28" s="10">
        <f t="shared" si="1"/>
        <v>0.95796494980226776</v>
      </c>
      <c r="J28" s="10">
        <f t="shared" si="1"/>
        <v>0.77139024032374903</v>
      </c>
      <c r="K28" s="10">
        <f t="shared" si="1"/>
        <v>0.60423702324902784</v>
      </c>
      <c r="L28" s="10">
        <f t="shared" si="1"/>
        <v>0.30167562188368668</v>
      </c>
      <c r="M28" s="10">
        <f t="shared" si="1"/>
        <v>1.2374271712268958</v>
      </c>
      <c r="N28" s="10"/>
      <c r="O28" s="10"/>
    </row>
    <row r="29" spans="1:15">
      <c r="A29" s="10"/>
      <c r="B29" s="10" t="s">
        <v>1453</v>
      </c>
      <c r="C29" s="10">
        <f t="shared" ref="C29:M34" si="2">IF(ISNUMBER(C12),(C12/$M$17),"na")</f>
        <v>4.8496852960946688</v>
      </c>
      <c r="D29" s="10">
        <f t="shared" si="2"/>
        <v>2.5671155974662692</v>
      </c>
      <c r="E29" s="10">
        <f t="shared" si="2"/>
        <v>2.0123907017833056</v>
      </c>
      <c r="F29" s="10">
        <f t="shared" si="2"/>
        <v>1.6420811181655259</v>
      </c>
      <c r="G29" s="10">
        <f t="shared" si="2"/>
        <v>1.3816540778890964</v>
      </c>
      <c r="H29" s="10">
        <f t="shared" si="2"/>
        <v>1.1611767022448636</v>
      </c>
      <c r="I29" s="10">
        <f t="shared" si="2"/>
        <v>0.95747038444693133</v>
      </c>
      <c r="J29" s="10">
        <f t="shared" si="2"/>
        <v>0.78204654395600881</v>
      </c>
      <c r="K29" s="10">
        <f t="shared" si="2"/>
        <v>0.59652158270600752</v>
      </c>
      <c r="L29" s="10">
        <f t="shared" si="2"/>
        <v>0.30609291792153387</v>
      </c>
      <c r="M29" s="10">
        <f t="shared" si="2"/>
        <v>1.2416087172631944</v>
      </c>
      <c r="N29" s="10"/>
      <c r="O29" s="10"/>
    </row>
    <row r="30" spans="1:15">
      <c r="A30" s="10"/>
      <c r="B30" s="10" t="s">
        <v>1454</v>
      </c>
      <c r="C30" s="10">
        <f t="shared" si="2"/>
        <v>4.4229650773894429</v>
      </c>
      <c r="D30" s="10">
        <f t="shared" si="2"/>
        <v>2.5628764483354356</v>
      </c>
      <c r="E30" s="10">
        <f t="shared" si="2"/>
        <v>2.0169993645966904</v>
      </c>
      <c r="F30" s="10">
        <f t="shared" si="2"/>
        <v>1.6337736885432463</v>
      </c>
      <c r="G30" s="10">
        <f t="shared" si="2"/>
        <v>1.3847002069564034</v>
      </c>
      <c r="H30" s="10">
        <f t="shared" si="2"/>
        <v>1.1468310912951907</v>
      </c>
      <c r="I30" s="10">
        <f t="shared" si="2"/>
        <v>0.94934002849919608</v>
      </c>
      <c r="J30" s="10">
        <f t="shared" si="2"/>
        <v>0.77818825767757616</v>
      </c>
      <c r="K30" s="10">
        <f t="shared" si="2"/>
        <v>0.58710078080508221</v>
      </c>
      <c r="L30" s="10">
        <f t="shared" si="2"/>
        <v>0.29852026879194071</v>
      </c>
      <c r="M30" s="10">
        <f t="shared" si="2"/>
        <v>0.97388748177885565</v>
      </c>
      <c r="N30" s="10"/>
      <c r="O30" s="10"/>
    </row>
    <row r="31" spans="1:15">
      <c r="A31" s="10"/>
      <c r="B31" s="10" t="s">
        <v>1455</v>
      </c>
      <c r="C31" s="10">
        <f t="shared" si="2"/>
        <v>4.6073607037714144</v>
      </c>
      <c r="D31" s="10">
        <f t="shared" si="2"/>
        <v>2.5878833970898723</v>
      </c>
      <c r="E31" s="10">
        <f t="shared" si="2"/>
        <v>2.01147120443036</v>
      </c>
      <c r="F31" s="10" t="str">
        <f t="shared" si="2"/>
        <v>na</v>
      </c>
      <c r="G31" s="10" t="str">
        <f t="shared" si="2"/>
        <v>na</v>
      </c>
      <c r="H31" s="10" t="str">
        <f t="shared" si="2"/>
        <v>na</v>
      </c>
      <c r="I31" s="10" t="str">
        <f t="shared" si="2"/>
        <v>na</v>
      </c>
      <c r="J31" s="10" t="str">
        <f t="shared" si="2"/>
        <v>na</v>
      </c>
      <c r="K31" s="10" t="str">
        <f t="shared" si="2"/>
        <v>na</v>
      </c>
      <c r="L31" s="10" t="str">
        <f t="shared" si="2"/>
        <v>na</v>
      </c>
      <c r="M31" s="10">
        <f t="shared" si="2"/>
        <v>1.8769625661335982</v>
      </c>
      <c r="N31" s="10"/>
      <c r="O31" s="10"/>
    </row>
    <row r="32" spans="1:15">
      <c r="A32" s="10"/>
      <c r="B32" s="10" t="s">
        <v>1457</v>
      </c>
      <c r="C32" s="10">
        <f t="shared" si="2"/>
        <v>5.0338347971921502</v>
      </c>
      <c r="D32" s="10" t="str">
        <f t="shared" si="2"/>
        <v>na</v>
      </c>
      <c r="E32" s="10" t="str">
        <f t="shared" si="2"/>
        <v>na</v>
      </c>
      <c r="F32" s="10" t="str">
        <f t="shared" si="2"/>
        <v>na</v>
      </c>
      <c r="G32" s="10" t="str">
        <f t="shared" si="2"/>
        <v>na</v>
      </c>
      <c r="H32" s="10" t="str">
        <f t="shared" si="2"/>
        <v>na</v>
      </c>
      <c r="I32" s="10" t="str">
        <f t="shared" si="2"/>
        <v>na</v>
      </c>
      <c r="J32" s="10" t="str">
        <f t="shared" si="2"/>
        <v>na</v>
      </c>
      <c r="K32" s="10" t="str">
        <f t="shared" si="2"/>
        <v>na</v>
      </c>
      <c r="L32" s="10" t="str">
        <f t="shared" si="2"/>
        <v>na</v>
      </c>
      <c r="M32" s="10">
        <f t="shared" si="2"/>
        <v>1.6218547429088528</v>
      </c>
      <c r="N32" s="10"/>
      <c r="O32" s="10"/>
    </row>
    <row r="33" spans="1:24">
      <c r="A33" s="10"/>
      <c r="B33" s="10" t="s">
        <v>1458</v>
      </c>
      <c r="C33" s="10">
        <f t="shared" si="2"/>
        <v>5.0066817706354581</v>
      </c>
      <c r="D33" s="10">
        <f t="shared" si="2"/>
        <v>2.5992054538216447</v>
      </c>
      <c r="E33" s="10" t="str">
        <f t="shared" si="2"/>
        <v>na</v>
      </c>
      <c r="F33" s="10" t="str">
        <f t="shared" si="2"/>
        <v>na</v>
      </c>
      <c r="G33" s="10" t="str">
        <f t="shared" si="2"/>
        <v>na</v>
      </c>
      <c r="H33" s="10" t="str">
        <f t="shared" si="2"/>
        <v>na</v>
      </c>
      <c r="I33" s="10" t="str">
        <f t="shared" si="2"/>
        <v>na</v>
      </c>
      <c r="J33" s="10" t="str">
        <f t="shared" si="2"/>
        <v>na</v>
      </c>
      <c r="K33" s="10" t="str">
        <f t="shared" si="2"/>
        <v>na</v>
      </c>
      <c r="L33" s="10" t="str">
        <f t="shared" si="2"/>
        <v>na</v>
      </c>
      <c r="M33" s="10">
        <f t="shared" si="2"/>
        <v>1.8747576149327954</v>
      </c>
      <c r="N33" s="10"/>
      <c r="O33" s="10"/>
    </row>
    <row r="34" spans="1:24">
      <c r="A34" s="10"/>
      <c r="B34" s="27" t="s">
        <v>1459</v>
      </c>
      <c r="C34" s="10">
        <f t="shared" si="2"/>
        <v>4.9037903876266808</v>
      </c>
      <c r="D34" s="10">
        <f t="shared" si="2"/>
        <v>2.5768518086299084</v>
      </c>
      <c r="E34" s="10">
        <f t="shared" si="2"/>
        <v>2.0067540793610958</v>
      </c>
      <c r="F34" s="10">
        <f t="shared" si="2"/>
        <v>1.6504635765509843</v>
      </c>
      <c r="G34" s="10">
        <f t="shared" si="2"/>
        <v>1.3796972924988022</v>
      </c>
      <c r="H34" s="10">
        <f t="shared" si="2"/>
        <v>1.1599856578556762</v>
      </c>
      <c r="I34" s="10">
        <f t="shared" si="2"/>
        <v>0.95959313692010051</v>
      </c>
      <c r="J34" s="10">
        <f t="shared" si="2"/>
        <v>0.77978154352195228</v>
      </c>
      <c r="K34" s="10">
        <f t="shared" si="2"/>
        <v>0.59201172245695732</v>
      </c>
      <c r="L34" s="10">
        <f t="shared" si="2"/>
        <v>0.29220873358294458</v>
      </c>
      <c r="M34" s="10">
        <f t="shared" si="2"/>
        <v>1</v>
      </c>
      <c r="N34" s="10"/>
      <c r="O34" s="10"/>
    </row>
    <row r="35" spans="1:24">
      <c r="A35" s="10"/>
      <c r="B35" s="10" t="s">
        <v>1463</v>
      </c>
      <c r="C35" s="10">
        <f>C34/AVERAGE($C$34:$L$34)</f>
        <v>3.0082503479054479</v>
      </c>
      <c r="D35" s="10">
        <f t="shared" ref="D35:L35" si="3">D34/AVERAGE($C$34:$L$34)</f>
        <v>1.5807803223749539</v>
      </c>
      <c r="E35" s="10">
        <f t="shared" si="3"/>
        <v>1.2310515295741202</v>
      </c>
      <c r="F35" s="10">
        <f t="shared" si="3"/>
        <v>1.0124836577216987</v>
      </c>
      <c r="G35" s="10">
        <f t="shared" si="3"/>
        <v>0.8463809690227112</v>
      </c>
      <c r="H35" s="10">
        <f t="shared" si="3"/>
        <v>0.71159796463048186</v>
      </c>
      <c r="I35" s="10">
        <f t="shared" si="3"/>
        <v>0.58866634986506139</v>
      </c>
      <c r="J35" s="10">
        <f t="shared" si="3"/>
        <v>0.47836018960130589</v>
      </c>
      <c r="K35" s="10">
        <f t="shared" si="3"/>
        <v>0.36317202189940434</v>
      </c>
      <c r="L35" s="10">
        <f t="shared" si="3"/>
        <v>0.17925664740481223</v>
      </c>
      <c r="M35" s="10"/>
      <c r="N35" s="10"/>
      <c r="O35" s="10"/>
    </row>
    <row r="36" spans="1:24"/>
    <row r="37" spans="1:24"/>
    <row r="38" spans="1:24">
      <c r="B38" s="14" t="s">
        <v>362</v>
      </c>
      <c r="C38" s="15"/>
      <c r="D38" s="15"/>
      <c r="E38" s="15"/>
      <c r="F38" s="16"/>
      <c r="G38" s="14"/>
      <c r="H38" s="15"/>
      <c r="I38" s="15"/>
      <c r="J38" s="15"/>
      <c r="K38" s="16"/>
      <c r="L38" s="14"/>
      <c r="M38" s="15"/>
      <c r="N38" s="15"/>
      <c r="O38" s="15"/>
      <c r="P38" s="15"/>
      <c r="Q38" s="15"/>
      <c r="R38" s="15"/>
      <c r="S38" s="15"/>
      <c r="T38" s="15"/>
      <c r="U38" s="15"/>
      <c r="V38" s="15"/>
      <c r="W38" s="15"/>
      <c r="X38" s="15"/>
    </row>
    <row r="39" spans="1:24"/>
  </sheetData>
  <mergeCells count="4">
    <mergeCell ref="C26:L26"/>
    <mergeCell ref="C9:L9"/>
    <mergeCell ref="A20:M20"/>
    <mergeCell ref="A2:O2"/>
  </mergeCells>
  <conditionalFormatting sqref="C11:M17">
    <cfRule type="colorScale" priority="2">
      <colorScale>
        <cfvo type="min"/>
        <cfvo type="percentile" val="50"/>
        <cfvo type="max"/>
        <color rgb="FFF8696B"/>
        <color rgb="FFFFEB84"/>
        <color rgb="FF63BE7B"/>
      </colorScale>
    </cfRule>
  </conditionalFormatting>
  <conditionalFormatting sqref="C35:L35 C28:M34">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97A04BE4877B48AEC8623F331C2D9E" ma:contentTypeVersion="15" ma:contentTypeDescription="Create a new document." ma:contentTypeScope="" ma:versionID="20b04aa5f3a3a53cef0fa0130164c851">
  <xsd:schema xmlns:xsd="http://www.w3.org/2001/XMLSchema" xmlns:xs="http://www.w3.org/2001/XMLSchema" xmlns:p="http://schemas.microsoft.com/office/2006/metadata/properties" xmlns:ns1="http://schemas.microsoft.com/sharepoint/v3" xmlns:ns2="038f6385-163d-4837-a2ce-e161dcb09188" xmlns:ns3="b6cb9b8b-803b-4490-b567-e65a3085b720" targetNamespace="http://schemas.microsoft.com/office/2006/metadata/properties" ma:root="true" ma:fieldsID="bbd4f8de9a5c115ce2761a091caf7340" ns1:_="" ns2:_="" ns3:_="">
    <xsd:import namespace="http://schemas.microsoft.com/sharepoint/v3"/>
    <xsd:import namespace="038f6385-163d-4837-a2ce-e161dcb09188"/>
    <xsd:import namespace="b6cb9b8b-803b-4490-b567-e65a3085b7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f6385-163d-4837-a2ce-e161dcb0918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34b7889-7417-428b-93a1-71876a27000a}" ma:internalName="TaxCatchAll" ma:showField="CatchAllData" ma:web="038f6385-163d-4837-a2ce-e161dcb091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cb9b8b-803b-4490-b567-e65a3085b7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cb9b8b-803b-4490-b567-e65a3085b720">
      <Terms xmlns="http://schemas.microsoft.com/office/infopath/2007/PartnerControls"/>
    </lcf76f155ced4ddcb4097134ff3c332f>
    <TaxCatchAll xmlns="038f6385-163d-4837-a2ce-e161dcb09188" xsi:nil="true"/>
    <_ip_UnifiedCompliancePolicyUIAction xmlns="http://schemas.microsoft.com/sharepoint/v3" xsi:nil="true"/>
    <_ip_UnifiedCompliancePolicyProperties xmlns="http://schemas.microsoft.com/sharepoint/v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4BAB2500-C637-4B1E-A7F2-54C6AA4A44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f6385-163d-4837-a2ce-e161dcb09188"/>
    <ds:schemaRef ds:uri="b6cb9b8b-803b-4490-b567-e65a3085b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942839-F457-42BD-ACA8-3AB541196B8F}">
  <ds:schemaRefs>
    <ds:schemaRef ds:uri="http://schemas.microsoft.com/sharepoint/v3/contenttype/forms"/>
  </ds:schemaRefs>
</ds:datastoreItem>
</file>

<file path=customXml/itemProps3.xml><?xml version="1.0" encoding="utf-8"?>
<ds:datastoreItem xmlns:ds="http://schemas.openxmlformats.org/officeDocument/2006/customXml" ds:itemID="{94F83846-0096-4E37-A7B6-F40FD378E135}">
  <ds:schemaRefs>
    <ds:schemaRef ds:uri="http://www.w3.org/XML/1998/namespace"/>
    <ds:schemaRef ds:uri="http://purl.org/dc/terms/"/>
    <ds:schemaRef ds:uri="http://purl.org/dc/elements/1.1/"/>
    <ds:schemaRef ds:uri="http://schemas.microsoft.com/office/2006/documentManagement/types"/>
    <ds:schemaRef ds:uri="b6cb9b8b-803b-4490-b567-e65a3085b720"/>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038f6385-163d-4837-a2ce-e161dcb09188"/>
    <ds:schemaRef ds:uri="http://purl.org/dc/dcmitype/"/>
  </ds:schemaRefs>
</ds:datastoreItem>
</file>

<file path=customXml/itemProps4.xml><?xml version="1.0" encoding="utf-8"?>
<ds:datastoreItem xmlns:ds="http://schemas.openxmlformats.org/officeDocument/2006/customXml" ds:itemID="{81F4EBF7-105F-4880-9937-BD616C9466A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vt:i4>
      </vt:variant>
    </vt:vector>
  </HeadingPairs>
  <TitlesOfParts>
    <vt:vector size="34" baseType="lpstr">
      <vt:lpstr>Cover sheet</vt:lpstr>
      <vt:lpstr>Model Map</vt:lpstr>
      <vt:lpstr>Output&gt;</vt:lpstr>
      <vt:lpstr>Benefits and NPV Tables</vt:lpstr>
      <vt:lpstr>Model&gt;</vt:lpstr>
      <vt:lpstr>Consolidated Model</vt:lpstr>
      <vt:lpstr>Main inputs&gt;</vt:lpstr>
      <vt:lpstr>Central Inputs</vt:lpstr>
      <vt:lpstr>Policy Requirements</vt:lpstr>
      <vt:lpstr>Analysis&gt;</vt:lpstr>
      <vt:lpstr>SVT% Transition</vt:lpstr>
      <vt:lpstr>Credit Rating Analysis</vt:lpstr>
      <vt:lpstr>WACC Forecast</vt:lpstr>
      <vt:lpstr>Total CBs</vt:lpstr>
      <vt:lpstr>Historical Hedging</vt:lpstr>
      <vt:lpstr>Administration Cost</vt:lpstr>
      <vt:lpstr>Analysis Inputs&gt;</vt:lpstr>
      <vt:lpstr>Gross Credit Balances</vt:lpstr>
      <vt:lpstr>Customer Debit Balances</vt:lpstr>
      <vt:lpstr>CBs Unbilled Proportion</vt:lpstr>
      <vt:lpstr>Failures</vt:lpstr>
      <vt:lpstr>Default Rates</vt:lpstr>
      <vt:lpstr>Distributional Weighting</vt:lpstr>
      <vt:lpstr>Price cap input&gt;</vt:lpstr>
      <vt:lpstr>Price cap Scalar</vt:lpstr>
      <vt:lpstr>RO obligation rate</vt:lpstr>
      <vt:lpstr>Average tariffs</vt:lpstr>
      <vt:lpstr>Price Cap Forecasts</vt:lpstr>
      <vt:lpstr>Data inputs&gt;</vt:lpstr>
      <vt:lpstr>CPIH</vt:lpstr>
      <vt:lpstr>Customer Groups</vt:lpstr>
      <vt:lpstr>Ofgem SOLR</vt:lpstr>
      <vt:lpstr>Distributional Weights</vt:lpstr>
      <vt:lpstr>Input_SARHedge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Impact assessment model</dc:title>
  <dc:subject/>
  <dc:creator/>
  <cp:keywords/>
  <dc:description/>
  <cp:lastModifiedBy/>
  <cp:revision>1</cp:revision>
  <dcterms:created xsi:type="dcterms:W3CDTF">2022-12-14T13:25:08Z</dcterms:created>
  <dcterms:modified xsi:type="dcterms:W3CDTF">2022-12-14T14:21:07Z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44123997-7062-4ea7-a40e-48a27fa90e78</vt:lpwstr>
  </property>
  <property fmtid="{D5CDD505-2E9C-101B-9397-08002B2CF9AE}" pid="3" name="bjDocumentSecurityLabel">
    <vt:lpwstr>This item has no classification</vt:lpwstr>
  </property>
  <property fmtid="{D5CDD505-2E9C-101B-9397-08002B2CF9AE}" pid="4" name="bjClsUserRVM">
    <vt:lpwstr>[]</vt:lpwstr>
  </property>
  <property fmtid="{D5CDD505-2E9C-101B-9397-08002B2CF9AE}" pid="5" name="MediaServiceImageTags">
    <vt:lpwstr/>
  </property>
  <property fmtid="{D5CDD505-2E9C-101B-9397-08002B2CF9AE}" pid="6" name="MSIP_Label_38144ccb-b10a-4c0f-b070-7a3b00ac7463_Enabled">
    <vt:lpwstr>true</vt:lpwstr>
  </property>
  <property fmtid="{D5CDD505-2E9C-101B-9397-08002B2CF9AE}" pid="7" name="ContentTypeId">
    <vt:lpwstr>0x010100B897A04BE4877B48AEC8623F331C2D9E</vt:lpwstr>
  </property>
  <property fmtid="{D5CDD505-2E9C-101B-9397-08002B2CF9AE}" pid="8" name="bjSaver">
    <vt:lpwstr>k5BHg2xPVsje7NnKxUy7g8slyiHJT7t7</vt:lpwstr>
  </property>
  <property fmtid="{D5CDD505-2E9C-101B-9397-08002B2CF9AE}" pid="9" name="MSIP_Label_38144ccb-b10a-4c0f-b070-7a3b00ac7463_Method">
    <vt:lpwstr>Standard</vt:lpwstr>
  </property>
  <property fmtid="{D5CDD505-2E9C-101B-9397-08002B2CF9AE}" pid="10" name="MSIP_Label_38144ccb-b10a-4c0f-b070-7a3b00ac7463_SiteId">
    <vt:lpwstr>185562ad-39bc-4840-8e40-be6216340c52</vt:lpwstr>
  </property>
  <property fmtid="{D5CDD505-2E9C-101B-9397-08002B2CF9AE}" pid="11" name="MSIP_Label_38144ccb-b10a-4c0f-b070-7a3b00ac7463_ContentBits">
    <vt:lpwstr>2</vt:lpwstr>
  </property>
  <property fmtid="{D5CDD505-2E9C-101B-9397-08002B2CF9AE}" pid="12" name="MSIP_Label_38144ccb-b10a-4c0f-b070-7a3b00ac7463_Name">
    <vt:lpwstr>InternalOnly</vt:lpwstr>
  </property>
  <property fmtid="{D5CDD505-2E9C-101B-9397-08002B2CF9AE}" pid="13" name="MSIP_Label_38144ccb-b10a-4c0f-b070-7a3b00ac7463_SetDate">
    <vt:lpwstr>2022-03-30T10:35:03Z</vt:lpwstr>
  </property>
  <property fmtid="{D5CDD505-2E9C-101B-9397-08002B2CF9AE}" pid="14" name="MSIP_Label_38144ccb-b10a-4c0f-b070-7a3b00ac7463_ActionId">
    <vt:lpwstr>cd5b9cb6-e7f3-449d-9e14-04b4f26093b1</vt:lpwstr>
  </property>
</Properties>
</file>