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boothc\Desktop\Web publications\"/>
    </mc:Choice>
  </mc:AlternateContent>
  <xr:revisionPtr revIDLastSave="0" documentId="13_ncr:1_{BA4B8016-2D91-4EEB-9C46-99E86A8ACCC1}" xr6:coauthVersionLast="47" xr6:coauthVersionMax="47" xr10:uidLastSave="{00000000-0000-0000-0000-000000000000}"/>
  <bookViews>
    <workbookView xWindow="-108" yWindow="-108" windowWidth="23256" windowHeight="12576" firstSheet="6" xr2:uid="{00000000-000D-0000-FFFF-FFFF00000000}"/>
  </bookViews>
  <sheets>
    <sheet name="Cover" sheetId="59" r:id="rId1"/>
    <sheet name="Universal data" sheetId="25" r:id="rId2"/>
    <sheet name="Outputs" sheetId="6" r:id="rId3"/>
    <sheet name="Incentives - tables" sheetId="10" r:id="rId4"/>
    <sheet name="Incentives - charts " sheetId="37" r:id="rId5"/>
    <sheet name="Innovation" sheetId="28" r:id="rId6"/>
    <sheet name="Consumer bill impact" sheetId="27" r:id="rId7"/>
    <sheet name="RORE " sheetId="60" r:id="rId8"/>
    <sheet name="8-year data" sheetId="63" r:id="rId9"/>
    <sheet name="Forecast &quot;True up&quot; 1" sheetId="61" r:id="rId10"/>
    <sheet name="Forecast &quot;True up&quot; 2" sheetId="62"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_IntlFixup" hidden="1">TRUE</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ftn2" localSheetId="6">'Consumer bill impact'!$C$7</definedName>
    <definedName name="_ftn3" localSheetId="2">Outputs!$B$84</definedName>
    <definedName name="_ftn4" localSheetId="2">Outputs!$B$86</definedName>
    <definedName name="_ftn5" localSheetId="2">Outputs!$B$87</definedName>
    <definedName name="_ftn6" localSheetId="2">Outputs!$B$88</definedName>
    <definedName name="_ftn7" localSheetId="2">Outputs!$B$94</definedName>
    <definedName name="_ftn8" localSheetId="2">Outputs!$B$95</definedName>
    <definedName name="_ftn9" localSheetId="2">Outputs!$B$96</definedName>
    <definedName name="_ftnref2" localSheetId="6">'Consumer bill impact'!$C$4</definedName>
    <definedName name="_ftnref3" localSheetId="2">Outputs!$C$23</definedName>
    <definedName name="_ftnref4" localSheetId="2">Outputs!$D$23</definedName>
    <definedName name="_ftnref5" localSheetId="2">Outputs!$C$52</definedName>
    <definedName name="_ftnref6" localSheetId="2">Outputs!#REF!</definedName>
    <definedName name="_ftnref7" localSheetId="2">Outputs!$C$48</definedName>
    <definedName name="_ftnref8" localSheetId="2">Outputs!$C$73</definedName>
    <definedName name="_ftnref9" localSheetId="2">Outputs!$C$79</definedName>
    <definedName name="_Order1" hidden="1">255</definedName>
    <definedName name="_Order2" hidden="1">0</definedName>
    <definedName name="_Ref532457604" localSheetId="2">Outputs!#REF!</definedName>
    <definedName name="AccessDatabase" hidden="1">"C:\My Documents\MAUI MALL1.mdb"</definedName>
    <definedName name="b" localSheetId="8" hidden="1">{#N/A,#N/A,FALSE,"DI 2 YEAR MASTER SCHEDULE"}</definedName>
    <definedName name="b" localSheetId="9" hidden="1">{#N/A,#N/A,FALSE,"DI 2 YEAR MASTER SCHEDULE"}</definedName>
    <definedName name="b" localSheetId="10" hidden="1">{#N/A,#N/A,FALSE,"DI 2 YEAR MASTER SCHEDULE"}</definedName>
    <definedName name="b" hidden="1">{#N/A,#N/A,FALSE,"DI 2 YEAR MASTER SCHEDULE"}</definedName>
    <definedName name="bb" localSheetId="8" hidden="1">{#N/A,#N/A,FALSE,"PRJCTED MNTHLY QTY's"}</definedName>
    <definedName name="bb" localSheetId="9" hidden="1">{#N/A,#N/A,FALSE,"PRJCTED MNTHLY QTY's"}</definedName>
    <definedName name="bb" localSheetId="10" hidden="1">{#N/A,#N/A,FALSE,"PRJCTED MNTHLY QTY's"}</definedName>
    <definedName name="bb" hidden="1">{#N/A,#N/A,FALSE,"PRJCTED MNTHLY QTY's"}</definedName>
    <definedName name="bbbb" localSheetId="8" hidden="1">{#N/A,#N/A,FALSE,"PRJCTED QTRLY QTY's"}</definedName>
    <definedName name="bbbb" localSheetId="9" hidden="1">{#N/A,#N/A,FALSE,"PRJCTED QTRLY QTY's"}</definedName>
    <definedName name="bbbb" localSheetId="10" hidden="1">{#N/A,#N/A,FALSE,"PRJCTED QTRLY QTY's"}</definedName>
    <definedName name="bbbb" hidden="1">{#N/A,#N/A,FALSE,"PRJCTED QTRLY QTY's"}</definedName>
    <definedName name="bbbbbb" localSheetId="8" hidden="1">{#N/A,#N/A,FALSE,"PRJCTED QTRLY QTY's"}</definedName>
    <definedName name="bbbbbb" localSheetId="9" hidden="1">{#N/A,#N/A,FALSE,"PRJCTED QTRLY QTY's"}</definedName>
    <definedName name="bbbbbb" localSheetId="10" hidden="1">{#N/A,#N/A,FALSE,"PRJCTED QTRLY QTY's"}</definedName>
    <definedName name="bbbbbb" hidden="1">{#N/A,#N/A,FALSE,"PRJCTED QTRLY QTY's"}</definedName>
    <definedName name="EDR">'Incentives - tables'!$F$139:$O$139</definedName>
    <definedName name="f" localSheetId="8" hidden="1">{"'PRODUCTIONCOST SHEET'!$B$3:$G$48"}</definedName>
    <definedName name="f" localSheetId="9" hidden="1">{"'PRODUCTIONCOST SHEET'!$B$3:$G$48"}</definedName>
    <definedName name="f" localSheetId="10" hidden="1">{"'PRODUCTIONCOST SHEET'!$B$3:$G$48"}</definedName>
    <definedName name="f" hidden="1">{"'PRODUCTIONCOST SHEET'!$B$3:$G$48"}</definedName>
    <definedName name="ff" localSheetId="8" hidden="1">{#N/A,#N/A,FALSE,"PRJCTED MNTHLY QTY's"}</definedName>
    <definedName name="ff" localSheetId="9" hidden="1">{#N/A,#N/A,FALSE,"PRJCTED MNTHLY QTY's"}</definedName>
    <definedName name="ff" localSheetId="10" hidden="1">{#N/A,#N/A,FALSE,"PRJCTED MNTHLY QTY's"}</definedName>
    <definedName name="ff" hidden="1">{#N/A,#N/A,FALSE,"PRJCTED MNTHLY QTY's"}</definedName>
    <definedName name="fffff" localSheetId="8" hidden="1">{#N/A,#N/A,FALSE,"PRJCTED QTRLY QTY's"}</definedName>
    <definedName name="fffff" localSheetId="9" hidden="1">{#N/A,#N/A,FALSE,"PRJCTED QTRLY QTY's"}</definedName>
    <definedName name="fffff" localSheetId="10" hidden="1">{#N/A,#N/A,FALSE,"PRJCTED QTRLY QTY's"}</definedName>
    <definedName name="fffff" hidden="1">{#N/A,#N/A,FALSE,"PRJCTED QTRLY QTY's"}</definedName>
    <definedName name="gjk" localSheetId="8" hidden="1">{#N/A,#N/A,FALSE,"DI 2 YEAR MASTER SCHEDULE"}</definedName>
    <definedName name="gjk" localSheetId="9" hidden="1">{#N/A,#N/A,FALSE,"DI 2 YEAR MASTER SCHEDULE"}</definedName>
    <definedName name="gjk" localSheetId="10" hidden="1">{#N/A,#N/A,FALSE,"DI 2 YEAR MASTER SCHEDULE"}</definedName>
    <definedName name="gjk" hidden="1">{#N/A,#N/A,FALSE,"DI 2 YEAR MASTER SCHEDULE"}</definedName>
    <definedName name="hh" localSheetId="8"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localSheetId="9"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localSheetId="10"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TML_CodePage" hidden="1">1252</definedName>
    <definedName name="HTML_Control" localSheetId="8" hidden="1">{"'PRODUCTIONCOST SHEET'!$B$3:$G$48"}</definedName>
    <definedName name="HTML_Control" localSheetId="9" hidden="1">{"'PRODUCTIONCOST SHEET'!$B$3:$G$48"}</definedName>
    <definedName name="HTML_Control" localSheetId="10" hidden="1">{"'PRODUCTIONCOST SHEET'!$B$3:$G$48"}</definedName>
    <definedName name="HTML_Control" hidden="1">{"'PRODUCTIONCOST SHEET'!$B$3:$G$48"}</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l" localSheetId="8" hidden="1">{#N/A,#N/A,FALSE,"DI 2 YEAR MASTER SCHEDULE"}</definedName>
    <definedName name="l" localSheetId="9" hidden="1">{#N/A,#N/A,FALSE,"DI 2 YEAR MASTER SCHEDULE"}</definedName>
    <definedName name="l" localSheetId="10" hidden="1">{#N/A,#N/A,FALSE,"DI 2 YEAR MASTER SCHEDULE"}</definedName>
    <definedName name="l" hidden="1">{#N/A,#N/A,FALSE,"DI 2 YEAR MASTER SCHEDULE"}</definedName>
    <definedName name="lkl" localSheetId="8" hidden="1">{#N/A,#N/A,FALSE,"DI 2 YEAR MASTER SCHEDULE"}</definedName>
    <definedName name="lkl" localSheetId="9" hidden="1">{#N/A,#N/A,FALSE,"DI 2 YEAR MASTER SCHEDULE"}</definedName>
    <definedName name="lkl" localSheetId="10" hidden="1">{#N/A,#N/A,FALSE,"DI 2 YEAR MASTER SCHEDULE"}</definedName>
    <definedName name="lkl" hidden="1">{#N/A,#N/A,FALSE,"DI 2 YEAR MASTER SCHEDULE"}</definedName>
    <definedName name="mm" localSheetId="8"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localSheetId="9"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localSheetId="10"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mm" localSheetId="8"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localSheetId="9"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localSheetId="1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nn" localSheetId="8" hidden="1">{#N/A,#N/A,FALSE,"PRJCTED QTRLY $'s"}</definedName>
    <definedName name="nn" localSheetId="9" hidden="1">{#N/A,#N/A,FALSE,"PRJCTED QTRLY $'s"}</definedName>
    <definedName name="nn" localSheetId="10" hidden="1">{#N/A,#N/A,FALSE,"PRJCTED QTRLY $'s"}</definedName>
    <definedName name="nn" hidden="1">{#N/A,#N/A,FALSE,"PRJCTED QTRLY $'s"}</definedName>
    <definedName name="Output_level_1">'[1]4.2_LRScheme_Expenditure'!$B$533:$B$557</definedName>
    <definedName name="Output_level_3">'[1]4.2_LRScheme_Expenditure'!$B$583:$B$584</definedName>
    <definedName name="Pal_Workbook_GUID" hidden="1">"LJ9YVKRJVQ1A1KNUG7XIT5A9"</definedName>
    <definedName name="qs" localSheetId="8" hidden="1">{#N/A,#N/A,FALSE,"PRJCTED MNTHLY QTY's"}</definedName>
    <definedName name="qs" localSheetId="9" hidden="1">{#N/A,#N/A,FALSE,"PRJCTED MNTHLY QTY's"}</definedName>
    <definedName name="qs" localSheetId="10" hidden="1">{#N/A,#N/A,FALSE,"PRJCTED MNTHLY QTY's"}</definedName>
    <definedName name="qs" hidden="1">{#N/A,#N/A,FALSE,"PRJCTED MNTHLY QTY's"}</definedName>
    <definedName name="RI">'Incentives - tables'!$E$31:$O$31</definedName>
    <definedName name="RiskAfterRecalcMacro" hidden="1">""</definedName>
    <definedName name="RiskAfterSimMacro" hidden="1">""</definedName>
    <definedName name="RiskAutoStopPercChange">1.5</definedName>
    <definedName name="RiskBeforeRecalcMacro" hidden="1">""</definedName>
    <definedName name="RiskBeforeSimMacro" hidden="1">""</definedName>
    <definedName name="RiskCollectDistributionSamples" hidden="1">2</definedName>
    <definedName name="RiskExcelReportsGoInNewWorkbook">TRUE</definedName>
    <definedName name="RiskExcelReportsToGenerate">0</definedName>
    <definedName name="RiskFixedSeed" hidden="1">1</definedName>
    <definedName name="RiskGenerateExcelReportsAtEndOfSimulation">FALSE</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howRiskWindowAtEndOfSimulation">TRUE</definedName>
    <definedName name="RiskStandardRecalc" hidden="1">2</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TRUE</definedName>
    <definedName name="SAPBEXhrIndnt" hidden="1">"Wide"</definedName>
    <definedName name="SAPsysID" hidden="1">"708C5W7SBKP804JT78WJ0JNKI"</definedName>
    <definedName name="SAPwbID" hidden="1">"ARS"</definedName>
    <definedName name="Scheme_status">'[1]4.2_LRScheme_Expenditure'!$B$522:$B$530</definedName>
    <definedName name="SFI">'Incentives - tables'!$E$122:$O$122</definedName>
    <definedName name="SSO">'Incentives - tables'!$F$62:$O$62</definedName>
    <definedName name="Status">'[1]4.8_Physical_Security_Capex'!$T$15:$T$18</definedName>
    <definedName name="TopRankDefaultDistForRange" hidden="1">0</definedName>
    <definedName name="TopRankDefaultMaxChange" hidden="1">0.1</definedName>
    <definedName name="TopRankDefaultMin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ChangeThreshold">0.01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"Active Workbook"</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 name="u" localSheetId="8" hidden="1">{#VALUE!,#N/A,FALSE,0}</definedName>
    <definedName name="u" localSheetId="9" hidden="1">{#VALUE!,#N/A,FALSE,0}</definedName>
    <definedName name="u" localSheetId="10" hidden="1">{#VALUE!,#N/A,FALSE,0}</definedName>
    <definedName name="u" hidden="1">{#VALUE!,#N/A,FALSE,0}</definedName>
    <definedName name="UAG" localSheetId="8" hidden="1">{#N/A,#N/A,FALSE,"DI 2 YEAR MASTER SCHEDULE"}</definedName>
    <definedName name="UAG" localSheetId="9" hidden="1">{#N/A,#N/A,FALSE,"DI 2 YEAR MASTER SCHEDULE"}</definedName>
    <definedName name="UAG" localSheetId="10" hidden="1">{#N/A,#N/A,FALSE,"DI 2 YEAR MASTER SCHEDULE"}</definedName>
    <definedName name="UAG" hidden="1">{#N/A,#N/A,FALSE,"DI 2 YEAR MASTER SCHEDULE"}</definedName>
    <definedName name="v" localSheetId="8" hidden="1">{"Japan_Capers_Ed_Pub",#N/A,FALSE,"DI 2 YEAR MASTER SCHEDULE"}</definedName>
    <definedName name="v" localSheetId="9" hidden="1">{"Japan_Capers_Ed_Pub",#N/A,FALSE,"DI 2 YEAR MASTER SCHEDULE"}</definedName>
    <definedName name="v" localSheetId="10" hidden="1">{"Japan_Capers_Ed_Pub",#N/A,FALSE,"DI 2 YEAR MASTER SCHEDULE"}</definedName>
    <definedName name="v" hidden="1">{"Japan_Capers_Ed_Pub",#N/A,FALSE,"DI 2 YEAR MASTER SCHEDULE"}</definedName>
    <definedName name="wrn.CapersPlotter." localSheetId="8" hidden="1">{#N/A,#N/A,FALSE,"DI 2 YEAR MASTER SCHEDULE"}</definedName>
    <definedName name="wrn.CapersPlotter." localSheetId="9" hidden="1">{#N/A,#N/A,FALSE,"DI 2 YEAR MASTER SCHEDULE"}</definedName>
    <definedName name="wrn.CapersPlotter." localSheetId="10" hidden="1">{#N/A,#N/A,FALSE,"DI 2 YEAR MASTER SCHEDULE"}</definedName>
    <definedName name="wrn.CapersPlotter." hidden="1">{#N/A,#N/A,FALSE,"DI 2 YEAR MASTER SCHEDULE"}</definedName>
    <definedName name="wrn.Edutainment._.Priority._.List." localSheetId="8" hidden="1">{#N/A,#N/A,FALSE,"DI 2 YEAR MASTER SCHEDULE"}</definedName>
    <definedName name="wrn.Edutainment._.Priority._.List." localSheetId="9" hidden="1">{#N/A,#N/A,FALSE,"DI 2 YEAR MASTER SCHEDULE"}</definedName>
    <definedName name="wrn.Edutainment._.Priority._.List." localSheetId="10" hidden="1">{#N/A,#N/A,FALSE,"DI 2 YEAR MASTER SCHEDULE"}</definedName>
    <definedName name="wrn.Edutainment._.Priority._.List." hidden="1">{#N/A,#N/A,FALSE,"DI 2 YEAR MASTER SCHEDULE"}</definedName>
    <definedName name="wrn.Japan_Capers_Ed._.Pub." localSheetId="8" hidden="1">{"Japan_Capers_Ed_Pub",#N/A,FALSE,"DI 2 YEAR MASTER SCHEDULE"}</definedName>
    <definedName name="wrn.Japan_Capers_Ed._.Pub." localSheetId="9" hidden="1">{"Japan_Capers_Ed_Pub",#N/A,FALSE,"DI 2 YEAR MASTER SCHEDULE"}</definedName>
    <definedName name="wrn.Japan_Capers_Ed._.Pub." localSheetId="10" hidden="1">{"Japan_Capers_Ed_Pub",#N/A,FALSE,"DI 2 YEAR MASTER SCHEDULE"}</definedName>
    <definedName name="wrn.Japan_Capers_Ed._.Pub." hidden="1">{"Japan_Capers_Ed_Pub",#N/A,FALSE,"DI 2 YEAR MASTER SCHEDULE"}</definedName>
    <definedName name="wrn.Priority._.list." localSheetId="8" hidden="1">{#N/A,#N/A,FALSE,"DI 2 YEAR MASTER SCHEDULE"}</definedName>
    <definedName name="wrn.Priority._.list." localSheetId="9" hidden="1">{#N/A,#N/A,FALSE,"DI 2 YEAR MASTER SCHEDULE"}</definedName>
    <definedName name="wrn.Priority._.list." localSheetId="10" hidden="1">{#N/A,#N/A,FALSE,"DI 2 YEAR MASTER SCHEDULE"}</definedName>
    <definedName name="wrn.Priority._.list." hidden="1">{#N/A,#N/A,FALSE,"DI 2 YEAR MASTER SCHEDULE"}</definedName>
    <definedName name="wrn.Prjcted._.Mnthly._.Qtys." localSheetId="8" hidden="1">{#N/A,#N/A,FALSE,"PRJCTED MNTHLY QTY's"}</definedName>
    <definedName name="wrn.Prjcted._.Mnthly._.Qtys." localSheetId="9" hidden="1">{#N/A,#N/A,FALSE,"PRJCTED MNTHLY QTY's"}</definedName>
    <definedName name="wrn.Prjcted._.Mnthly._.Qtys." localSheetId="10" hidden="1">{#N/A,#N/A,FALSE,"PRJCTED MNTHLY QTY's"}</definedName>
    <definedName name="wrn.Prjcted._.Mnthly._.Qtys." hidden="1">{#N/A,#N/A,FALSE,"PRJCTED MNTHLY QTY's"}</definedName>
    <definedName name="wrn.Prjcted._.Qtrly._.Dollars." localSheetId="8" hidden="1">{#N/A,#N/A,FALSE,"PRJCTED QTRLY $'s"}</definedName>
    <definedName name="wrn.Prjcted._.Qtrly._.Dollars." localSheetId="9" hidden="1">{#N/A,#N/A,FALSE,"PRJCTED QTRLY $'s"}</definedName>
    <definedName name="wrn.Prjcted._.Qtrly._.Dollars." localSheetId="10" hidden="1">{#N/A,#N/A,FALSE,"PRJCTED QTRLY $'s"}</definedName>
    <definedName name="wrn.Prjcted._.Qtrly._.Dollars." hidden="1">{#N/A,#N/A,FALSE,"PRJCTED QTRLY $'s"}</definedName>
    <definedName name="wrn.Prjcted._.Qtrly._.Qtys." localSheetId="8" hidden="1">{#N/A,#N/A,FALSE,"PRJCTED QTRLY QTY's"}</definedName>
    <definedName name="wrn.Prjcted._.Qtrly._.Qtys." localSheetId="9" hidden="1">{#N/A,#N/A,FALSE,"PRJCTED QTRLY QTY's"}</definedName>
    <definedName name="wrn.Prjcted._.Qtrly._.Qtys." localSheetId="10" hidden="1">{#N/A,#N/A,FALSE,"PRJCTED QTRLY QTY's"}</definedName>
    <definedName name="wrn.Prjcted._.Qtrly._.Qtys." hidden="1">{#N/A,#N/A,FALSE,"PRJCTED QTRLY QTY's"}</definedName>
    <definedName name="wvu.CapersView." localSheetId="8"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9"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10"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Japan_Capers_Ed_Pub." localSheetId="8"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9"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1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localSheetId="8"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9"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10"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x" localSheetId="8" hidden="1">{#N/A,#N/A,FALSE,"DI 2 YEAR MASTER SCHEDULE"}</definedName>
    <definedName name="x" localSheetId="9" hidden="1">{#N/A,#N/A,FALSE,"DI 2 YEAR MASTER SCHEDULE"}</definedName>
    <definedName name="x" localSheetId="10" hidden="1">{#N/A,#N/A,FALSE,"DI 2 YEAR MASTER SCHEDULE"}</definedName>
    <definedName name="x" hidden="1">{#N/A,#N/A,FALSE,"DI 2 YEAR MASTER SCHEDULE"}</definedName>
    <definedName name="y" localSheetId="8"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localSheetId="9"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localSheetId="1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z" localSheetId="8" hidden="1">{#N/A,#N/A,FALSE,"DI 2 YEAR MASTER SCHEDULE"}</definedName>
    <definedName name="z" localSheetId="9" hidden="1">{#N/A,#N/A,FALSE,"DI 2 YEAR MASTER SCHEDULE"}</definedName>
    <definedName name="z" localSheetId="10" hidden="1">{#N/A,#N/A,FALSE,"DI 2 YEAR MASTER SCHEDULE"}</definedName>
    <definedName name="z" hidden="1">{#N/A,#N/A,FALSE,"DI 2 YEAR MASTER SCHEDULE"}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56" i="63" l="1"/>
  <c r="E356" i="63"/>
  <c r="F356" i="63"/>
  <c r="C356" i="63"/>
  <c r="L43" i="27"/>
  <c r="L24" i="27"/>
  <c r="G16" i="62"/>
  <c r="E392" i="63" l="1"/>
  <c r="D392" i="63"/>
  <c r="C392" i="63"/>
  <c r="E391" i="63"/>
  <c r="D391" i="63"/>
  <c r="C391" i="63"/>
  <c r="E390" i="63"/>
  <c r="D390" i="63"/>
  <c r="C390" i="63"/>
  <c r="F389" i="63"/>
  <c r="F388" i="63"/>
  <c r="F387" i="63"/>
  <c r="F386" i="63"/>
  <c r="E58" i="10"/>
  <c r="F392" i="63" l="1"/>
  <c r="F390" i="63"/>
  <c r="F391" i="63"/>
  <c r="C16" i="62"/>
  <c r="G37" i="10" l="1"/>
  <c r="H37" i="10"/>
  <c r="I37" i="10"/>
  <c r="J37" i="10"/>
  <c r="K37" i="10"/>
  <c r="K38" i="10" s="1"/>
  <c r="E37" i="10"/>
  <c r="F37" i="10"/>
  <c r="D37" i="10"/>
  <c r="J36" i="10"/>
  <c r="K36" i="10"/>
  <c r="G36" i="10"/>
  <c r="H36" i="10"/>
  <c r="I36" i="10"/>
  <c r="E36" i="10"/>
  <c r="F36" i="10"/>
  <c r="D36" i="10"/>
  <c r="R26" i="63" l="1"/>
  <c r="F8" i="10" l="1"/>
  <c r="AB62" i="63" l="1"/>
  <c r="B96" i="63"/>
  <c r="B95" i="63"/>
  <c r="B85" i="63"/>
  <c r="B84" i="63"/>
  <c r="I36" i="63"/>
  <c r="C19" i="63"/>
  <c r="BQ7" i="63" l="1"/>
  <c r="BR7" i="63"/>
  <c r="BS7" i="63"/>
  <c r="BT7" i="63"/>
  <c r="BU7" i="63"/>
  <c r="BV7" i="63"/>
  <c r="BW7" i="63"/>
  <c r="BX7" i="63"/>
  <c r="B4" i="63" l="1"/>
  <c r="U4" i="63" s="1"/>
  <c r="P12" i="63"/>
  <c r="Q36" i="63" s="1"/>
  <c r="P13" i="63"/>
  <c r="P52" i="63" s="1"/>
  <c r="A15" i="63"/>
  <c r="R16" i="63"/>
  <c r="R17" i="63"/>
  <c r="R18" i="63"/>
  <c r="R19" i="63"/>
  <c r="R20" i="63"/>
  <c r="C21" i="63"/>
  <c r="D21" i="63"/>
  <c r="E21" i="63"/>
  <c r="F21" i="63"/>
  <c r="G21" i="63"/>
  <c r="H21" i="63"/>
  <c r="I21" i="63"/>
  <c r="K21" i="63"/>
  <c r="R22" i="63"/>
  <c r="R23" i="63"/>
  <c r="R24" i="63"/>
  <c r="C25" i="63"/>
  <c r="D25" i="63"/>
  <c r="E25" i="63"/>
  <c r="F25" i="63"/>
  <c r="G25" i="63"/>
  <c r="H25" i="63"/>
  <c r="I25" i="63"/>
  <c r="K25" i="63"/>
  <c r="R25" i="63"/>
  <c r="C26" i="63"/>
  <c r="D26" i="63"/>
  <c r="E26" i="63"/>
  <c r="F26" i="63"/>
  <c r="G26" i="63"/>
  <c r="H26" i="63"/>
  <c r="I26" i="63"/>
  <c r="K26" i="63"/>
  <c r="P26" i="63"/>
  <c r="Q26" i="63"/>
  <c r="C27" i="63"/>
  <c r="D27" i="63"/>
  <c r="E27" i="63"/>
  <c r="F27" i="63"/>
  <c r="G27" i="63"/>
  <c r="H27" i="63"/>
  <c r="I27" i="63"/>
  <c r="K27" i="63"/>
  <c r="R27" i="63"/>
  <c r="C28" i="63"/>
  <c r="D28" i="63"/>
  <c r="E28" i="63"/>
  <c r="F28" i="63"/>
  <c r="G28" i="63"/>
  <c r="H28" i="63"/>
  <c r="I28" i="63"/>
  <c r="K28" i="63"/>
  <c r="I31" i="63"/>
  <c r="K31" i="63"/>
  <c r="P32" i="63"/>
  <c r="Q32" i="63"/>
  <c r="R32" i="63"/>
  <c r="O33" i="63"/>
  <c r="BQ33" i="63"/>
  <c r="BR33" i="63"/>
  <c r="BS33" i="63"/>
  <c r="BT33" i="63"/>
  <c r="BU33" i="63"/>
  <c r="BV33" i="63"/>
  <c r="BW33" i="63"/>
  <c r="BX33" i="63"/>
  <c r="L39" i="63"/>
  <c r="I193" i="63" s="1"/>
  <c r="AG193" i="63" s="1"/>
  <c r="R39" i="63"/>
  <c r="R40" i="63"/>
  <c r="R41" i="63"/>
  <c r="C42" i="63"/>
  <c r="D42" i="63"/>
  <c r="E42" i="63"/>
  <c r="F42" i="63"/>
  <c r="G42" i="63"/>
  <c r="H42" i="63"/>
  <c r="I42" i="63"/>
  <c r="K42" i="63"/>
  <c r="R42" i="63"/>
  <c r="C43" i="63"/>
  <c r="D43" i="63"/>
  <c r="E43" i="63"/>
  <c r="F43" i="63"/>
  <c r="G43" i="63"/>
  <c r="H43" i="63"/>
  <c r="I43" i="63"/>
  <c r="K43" i="63"/>
  <c r="P43" i="63"/>
  <c r="Q43" i="63"/>
  <c r="R43" i="63"/>
  <c r="C44" i="63"/>
  <c r="D44" i="63"/>
  <c r="E44" i="63"/>
  <c r="F44" i="63"/>
  <c r="G44" i="63"/>
  <c r="H44" i="63"/>
  <c r="I44" i="63"/>
  <c r="K44" i="63"/>
  <c r="O44" i="63"/>
  <c r="R44" i="63"/>
  <c r="C45" i="63"/>
  <c r="D45" i="63"/>
  <c r="E45" i="63"/>
  <c r="F45" i="63"/>
  <c r="G45" i="63"/>
  <c r="H45" i="63"/>
  <c r="I45" i="63"/>
  <c r="K45" i="63"/>
  <c r="I48" i="63"/>
  <c r="K48" i="63"/>
  <c r="A49" i="63"/>
  <c r="P49" i="63"/>
  <c r="Q49" i="63"/>
  <c r="R49" i="63"/>
  <c r="O50" i="63"/>
  <c r="AR51" i="63"/>
  <c r="AD174" i="63" s="1"/>
  <c r="AA52" i="63"/>
  <c r="AA57" i="63" s="1"/>
  <c r="AB52" i="63"/>
  <c r="AB57" i="63" s="1"/>
  <c r="BD52" i="63"/>
  <c r="BE52" i="63"/>
  <c r="AA55" i="63"/>
  <c r="AB55" i="63"/>
  <c r="R56" i="63"/>
  <c r="AA56" i="63"/>
  <c r="AB56" i="63"/>
  <c r="R57" i="63"/>
  <c r="Q58" i="63"/>
  <c r="R58" i="63"/>
  <c r="C59" i="63"/>
  <c r="D59" i="63"/>
  <c r="E59" i="63"/>
  <c r="F59" i="63"/>
  <c r="G59" i="63"/>
  <c r="H59" i="63"/>
  <c r="I59" i="63"/>
  <c r="K59" i="63"/>
  <c r="R59" i="63"/>
  <c r="C60" i="63"/>
  <c r="D60" i="63"/>
  <c r="E60" i="63"/>
  <c r="F60" i="63"/>
  <c r="G60" i="63"/>
  <c r="H60" i="63"/>
  <c r="I60" i="63"/>
  <c r="K60" i="63"/>
  <c r="P60" i="63"/>
  <c r="Q60" i="63"/>
  <c r="R60" i="63"/>
  <c r="C61" i="63"/>
  <c r="D61" i="63"/>
  <c r="E61" i="63"/>
  <c r="F61" i="63"/>
  <c r="G61" i="63"/>
  <c r="H61" i="63"/>
  <c r="I61" i="63"/>
  <c r="K61" i="63"/>
  <c r="O61" i="63"/>
  <c r="R61" i="63"/>
  <c r="C62" i="63"/>
  <c r="D62" i="63"/>
  <c r="E62" i="63"/>
  <c r="F62" i="63"/>
  <c r="G62" i="63"/>
  <c r="H62" i="63"/>
  <c r="I62" i="63"/>
  <c r="K62" i="63"/>
  <c r="B66" i="63"/>
  <c r="B81" i="63"/>
  <c r="B92" i="63" s="1"/>
  <c r="B103" i="63" s="1"/>
  <c r="B114" i="63" s="1"/>
  <c r="AA140" i="63"/>
  <c r="AD141" i="63"/>
  <c r="AE141" i="63"/>
  <c r="AF141" i="63"/>
  <c r="F144" i="63"/>
  <c r="F145" i="63" s="1"/>
  <c r="G144" i="63"/>
  <c r="G145" i="63" s="1"/>
  <c r="H144" i="63"/>
  <c r="H145" i="63" s="1"/>
  <c r="C147" i="63"/>
  <c r="H147" i="63"/>
  <c r="I147" i="63"/>
  <c r="AD147" i="63"/>
  <c r="AE147" i="63"/>
  <c r="AF147" i="63"/>
  <c r="F150" i="63"/>
  <c r="F151" i="63" s="1"/>
  <c r="G150" i="63"/>
  <c r="G151" i="63" s="1"/>
  <c r="H150" i="63"/>
  <c r="H151" i="63" s="1"/>
  <c r="C153" i="63"/>
  <c r="H153" i="63"/>
  <c r="I153" i="63"/>
  <c r="AD153" i="63"/>
  <c r="AE153" i="63"/>
  <c r="AF153" i="63"/>
  <c r="AD154" i="63"/>
  <c r="AE154" i="63"/>
  <c r="AF154" i="63"/>
  <c r="F156" i="63"/>
  <c r="F157" i="63" s="1"/>
  <c r="G156" i="63"/>
  <c r="G157" i="63" s="1"/>
  <c r="H156" i="63"/>
  <c r="H157" i="63" s="1"/>
  <c r="C159" i="63"/>
  <c r="H159" i="63"/>
  <c r="I159" i="63"/>
  <c r="AD159" i="63"/>
  <c r="AE159" i="63"/>
  <c r="AF159" i="63"/>
  <c r="AD160" i="63"/>
  <c r="AE160" i="63"/>
  <c r="AF160" i="63"/>
  <c r="F162" i="63"/>
  <c r="F163" i="63" s="1"/>
  <c r="G162" i="63"/>
  <c r="H162" i="63"/>
  <c r="H163" i="63" s="1"/>
  <c r="F165" i="63"/>
  <c r="G165" i="63"/>
  <c r="H165" i="63"/>
  <c r="F166" i="63"/>
  <c r="G166" i="63"/>
  <c r="H166" i="63"/>
  <c r="C173" i="63"/>
  <c r="C179" i="63" s="1"/>
  <c r="AH173" i="63"/>
  <c r="L174" i="63"/>
  <c r="T174" i="63" s="1"/>
  <c r="AD175" i="63"/>
  <c r="AE175" i="63"/>
  <c r="AF175" i="63"/>
  <c r="F176" i="63"/>
  <c r="F177" i="63" s="1"/>
  <c r="G176" i="63"/>
  <c r="G177" i="63" s="1"/>
  <c r="H176" i="63"/>
  <c r="I179" i="63"/>
  <c r="AF179" i="63"/>
  <c r="AD180" i="63"/>
  <c r="AE180" i="63"/>
  <c r="AF180" i="63"/>
  <c r="AD181" i="63"/>
  <c r="AE181" i="63"/>
  <c r="AF181" i="63"/>
  <c r="F182" i="63"/>
  <c r="F183" i="63" s="1"/>
  <c r="G182" i="63"/>
  <c r="G183" i="63" s="1"/>
  <c r="H182" i="63"/>
  <c r="H183" i="63" s="1"/>
  <c r="I185" i="63"/>
  <c r="AF185" i="63"/>
  <c r="AD186" i="63"/>
  <c r="AE186" i="63"/>
  <c r="AF186" i="63"/>
  <c r="AD187" i="63"/>
  <c r="AE187" i="63"/>
  <c r="AF187" i="63"/>
  <c r="F188" i="63"/>
  <c r="G188" i="63"/>
  <c r="G189" i="63" s="1"/>
  <c r="H188" i="63"/>
  <c r="H189" i="63" s="1"/>
  <c r="I191" i="63"/>
  <c r="AF191" i="63"/>
  <c r="AD192" i="63"/>
  <c r="AE192" i="63"/>
  <c r="AF192" i="63"/>
  <c r="AD193" i="63"/>
  <c r="AE193" i="63"/>
  <c r="AF193" i="63"/>
  <c r="F194" i="63"/>
  <c r="F195" i="63" s="1"/>
  <c r="G194" i="63"/>
  <c r="G195" i="63" s="1"/>
  <c r="H194" i="63"/>
  <c r="H195" i="63" s="1"/>
  <c r="F197" i="63"/>
  <c r="G197" i="63"/>
  <c r="H197" i="63"/>
  <c r="F198" i="63"/>
  <c r="G198" i="63"/>
  <c r="H198" i="63"/>
  <c r="C205" i="63"/>
  <c r="C211" i="63" s="1"/>
  <c r="AD207" i="63"/>
  <c r="AE207" i="63"/>
  <c r="AF207" i="63"/>
  <c r="F208" i="63"/>
  <c r="F209" i="63" s="1"/>
  <c r="G208" i="63"/>
  <c r="G209" i="63" s="1"/>
  <c r="H208" i="63"/>
  <c r="AD208" i="63"/>
  <c r="AE208" i="63"/>
  <c r="AF208" i="63"/>
  <c r="I211" i="63"/>
  <c r="AD213" i="63"/>
  <c r="AE213" i="63"/>
  <c r="AF213" i="63"/>
  <c r="F214" i="63"/>
  <c r="F215" i="63" s="1"/>
  <c r="G214" i="63"/>
  <c r="H214" i="63"/>
  <c r="H215" i="63" s="1"/>
  <c r="I217" i="63"/>
  <c r="AD219" i="63"/>
  <c r="AE219" i="63"/>
  <c r="AF219" i="63"/>
  <c r="F220" i="63"/>
  <c r="F221" i="63" s="1"/>
  <c r="G220" i="63"/>
  <c r="G221" i="63" s="1"/>
  <c r="H220" i="63"/>
  <c r="H221" i="63" s="1"/>
  <c r="AD220" i="63"/>
  <c r="AE220" i="63"/>
  <c r="AF220" i="63"/>
  <c r="I223" i="63"/>
  <c r="AD225" i="63"/>
  <c r="AE225" i="63"/>
  <c r="AF225" i="63"/>
  <c r="F226" i="63"/>
  <c r="F227" i="63" s="1"/>
  <c r="G226" i="63"/>
  <c r="G227" i="63" s="1"/>
  <c r="H226" i="63"/>
  <c r="H227" i="63" s="1"/>
  <c r="AD226" i="63"/>
  <c r="AE226" i="63"/>
  <c r="AF226" i="63"/>
  <c r="F229" i="63"/>
  <c r="G229" i="63"/>
  <c r="H229" i="63"/>
  <c r="F230" i="63"/>
  <c r="G230" i="63"/>
  <c r="H230" i="63"/>
  <c r="B239" i="63"/>
  <c r="B254" i="63" s="1"/>
  <c r="C280" i="63"/>
  <c r="D280" i="63"/>
  <c r="E280" i="63"/>
  <c r="G280" i="63"/>
  <c r="C291" i="63"/>
  <c r="D291" i="63"/>
  <c r="E291" i="63"/>
  <c r="G291" i="63"/>
  <c r="G292" i="63" s="1"/>
  <c r="C303" i="63"/>
  <c r="C304" i="63" s="1"/>
  <c r="D303" i="63"/>
  <c r="E303" i="63"/>
  <c r="G303" i="63"/>
  <c r="C316" i="63"/>
  <c r="D316" i="63"/>
  <c r="E316" i="63"/>
  <c r="G316" i="63"/>
  <c r="B350" i="63"/>
  <c r="B385" i="63" s="1"/>
  <c r="F351" i="63"/>
  <c r="F352" i="63"/>
  <c r="C355" i="63"/>
  <c r="D355" i="63"/>
  <c r="E355" i="63"/>
  <c r="B7" i="62"/>
  <c r="B15" i="62" s="1"/>
  <c r="G7" i="62"/>
  <c r="G24" i="62" s="1"/>
  <c r="C8" i="62"/>
  <c r="E8" i="62" s="1"/>
  <c r="F8" i="62"/>
  <c r="G8" i="62"/>
  <c r="G15" i="62"/>
  <c r="E16" i="62"/>
  <c r="I16" i="62"/>
  <c r="I19" i="62" s="1"/>
  <c r="E25" i="62"/>
  <c r="G25" i="62"/>
  <c r="I25" i="62" s="1"/>
  <c r="G25" i="61"/>
  <c r="F25" i="61"/>
  <c r="D25" i="61"/>
  <c r="C25" i="61"/>
  <c r="B24" i="61"/>
  <c r="I19" i="61"/>
  <c r="J19" i="61" s="1"/>
  <c r="G16" i="61"/>
  <c r="F16" i="61"/>
  <c r="D16" i="61"/>
  <c r="C16" i="61"/>
  <c r="E16" i="61" s="1"/>
  <c r="B15" i="61"/>
  <c r="I11" i="61"/>
  <c r="J11" i="61" s="1"/>
  <c r="G8" i="61"/>
  <c r="F8" i="61"/>
  <c r="C8" i="61"/>
  <c r="E8" i="61" s="1"/>
  <c r="AF221" i="63" l="1"/>
  <c r="AF222" i="63" s="1"/>
  <c r="D292" i="63"/>
  <c r="F355" i="63"/>
  <c r="AD155" i="63"/>
  <c r="AD156" i="63" s="1"/>
  <c r="C292" i="63"/>
  <c r="I8" i="62"/>
  <c r="I16" i="61"/>
  <c r="AB66" i="63"/>
  <c r="AF142" i="63"/>
  <c r="AF143" i="63" s="1"/>
  <c r="AD214" i="63"/>
  <c r="AD215" i="63" s="1"/>
  <c r="E25" i="61"/>
  <c r="Q51" i="63"/>
  <c r="Q40" i="63"/>
  <c r="I8" i="61"/>
  <c r="I9" i="61" s="1"/>
  <c r="J9" i="61" s="1"/>
  <c r="I17" i="61"/>
  <c r="J17" i="61" s="1"/>
  <c r="AE148" i="63"/>
  <c r="AE149" i="63" s="1"/>
  <c r="I25" i="61"/>
  <c r="T181" i="63"/>
  <c r="AE221" i="63"/>
  <c r="AE222" i="63" s="1"/>
  <c r="AF155" i="63"/>
  <c r="AF156" i="63" s="1"/>
  <c r="AD221" i="63"/>
  <c r="AD222" i="63" s="1"/>
  <c r="AF214" i="63"/>
  <c r="AF215" i="63" s="1"/>
  <c r="AF216" i="63" s="1"/>
  <c r="C317" i="63"/>
  <c r="AE214" i="63"/>
  <c r="AE231" i="63" s="1"/>
  <c r="AE194" i="63"/>
  <c r="AE195" i="63" s="1"/>
  <c r="AD182" i="63"/>
  <c r="AD183" i="63" s="1"/>
  <c r="AD227" i="63"/>
  <c r="AD228" i="63" s="1"/>
  <c r="AD209" i="63"/>
  <c r="AD210" i="63" s="1"/>
  <c r="AA158" i="63"/>
  <c r="AA146" i="63"/>
  <c r="AA152" i="63"/>
  <c r="E292" i="63"/>
  <c r="AD142" i="63"/>
  <c r="AF148" i="63"/>
  <c r="AD164" i="63"/>
  <c r="L188" i="63"/>
  <c r="AE188" i="63"/>
  <c r="AE189" i="63" s="1"/>
  <c r="P58" i="63"/>
  <c r="AD148" i="63"/>
  <c r="AD149" i="63" s="1"/>
  <c r="AD150" i="63" s="1"/>
  <c r="D304" i="63"/>
  <c r="D317" i="63" s="1"/>
  <c r="P54" i="63"/>
  <c r="P51" i="63"/>
  <c r="P25" i="63"/>
  <c r="P57" i="63"/>
  <c r="P53" i="63"/>
  <c r="P59" i="63"/>
  <c r="F29" i="63"/>
  <c r="Y6" i="63" s="1"/>
  <c r="Y39" i="63" s="1"/>
  <c r="P56" i="63"/>
  <c r="I29" i="63"/>
  <c r="AB6" i="63" s="1"/>
  <c r="AB39" i="63" s="1"/>
  <c r="P19" i="63"/>
  <c r="C63" i="63"/>
  <c r="AX6" i="63" s="1"/>
  <c r="AX32" i="63" s="1"/>
  <c r="AF174" i="63"/>
  <c r="AF197" i="63" s="1"/>
  <c r="AE142" i="63"/>
  <c r="AE143" i="63" s="1"/>
  <c r="AE144" i="63" s="1"/>
  <c r="AD198" i="63"/>
  <c r="Q61" i="63"/>
  <c r="Q56" i="63"/>
  <c r="P40" i="63"/>
  <c r="P36" i="63"/>
  <c r="Q27" i="63"/>
  <c r="AE209" i="63"/>
  <c r="AE210" i="63" s="1"/>
  <c r="P61" i="63"/>
  <c r="P50" i="63"/>
  <c r="Q42" i="63"/>
  <c r="Q35" i="63"/>
  <c r="P27" i="63"/>
  <c r="Q24" i="63"/>
  <c r="AD194" i="63"/>
  <c r="AD195" i="63" s="1"/>
  <c r="AF161" i="63"/>
  <c r="AF162" i="63" s="1"/>
  <c r="AE155" i="63"/>
  <c r="AE156" i="63" s="1"/>
  <c r="Q44" i="63"/>
  <c r="P42" i="63"/>
  <c r="C46" i="63"/>
  <c r="AI6" i="63" s="1"/>
  <c r="AI39" i="63" s="1"/>
  <c r="Q39" i="63"/>
  <c r="P35" i="63"/>
  <c r="P24" i="63"/>
  <c r="Q18" i="63"/>
  <c r="AD230" i="63"/>
  <c r="AF231" i="63"/>
  <c r="L181" i="63"/>
  <c r="AE161" i="63"/>
  <c r="AE162" i="63" s="1"/>
  <c r="Q57" i="63"/>
  <c r="P44" i="63"/>
  <c r="P39" i="63"/>
  <c r="Q34" i="63"/>
  <c r="Q59" i="63"/>
  <c r="Q54" i="63"/>
  <c r="Q52" i="63"/>
  <c r="Q41" i="63"/>
  <c r="P34" i="63"/>
  <c r="C29" i="63"/>
  <c r="V6" i="63" s="1"/>
  <c r="Q23" i="63"/>
  <c r="AF227" i="63"/>
  <c r="AF228" i="63" s="1"/>
  <c r="AD188" i="63"/>
  <c r="AD189" i="63" s="1"/>
  <c r="G167" i="63"/>
  <c r="G168" i="63" s="1"/>
  <c r="P41" i="63"/>
  <c r="Q37" i="63"/>
  <c r="P33" i="63"/>
  <c r="F231" i="63"/>
  <c r="F232" i="63" s="1"/>
  <c r="AE227" i="63"/>
  <c r="AE228" i="63" s="1"/>
  <c r="T188" i="63"/>
  <c r="AF198" i="63"/>
  <c r="G63" i="63"/>
  <c r="BB6" i="63" s="1"/>
  <c r="Q53" i="63"/>
  <c r="AD197" i="63"/>
  <c r="P37" i="63"/>
  <c r="Q25" i="63"/>
  <c r="P22" i="63"/>
  <c r="E304" i="63"/>
  <c r="E317" i="63" s="1"/>
  <c r="AF188" i="63"/>
  <c r="AF189" i="63" s="1"/>
  <c r="AE198" i="63"/>
  <c r="G163" i="63"/>
  <c r="I46" i="63"/>
  <c r="AO6" i="63" s="1"/>
  <c r="AO39" i="63" s="1"/>
  <c r="E46" i="63"/>
  <c r="AK6" i="63" s="1"/>
  <c r="AK39" i="63" s="1"/>
  <c r="L28" i="63"/>
  <c r="I160" i="63" s="1"/>
  <c r="AG159" i="63" s="1"/>
  <c r="E29" i="63"/>
  <c r="X6" i="63" s="1"/>
  <c r="X39" i="63" s="1"/>
  <c r="L25" i="63"/>
  <c r="I148" i="63" s="1"/>
  <c r="AB206" i="63"/>
  <c r="AA173" i="63"/>
  <c r="G46" i="63"/>
  <c r="AM6" i="63" s="1"/>
  <c r="AM39" i="63" s="1"/>
  <c r="L26" i="63"/>
  <c r="I142" i="63" s="1"/>
  <c r="P18" i="63"/>
  <c r="AF194" i="63"/>
  <c r="AF195" i="63" s="1"/>
  <c r="G29" i="63"/>
  <c r="Z6" i="63" s="1"/>
  <c r="G304" i="63"/>
  <c r="G317" i="63" s="1"/>
  <c r="H231" i="63"/>
  <c r="H232" i="63" s="1"/>
  <c r="D29" i="63"/>
  <c r="W6" i="63" s="1"/>
  <c r="R29" i="63"/>
  <c r="AF176" i="63"/>
  <c r="AF177" i="63" s="1"/>
  <c r="AF149" i="63"/>
  <c r="AF150" i="63" s="1"/>
  <c r="C191" i="63"/>
  <c r="AF182" i="63"/>
  <c r="AF183" i="63" s="1"/>
  <c r="AE174" i="63"/>
  <c r="AE176" i="63" s="1"/>
  <c r="AE177" i="63" s="1"/>
  <c r="F167" i="63"/>
  <c r="F168" i="63" s="1"/>
  <c r="AE164" i="63"/>
  <c r="F199" i="63"/>
  <c r="F200" i="63" s="1"/>
  <c r="AE182" i="63"/>
  <c r="AE183" i="63" s="1"/>
  <c r="H199" i="63"/>
  <c r="H200" i="63" s="1"/>
  <c r="H167" i="63"/>
  <c r="H168" i="63" s="1"/>
  <c r="G199" i="63"/>
  <c r="G200" i="63" s="1"/>
  <c r="AF230" i="63"/>
  <c r="C185" i="63"/>
  <c r="AD161" i="63"/>
  <c r="AD162" i="63" s="1"/>
  <c r="Q20" i="63"/>
  <c r="R28" i="63"/>
  <c r="H46" i="63"/>
  <c r="AN6" i="63" s="1"/>
  <c r="AN39" i="63" s="1"/>
  <c r="L43" i="63"/>
  <c r="I174" i="63" s="1"/>
  <c r="K63" i="63"/>
  <c r="BE6" i="63" s="1"/>
  <c r="E63" i="63"/>
  <c r="E67" i="63" s="1"/>
  <c r="L62" i="63"/>
  <c r="I224" i="63" s="1"/>
  <c r="I63" i="63"/>
  <c r="I67" i="63" s="1"/>
  <c r="I9" i="62"/>
  <c r="H63" i="63"/>
  <c r="K29" i="63"/>
  <c r="AC6" i="63" s="1"/>
  <c r="AC39" i="63" s="1"/>
  <c r="Q17" i="63"/>
  <c r="P23" i="63"/>
  <c r="L27" i="63"/>
  <c r="I154" i="63" s="1"/>
  <c r="Q19" i="63"/>
  <c r="Q16" i="63"/>
  <c r="Q22" i="63"/>
  <c r="L21" i="63"/>
  <c r="I155" i="63" s="1"/>
  <c r="M191" i="63" s="1"/>
  <c r="P16" i="63"/>
  <c r="AE230" i="63"/>
  <c r="AF209" i="63"/>
  <c r="F189" i="63"/>
  <c r="L61" i="63"/>
  <c r="G215" i="63"/>
  <c r="G231" i="63"/>
  <c r="G232" i="63" s="1"/>
  <c r="AF164" i="63"/>
  <c r="H209" i="63"/>
  <c r="H177" i="63"/>
  <c r="C223" i="63"/>
  <c r="C217" i="63"/>
  <c r="AD176" i="63"/>
  <c r="L60" i="63"/>
  <c r="L42" i="63"/>
  <c r="F46" i="63"/>
  <c r="AL6" i="63" s="1"/>
  <c r="F63" i="63"/>
  <c r="D63" i="63"/>
  <c r="L59" i="63"/>
  <c r="K46" i="63"/>
  <c r="AP6" i="63" s="1"/>
  <c r="D46" i="63"/>
  <c r="L45" i="63"/>
  <c r="U37" i="63"/>
  <c r="AH4" i="63"/>
  <c r="AW4" i="63"/>
  <c r="P20" i="63"/>
  <c r="P17" i="63"/>
  <c r="L44" i="63"/>
  <c r="H29" i="63"/>
  <c r="AA6" i="63" s="1"/>
  <c r="I26" i="62"/>
  <c r="I28" i="62"/>
  <c r="I17" i="62"/>
  <c r="B24" i="62"/>
  <c r="AE165" i="63" l="1"/>
  <c r="AE197" i="63"/>
  <c r="I26" i="61"/>
  <c r="J26" i="61" s="1"/>
  <c r="AD232" i="63"/>
  <c r="AD216" i="63"/>
  <c r="AD231" i="63"/>
  <c r="I28" i="61"/>
  <c r="J28" i="61" s="1"/>
  <c r="AF165" i="63"/>
  <c r="AE215" i="63"/>
  <c r="AE216" i="63" s="1"/>
  <c r="AD165" i="63"/>
  <c r="AD143" i="63"/>
  <c r="AA191" i="63"/>
  <c r="AA185" i="63"/>
  <c r="AA179" i="63"/>
  <c r="AB212" i="63"/>
  <c r="AB218" i="63"/>
  <c r="AB224" i="63"/>
  <c r="AE199" i="63"/>
  <c r="AE200" i="63" s="1"/>
  <c r="V39" i="63"/>
  <c r="J165" i="63"/>
  <c r="AG141" i="63"/>
  <c r="I165" i="63"/>
  <c r="J1" i="63" s="1"/>
  <c r="C67" i="63"/>
  <c r="BD6" i="63"/>
  <c r="BD32" i="63" s="1"/>
  <c r="BW32" i="63" s="1"/>
  <c r="P45" i="63"/>
  <c r="P62" i="63"/>
  <c r="P66" i="63" s="1"/>
  <c r="BU6" i="63"/>
  <c r="P28" i="63"/>
  <c r="P46" i="63"/>
  <c r="AZ6" i="63"/>
  <c r="BS6" i="63" s="1"/>
  <c r="P29" i="63"/>
  <c r="P63" i="63"/>
  <c r="BB32" i="63"/>
  <c r="BU32" i="63" s="1"/>
  <c r="P67" i="63"/>
  <c r="AF199" i="63"/>
  <c r="AF200" i="63" s="1"/>
  <c r="Z39" i="63"/>
  <c r="G67" i="63"/>
  <c r="BQ6" i="63"/>
  <c r="AE7" i="63"/>
  <c r="BQ32" i="63"/>
  <c r="K67" i="63"/>
  <c r="AG147" i="63"/>
  <c r="V177" i="63" s="1"/>
  <c r="N177" i="63"/>
  <c r="N185" i="63"/>
  <c r="AG174" i="63"/>
  <c r="V185" i="63" s="1"/>
  <c r="N22" i="63"/>
  <c r="BC6" i="63"/>
  <c r="BC32" i="63" s="1"/>
  <c r="BV32" i="63" s="1"/>
  <c r="H67" i="63"/>
  <c r="Q29" i="63"/>
  <c r="Q28" i="63"/>
  <c r="N191" i="63"/>
  <c r="O191" i="63" s="1"/>
  <c r="P191" i="63" s="1"/>
  <c r="AG153" i="63"/>
  <c r="I156" i="63"/>
  <c r="AG154" i="63"/>
  <c r="AL39" i="63"/>
  <c r="AG225" i="63"/>
  <c r="I180" i="63"/>
  <c r="AW30" i="63"/>
  <c r="AH37" i="63"/>
  <c r="AD199" i="63"/>
  <c r="AD200" i="63" s="1"/>
  <c r="AD177" i="63"/>
  <c r="N42" i="63"/>
  <c r="N43" i="63" s="1"/>
  <c r="I192" i="63"/>
  <c r="I206" i="63"/>
  <c r="AF144" i="63"/>
  <c r="AF166" i="63"/>
  <c r="AY6" i="63"/>
  <c r="D67" i="63"/>
  <c r="L63" i="63"/>
  <c r="D9" i="63" s="1"/>
  <c r="I186" i="63"/>
  <c r="AP39" i="63"/>
  <c r="AJ6" i="63"/>
  <c r="L46" i="63"/>
  <c r="AA39" i="63"/>
  <c r="I212" i="63"/>
  <c r="BA6" i="63"/>
  <c r="F67" i="63"/>
  <c r="L29" i="63"/>
  <c r="AE150" i="63"/>
  <c r="AE166" i="63"/>
  <c r="I218" i="63"/>
  <c r="AF210" i="63"/>
  <c r="AF232" i="63"/>
  <c r="AF233" i="63" s="1"/>
  <c r="W39" i="63"/>
  <c r="BE32" i="63"/>
  <c r="BX6" i="63"/>
  <c r="AD233" i="63"/>
  <c r="AE232" i="63" l="1"/>
  <c r="AE233" i="63" s="1"/>
  <c r="AD144" i="63"/>
  <c r="AD166" i="63"/>
  <c r="N23" i="63"/>
  <c r="K165" i="63"/>
  <c r="AE40" i="63"/>
  <c r="BW6" i="63"/>
  <c r="AZ32" i="63"/>
  <c r="BS32" i="63" s="1"/>
  <c r="L67" i="63"/>
  <c r="BV6" i="63"/>
  <c r="AG155" i="63"/>
  <c r="AH155" i="63" s="1"/>
  <c r="BX32" i="63"/>
  <c r="U191" i="63"/>
  <c r="V191" i="63"/>
  <c r="AG164" i="63"/>
  <c r="J156" i="63"/>
  <c r="I157" i="63"/>
  <c r="BR6" i="63"/>
  <c r="AY32" i="63"/>
  <c r="BR32" i="63" s="1"/>
  <c r="J229" i="63"/>
  <c r="BG7" i="63"/>
  <c r="AG192" i="63"/>
  <c r="AG194" i="63" s="1"/>
  <c r="I194" i="63"/>
  <c r="AG180" i="63"/>
  <c r="N178" i="63"/>
  <c r="I197" i="63"/>
  <c r="J2" i="63" s="1"/>
  <c r="D7" i="63"/>
  <c r="D127" i="63" s="1"/>
  <c r="BT6" i="63"/>
  <c r="BA32" i="63"/>
  <c r="BT32" i="63" s="1"/>
  <c r="AJ39" i="63"/>
  <c r="AR40" i="63" s="1"/>
  <c r="J197" i="63"/>
  <c r="AR7" i="63"/>
  <c r="N193" i="63"/>
  <c r="AG219" i="63"/>
  <c r="AG186" i="63"/>
  <c r="N192" i="63"/>
  <c r="D8" i="63"/>
  <c r="D258" i="63" s="1"/>
  <c r="N179" i="63"/>
  <c r="AG213" i="63"/>
  <c r="AG207" i="63"/>
  <c r="N186" i="63"/>
  <c r="I229" i="63"/>
  <c r="J3" i="63" s="1"/>
  <c r="D257" i="63" l="1"/>
  <c r="D97" i="63"/>
  <c r="D259" i="63"/>
  <c r="D73" i="63"/>
  <c r="D84" i="63" s="1"/>
  <c r="D117" i="63" s="1"/>
  <c r="AG156" i="63"/>
  <c r="W191" i="63"/>
  <c r="X191" i="63" s="1"/>
  <c r="AG230" i="63"/>
  <c r="V186" i="63"/>
  <c r="K197" i="63"/>
  <c r="V178" i="63"/>
  <c r="AG197" i="63"/>
  <c r="D75" i="63"/>
  <c r="D244" i="63"/>
  <c r="D243" i="63"/>
  <c r="D96" i="63"/>
  <c r="D74" i="63"/>
  <c r="J194" i="63"/>
  <c r="I195" i="63"/>
  <c r="AH194" i="63"/>
  <c r="AG195" i="63"/>
  <c r="BZ29" i="63"/>
  <c r="D10" i="63"/>
  <c r="D95" i="63"/>
  <c r="D242" i="63"/>
  <c r="K229" i="63"/>
  <c r="BG33" i="63"/>
  <c r="V193" i="63"/>
  <c r="N194" i="63"/>
  <c r="V179" i="63"/>
  <c r="V192" i="63"/>
  <c r="N180" i="63"/>
  <c r="BZ7" i="63"/>
  <c r="V194" i="63" l="1"/>
  <c r="D260" i="63"/>
  <c r="D245" i="63"/>
  <c r="V180" i="63"/>
  <c r="D98" i="63"/>
  <c r="D108" i="63"/>
  <c r="D86" i="63"/>
  <c r="D106" i="63"/>
  <c r="D76" i="63"/>
  <c r="D107" i="63"/>
  <c r="D85" i="63"/>
  <c r="D118" i="63" l="1"/>
  <c r="D128" i="63" s="1"/>
  <c r="D119" i="63"/>
  <c r="D129" i="63" s="1"/>
  <c r="D109" i="63"/>
  <c r="D87" i="63"/>
  <c r="D130" i="63" l="1"/>
  <c r="D120" i="63"/>
  <c r="E61" i="10" l="1"/>
  <c r="K47" i="10"/>
  <c r="K46" i="10"/>
  <c r="R25" i="10"/>
  <c r="D10" i="10"/>
  <c r="E10" i="10"/>
  <c r="F10" i="10"/>
  <c r="G10" i="10"/>
  <c r="H10" i="10"/>
  <c r="D9" i="10"/>
  <c r="E9" i="10"/>
  <c r="F9" i="10"/>
  <c r="G9" i="10"/>
  <c r="H9" i="10"/>
  <c r="G7" i="10"/>
  <c r="H7" i="10"/>
  <c r="E7" i="10"/>
  <c r="F7" i="10"/>
  <c r="D7" i="10"/>
  <c r="T25" i="10" l="1"/>
  <c r="D10" i="37" l="1"/>
  <c r="D8" i="37"/>
  <c r="D7" i="37"/>
  <c r="H6" i="10"/>
  <c r="C10" i="37" s="1"/>
  <c r="G6" i="10"/>
  <c r="F6" i="10"/>
  <c r="C8" i="37" s="1"/>
  <c r="E6" i="10"/>
  <c r="C7" i="37" s="1"/>
  <c r="D6" i="10"/>
  <c r="H8" i="10"/>
  <c r="E10" i="37" s="1"/>
  <c r="G8" i="10"/>
  <c r="E9" i="37" s="1"/>
  <c r="E8" i="37"/>
  <c r="E8" i="10"/>
  <c r="E7" i="37" s="1"/>
  <c r="D8" i="10"/>
  <c r="E34" i="37"/>
  <c r="E33" i="37"/>
  <c r="E32" i="37"/>
  <c r="E31" i="37"/>
  <c r="E30" i="37"/>
  <c r="E29" i="37"/>
  <c r="E28" i="37"/>
  <c r="E27" i="37"/>
  <c r="D33" i="37"/>
  <c r="D32" i="37"/>
  <c r="D31" i="37"/>
  <c r="D30" i="37"/>
  <c r="D29" i="37"/>
  <c r="D28" i="37"/>
  <c r="D27" i="37"/>
  <c r="C33" i="37"/>
  <c r="C32" i="37"/>
  <c r="C31" i="37"/>
  <c r="C30" i="37"/>
  <c r="C29" i="37"/>
  <c r="C28" i="37"/>
  <c r="C27" i="37"/>
  <c r="U24" i="10"/>
  <c r="U25" i="10"/>
  <c r="U23" i="10"/>
  <c r="R24" i="10"/>
  <c r="T24" i="10" s="1"/>
  <c r="R23" i="10"/>
  <c r="T23" i="10" s="1"/>
  <c r="K48" i="10"/>
  <c r="K49" i="10" s="1"/>
  <c r="K34" i="10" s="1"/>
  <c r="E71" i="37"/>
  <c r="E72" i="37"/>
  <c r="E73" i="37"/>
  <c r="E74" i="37"/>
  <c r="E75" i="37"/>
  <c r="D71" i="37"/>
  <c r="D72" i="37"/>
  <c r="D73" i="37"/>
  <c r="D74" i="37"/>
  <c r="D75" i="37"/>
  <c r="C71" i="37"/>
  <c r="C72" i="37"/>
  <c r="C73" i="37"/>
  <c r="C74" i="37"/>
  <c r="C75" i="37"/>
  <c r="D77" i="37"/>
  <c r="F61" i="10"/>
  <c r="E77" i="37" s="1"/>
  <c r="D61" i="10"/>
  <c r="C77" i="37" s="1"/>
  <c r="D16" i="10"/>
  <c r="S9" i="37" s="1"/>
  <c r="E16" i="10"/>
  <c r="S10" i="37" s="1"/>
  <c r="F16" i="10"/>
  <c r="S11" i="37" s="1"/>
  <c r="G16" i="10"/>
  <c r="H16" i="10"/>
  <c r="S13" i="37" s="1"/>
  <c r="C49" i="25"/>
  <c r="E13" i="37" l="1"/>
  <c r="K43" i="10"/>
  <c r="K44" i="10" s="1"/>
  <c r="K32" i="10" s="1"/>
  <c r="U39" i="10"/>
  <c r="G59" i="37" s="1"/>
  <c r="C34" i="37"/>
  <c r="C36" i="37" s="1"/>
  <c r="D34" i="37"/>
  <c r="D36" i="37" s="1"/>
  <c r="P32" i="10"/>
  <c r="E36" i="37"/>
  <c r="W39" i="10"/>
  <c r="D59" i="37" s="1"/>
  <c r="K39" i="10" l="1"/>
  <c r="K33" i="10" s="1"/>
  <c r="V39" i="10"/>
  <c r="C59" i="37" s="1"/>
  <c r="I10" i="60"/>
  <c r="J10" i="60"/>
  <c r="J12" i="60" s="1"/>
  <c r="K10" i="60"/>
  <c r="K12" i="60" s="1"/>
  <c r="L10" i="60"/>
  <c r="L12" i="60" s="1"/>
  <c r="N10" i="60"/>
  <c r="N12" i="60" s="1"/>
  <c r="O10" i="60"/>
  <c r="P10" i="60"/>
  <c r="Q10" i="60"/>
  <c r="S10" i="60"/>
  <c r="T10" i="60"/>
  <c r="T12" i="60" s="1"/>
  <c r="U10" i="60"/>
  <c r="U12" i="60" s="1"/>
  <c r="V10" i="60"/>
  <c r="V12" i="60" s="1"/>
  <c r="I12" i="60"/>
  <c r="O12" i="60"/>
  <c r="P12" i="60"/>
  <c r="Q12" i="60"/>
  <c r="Q19" i="60" s="1"/>
  <c r="S12" i="60"/>
  <c r="Q18" i="60"/>
  <c r="V19" i="60" l="1"/>
  <c r="V20" i="60"/>
  <c r="L19" i="60"/>
  <c r="L20" i="60"/>
  <c r="V18" i="60"/>
  <c r="L18" i="60"/>
  <c r="Q20" i="60"/>
  <c r="M32" i="10" l="1"/>
  <c r="D76" i="37" l="1"/>
  <c r="B52" i="37" l="1"/>
  <c r="E76" i="37" l="1"/>
  <c r="C76" i="37"/>
  <c r="S12" i="37"/>
  <c r="S16" i="37" s="1"/>
  <c r="D9" i="37"/>
  <c r="D13" i="37" s="1"/>
  <c r="C9" i="37"/>
  <c r="C13" i="37" s="1"/>
  <c r="Q41" i="10" l="1"/>
  <c r="D43" i="10"/>
  <c r="V32" i="10" s="1"/>
  <c r="C52" i="37" s="1"/>
  <c r="E43" i="10"/>
  <c r="V33" i="10" s="1"/>
  <c r="C53" i="37" s="1"/>
  <c r="F43" i="10"/>
  <c r="V34" i="10" s="1"/>
  <c r="C54" i="37" s="1"/>
  <c r="G43" i="10"/>
  <c r="V35" i="10" s="1"/>
  <c r="C55" i="37" s="1"/>
  <c r="H43" i="10"/>
  <c r="V36" i="10" s="1"/>
  <c r="C56" i="37" s="1"/>
  <c r="I43" i="10"/>
  <c r="V37" i="10" s="1"/>
  <c r="C57" i="37" s="1"/>
  <c r="Q43" i="10" l="1"/>
  <c r="Q42" i="10"/>
  <c r="D44" i="10"/>
  <c r="J43" i="10"/>
  <c r="V38" i="10" s="1"/>
  <c r="C58" i="37" s="1"/>
  <c r="N32" i="10"/>
  <c r="D48" i="10"/>
  <c r="W32" i="10" s="1"/>
  <c r="D52" i="37" s="1"/>
  <c r="E48" i="10"/>
  <c r="W33" i="10" s="1"/>
  <c r="D53" i="37" s="1"/>
  <c r="F48" i="10"/>
  <c r="W34" i="10" s="1"/>
  <c r="D54" i="37" s="1"/>
  <c r="G48" i="10"/>
  <c r="W35" i="10" s="1"/>
  <c r="D55" i="37" s="1"/>
  <c r="H48" i="10"/>
  <c r="W36" i="10" s="1"/>
  <c r="D56" i="37" s="1"/>
  <c r="I48" i="10"/>
  <c r="W37" i="10" s="1"/>
  <c r="D57" i="37" s="1"/>
  <c r="J47" i="10"/>
  <c r="J46" i="10"/>
  <c r="Q46" i="10" s="1"/>
  <c r="Q48" i="10" l="1"/>
  <c r="Q47" i="10"/>
  <c r="I49" i="10"/>
  <c r="J48" i="10"/>
  <c r="J52" i="10" s="1"/>
  <c r="Q36" i="10"/>
  <c r="J44" i="10"/>
  <c r="J32" i="10" s="1"/>
  <c r="Q38" i="10" l="1"/>
  <c r="Q37" i="10"/>
  <c r="W38" i="10"/>
  <c r="D58" i="37" s="1"/>
  <c r="J49" i="10"/>
  <c r="J34" i="10" s="1"/>
  <c r="O32" i="10"/>
  <c r="Q32" i="10" s="1"/>
  <c r="J38" i="10"/>
  <c r="U38" i="10" s="1"/>
  <c r="G58" i="37" s="1"/>
  <c r="Q33" i="10" l="1"/>
  <c r="Q34" i="10"/>
  <c r="J39" i="10"/>
  <c r="J33" i="10" s="1"/>
  <c r="H49" i="10" l="1"/>
  <c r="H34" i="10" s="1"/>
  <c r="G49" i="10"/>
  <c r="G34" i="10" s="1"/>
  <c r="F49" i="10"/>
  <c r="F34" i="10" s="1"/>
  <c r="E49" i="10"/>
  <c r="E34" i="10" s="1"/>
  <c r="D49" i="10"/>
  <c r="D34" i="10" s="1"/>
  <c r="I44" i="10"/>
  <c r="I32" i="10" s="1"/>
  <c r="H44" i="10"/>
  <c r="H32" i="10" s="1"/>
  <c r="G44" i="10"/>
  <c r="G32" i="10" s="1"/>
  <c r="F44" i="10"/>
  <c r="F32" i="10" s="1"/>
  <c r="E44" i="10"/>
  <c r="E32" i="10" s="1"/>
  <c r="D32" i="10"/>
  <c r="I38" i="10"/>
  <c r="H38" i="10"/>
  <c r="G38" i="10"/>
  <c r="F38" i="10"/>
  <c r="E38" i="10"/>
  <c r="U33" i="10" s="1"/>
  <c r="G53" i="37" s="1"/>
  <c r="D38" i="10"/>
  <c r="U32" i="10" s="1"/>
  <c r="I34" i="10"/>
  <c r="C26" i="25"/>
  <c r="C25" i="25"/>
  <c r="C24" i="25"/>
  <c r="C23" i="25"/>
  <c r="C22" i="25"/>
  <c r="C21" i="25"/>
  <c r="C56" i="25" s="1"/>
  <c r="C20" i="25"/>
  <c r="C19" i="25"/>
  <c r="C18" i="25"/>
  <c r="C17" i="25"/>
  <c r="C16" i="25"/>
  <c r="C15" i="25"/>
  <c r="B56" i="25" l="1"/>
  <c r="B52" i="25"/>
  <c r="B51" i="25"/>
  <c r="D39" i="10"/>
  <c r="D33" i="10" s="1"/>
  <c r="G52" i="37"/>
  <c r="E39" i="10"/>
  <c r="E33" i="10" s="1"/>
  <c r="F39" i="10"/>
  <c r="F33" i="10" s="1"/>
  <c r="U34" i="10"/>
  <c r="G54" i="37" s="1"/>
  <c r="G39" i="10"/>
  <c r="G33" i="10" s="1"/>
  <c r="U35" i="10"/>
  <c r="G55" i="37" s="1"/>
  <c r="H39" i="10"/>
  <c r="H33" i="10" s="1"/>
  <c r="U36" i="10"/>
  <c r="G56" i="37" s="1"/>
  <c r="I39" i="10"/>
  <c r="I33" i="10" s="1"/>
  <c r="U37" i="10"/>
  <c r="G57" i="37" s="1"/>
  <c r="B55" i="25"/>
  <c r="C54" i="25"/>
  <c r="B54" i="25"/>
  <c r="C55" i="25" l="1"/>
  <c r="Q50" i="63" l="1"/>
  <c r="Q63" i="63" l="1"/>
  <c r="Q62" i="63"/>
  <c r="Q66" i="63" s="1"/>
  <c r="Q67" i="63"/>
  <c r="Q33" i="63" l="1"/>
  <c r="Q46" i="63" l="1"/>
  <c r="Q45" i="63"/>
  <c r="F38" i="63" l="1"/>
  <c r="E38" i="63"/>
  <c r="K38" i="63"/>
  <c r="I38" i="63"/>
  <c r="G38" i="63"/>
  <c r="H38" i="63"/>
  <c r="D38" i="63" l="1"/>
  <c r="K37" i="63" l="1"/>
  <c r="C38" i="63"/>
  <c r="L38" i="63" s="1"/>
  <c r="I187" i="63" l="1"/>
  <c r="N39" i="63"/>
  <c r="R36" i="63"/>
  <c r="N40" i="63" l="1"/>
  <c r="AG187" i="63"/>
  <c r="M192" i="63"/>
  <c r="I188" i="63"/>
  <c r="I189" i="63" l="1"/>
  <c r="J188" i="63"/>
  <c r="O192" i="63"/>
  <c r="P192" i="63" s="1"/>
  <c r="U192" i="63"/>
  <c r="AG188" i="63"/>
  <c r="AH188" i="63" l="1"/>
  <c r="AG189" i="63"/>
  <c r="W192" i="63"/>
  <c r="X192" i="63" s="1"/>
  <c r="C36" i="63" l="1"/>
  <c r="D36" i="63"/>
  <c r="H36" i="63"/>
  <c r="E36" i="63"/>
  <c r="F36" i="63"/>
  <c r="G36" i="63"/>
  <c r="G37" i="63" l="1"/>
  <c r="G40" i="63" s="1"/>
  <c r="G34" i="63" s="1"/>
  <c r="F37" i="63"/>
  <c r="F40" i="63" s="1"/>
  <c r="F34" i="63" s="1"/>
  <c r="H37" i="63"/>
  <c r="H40" i="63" s="1"/>
  <c r="H34" i="63" s="1"/>
  <c r="I37" i="63"/>
  <c r="C37" i="63"/>
  <c r="C40" i="63" s="1"/>
  <c r="C34" i="63" s="1"/>
  <c r="D37" i="63"/>
  <c r="D40" i="63" s="1"/>
  <c r="D34" i="63" s="1"/>
  <c r="E37" i="63"/>
  <c r="E40" i="63" s="1"/>
  <c r="E34" i="63" s="1"/>
  <c r="R35" i="63" l="1"/>
  <c r="AN8" i="63"/>
  <c r="H33" i="63"/>
  <c r="AL8" i="63"/>
  <c r="F33" i="63"/>
  <c r="AK8" i="63"/>
  <c r="E33" i="63"/>
  <c r="D33" i="63"/>
  <c r="AJ8" i="63"/>
  <c r="AM8" i="63"/>
  <c r="G33" i="63"/>
  <c r="L37" i="63"/>
  <c r="C33" i="63" l="1"/>
  <c r="AI8" i="63"/>
  <c r="I175" i="63"/>
  <c r="N36" i="63"/>
  <c r="N37" i="63" s="1"/>
  <c r="AK41" i="63"/>
  <c r="AM41" i="63"/>
  <c r="AL41" i="63"/>
  <c r="AJ41" i="63"/>
  <c r="AN41" i="63"/>
  <c r="AG175" i="63" l="1"/>
  <c r="I176" i="63"/>
  <c r="M185" i="63"/>
  <c r="O185" i="63" s="1"/>
  <c r="P185" i="63" s="1"/>
  <c r="AI41" i="63"/>
  <c r="I177" i="63" l="1"/>
  <c r="J176" i="63"/>
  <c r="U185" i="63"/>
  <c r="W185" i="63" s="1"/>
  <c r="X185" i="63" s="1"/>
  <c r="AG176" i="63"/>
  <c r="AH176" i="63" l="1"/>
  <c r="AG177" i="63"/>
  <c r="I40" i="63" l="1"/>
  <c r="I34" i="63" l="1"/>
  <c r="I33" i="63" l="1"/>
  <c r="AO8" i="63"/>
  <c r="AO41" i="63" l="1"/>
  <c r="K36" i="63" l="1"/>
  <c r="K40" i="63" l="1"/>
  <c r="L36" i="63"/>
  <c r="R34" i="63"/>
  <c r="I181" i="63" l="1"/>
  <c r="N33" i="63"/>
  <c r="N34" i="63" s="1"/>
  <c r="K34" i="63"/>
  <c r="L40" i="63"/>
  <c r="R37" i="63"/>
  <c r="K33" i="63" l="1"/>
  <c r="L33" i="63" s="1"/>
  <c r="AP8" i="63"/>
  <c r="L34" i="63"/>
  <c r="C8" i="63" s="1"/>
  <c r="AG181" i="63"/>
  <c r="M178" i="63"/>
  <c r="O178" i="63" s="1"/>
  <c r="P178" i="63" s="1"/>
  <c r="I182" i="63"/>
  <c r="I198" i="63"/>
  <c r="I2" i="63" s="1"/>
  <c r="K2" i="63" s="1"/>
  <c r="L2" i="63" s="1"/>
  <c r="R33" i="63"/>
  <c r="C243" i="63" l="1"/>
  <c r="C258" i="63"/>
  <c r="C74" i="63"/>
  <c r="I183" i="63"/>
  <c r="J182" i="63"/>
  <c r="I199" i="63"/>
  <c r="I200" i="63" s="1"/>
  <c r="U178" i="63"/>
  <c r="W178" i="63" s="1"/>
  <c r="X178" i="63" s="1"/>
  <c r="AG182" i="63"/>
  <c r="AG198" i="63"/>
  <c r="C96" i="63"/>
  <c r="M46" i="63"/>
  <c r="R46" i="63"/>
  <c r="R45" i="63"/>
  <c r="AP41" i="63"/>
  <c r="AR41" i="63" s="1"/>
  <c r="J198" i="63"/>
  <c r="AR8" i="63"/>
  <c r="E96" i="63" l="1"/>
  <c r="E8" i="63"/>
  <c r="AH182" i="63"/>
  <c r="AG183" i="63"/>
  <c r="AG199" i="63"/>
  <c r="AG200" i="63" s="1"/>
  <c r="K198" i="63"/>
  <c r="J199" i="63"/>
  <c r="K199" i="63" s="1"/>
  <c r="F8" i="63" l="1"/>
  <c r="I74" i="63"/>
  <c r="H8" i="63"/>
  <c r="E258" i="63"/>
  <c r="H258" i="63" s="1"/>
  <c r="E243" i="63"/>
  <c r="H243" i="63" s="1"/>
  <c r="C107" i="63"/>
  <c r="C85" i="63"/>
  <c r="E85" i="63" s="1"/>
  <c r="E74" i="63"/>
  <c r="F74" i="63" s="1"/>
  <c r="H74" i="63"/>
  <c r="F96" i="63"/>
  <c r="I96" i="63"/>
  <c r="L96" i="63" l="1"/>
  <c r="L85" i="63"/>
  <c r="F258" i="63"/>
  <c r="F243" i="63"/>
  <c r="J74" i="63"/>
  <c r="F85" i="63"/>
  <c r="I85" i="63"/>
  <c r="C118" i="63"/>
  <c r="E107" i="63"/>
  <c r="C128" i="63" l="1"/>
  <c r="E118" i="63"/>
  <c r="G118" i="63" s="1"/>
  <c r="F107" i="63"/>
  <c r="I107" i="63"/>
  <c r="F118" i="63" l="1"/>
  <c r="I118" i="63"/>
  <c r="E20" i="63"/>
  <c r="F20" i="63"/>
  <c r="K19" i="63"/>
  <c r="D20" i="63" l="1"/>
  <c r="K20" i="63"/>
  <c r="K23" i="63" s="1"/>
  <c r="K17" i="63" s="1"/>
  <c r="I20" i="63"/>
  <c r="H20" i="63"/>
  <c r="G20" i="63"/>
  <c r="E22" i="63"/>
  <c r="H22" i="63"/>
  <c r="I22" i="63"/>
  <c r="AC8" i="63" l="1"/>
  <c r="K16" i="63"/>
  <c r="G22" i="63"/>
  <c r="D22" i="63"/>
  <c r="F19" i="63"/>
  <c r="F23" i="63" s="1"/>
  <c r="F22" i="63"/>
  <c r="H19" i="63"/>
  <c r="H23" i="63" s="1"/>
  <c r="H17" i="63" s="1"/>
  <c r="E19" i="63"/>
  <c r="E23" i="63" s="1"/>
  <c r="E17" i="63" s="1"/>
  <c r="C22" i="63"/>
  <c r="D19" i="63"/>
  <c r="I19" i="63"/>
  <c r="I23" i="63" s="1"/>
  <c r="I17" i="63" s="1"/>
  <c r="G19" i="63"/>
  <c r="G23" i="63" s="1"/>
  <c r="C20" i="63"/>
  <c r="E16" i="63" l="1"/>
  <c r="X8" i="63"/>
  <c r="AA8" i="63"/>
  <c r="H16" i="63"/>
  <c r="AB8" i="63"/>
  <c r="I16" i="63"/>
  <c r="F17" i="63"/>
  <c r="D23" i="63"/>
  <c r="D17" i="63" s="1"/>
  <c r="L19" i="63"/>
  <c r="I149" i="63" s="1"/>
  <c r="AG148" i="63" s="1"/>
  <c r="L22" i="63"/>
  <c r="G17" i="63"/>
  <c r="L20" i="63"/>
  <c r="C23" i="63"/>
  <c r="C17" i="63" s="1"/>
  <c r="AC41" i="63"/>
  <c r="L23" i="63" l="1"/>
  <c r="Y8" i="63"/>
  <c r="F16" i="63"/>
  <c r="I143" i="63"/>
  <c r="AG142" i="63" s="1"/>
  <c r="N19" i="63"/>
  <c r="W8" i="63"/>
  <c r="D16" i="63"/>
  <c r="AB41" i="63"/>
  <c r="Z8" i="63"/>
  <c r="G16" i="63"/>
  <c r="C16" i="63"/>
  <c r="AA41" i="63"/>
  <c r="I161" i="63"/>
  <c r="N25" i="63"/>
  <c r="X41" i="63"/>
  <c r="N16" i="63"/>
  <c r="AG160" i="63" l="1"/>
  <c r="AG161" i="63" s="1"/>
  <c r="I162" i="63"/>
  <c r="N17" i="63"/>
  <c r="N184" i="63"/>
  <c r="M177" i="63"/>
  <c r="I150" i="63"/>
  <c r="W41" i="63"/>
  <c r="L17" i="63"/>
  <c r="C7" i="63" s="1"/>
  <c r="V8" i="63"/>
  <c r="L16" i="63"/>
  <c r="N20" i="63"/>
  <c r="I144" i="63"/>
  <c r="M184" i="63"/>
  <c r="I166" i="63"/>
  <c r="I1" i="63" s="1"/>
  <c r="K1" i="63" s="1"/>
  <c r="L1" i="63" s="1"/>
  <c r="Z41" i="63"/>
  <c r="N26" i="63"/>
  <c r="Y41" i="63"/>
  <c r="C73" i="63" l="1"/>
  <c r="C106" i="63" s="1"/>
  <c r="C257" i="63"/>
  <c r="C242" i="63"/>
  <c r="E7" i="63"/>
  <c r="J150" i="63"/>
  <c r="I151" i="63"/>
  <c r="O177" i="63"/>
  <c r="P177" i="63" s="1"/>
  <c r="V184" i="63"/>
  <c r="AG149" i="63"/>
  <c r="U177" i="63"/>
  <c r="AE8" i="63"/>
  <c r="V41" i="63"/>
  <c r="AE41" i="63" s="1"/>
  <c r="J166" i="63"/>
  <c r="N187" i="63"/>
  <c r="O184" i="63"/>
  <c r="P184" i="63" s="1"/>
  <c r="M29" i="63"/>
  <c r="J144" i="63"/>
  <c r="I145" i="63"/>
  <c r="I167" i="63"/>
  <c r="I168" i="63" s="1"/>
  <c r="J162" i="63"/>
  <c r="I163" i="63"/>
  <c r="U184" i="63"/>
  <c r="AG143" i="63"/>
  <c r="AG165" i="63"/>
  <c r="AG162" i="63"/>
  <c r="AH161" i="63"/>
  <c r="AG150" i="63" l="1"/>
  <c r="AH149" i="63"/>
  <c r="V187" i="63"/>
  <c r="W184" i="63"/>
  <c r="X184" i="63" s="1"/>
  <c r="AG166" i="63"/>
  <c r="AG144" i="63"/>
  <c r="AH143" i="63"/>
  <c r="K166" i="63"/>
  <c r="J167" i="63"/>
  <c r="C95" i="63"/>
  <c r="H7" i="63"/>
  <c r="W177" i="63"/>
  <c r="X177" i="63" s="1"/>
  <c r="E257" i="63" l="1"/>
  <c r="H257" i="63" s="1"/>
  <c r="E242" i="63"/>
  <c r="H242" i="63" s="1"/>
  <c r="C84" i="63"/>
  <c r="C117" i="63" s="1"/>
  <c r="C127" i="63" s="1"/>
  <c r="E127" i="63" s="1"/>
  <c r="H73" i="63"/>
  <c r="E73" i="63"/>
  <c r="F73" i="63" s="1"/>
  <c r="E95" i="63"/>
  <c r="F7" i="63"/>
  <c r="I73" i="63"/>
  <c r="J168" i="63"/>
  <c r="K167" i="63"/>
  <c r="F127" i="63" l="1"/>
  <c r="J73" i="63"/>
  <c r="F257" i="63"/>
  <c r="F242" i="63"/>
  <c r="E106" i="63"/>
  <c r="I106" i="63" s="1"/>
  <c r="E84" i="63"/>
  <c r="F95" i="63"/>
  <c r="I95" i="63"/>
  <c r="E128" i="63" l="1"/>
  <c r="L95" i="63"/>
  <c r="L84" i="63"/>
  <c r="F84" i="63"/>
  <c r="I84" i="63"/>
  <c r="E117" i="63"/>
  <c r="G117" i="63" s="1"/>
  <c r="F106" i="63"/>
  <c r="F128" i="63" l="1"/>
  <c r="I117" i="63"/>
  <c r="F117" i="63"/>
  <c r="F55" i="63" l="1"/>
  <c r="E55" i="63" l="1"/>
  <c r="D55" i="63"/>
  <c r="G55" i="63"/>
  <c r="I55" i="63"/>
  <c r="I54" i="63"/>
  <c r="K55" i="63"/>
  <c r="E56" i="63"/>
  <c r="K54" i="63"/>
  <c r="H55" i="63"/>
  <c r="E54" i="63"/>
  <c r="E53" i="63" l="1"/>
  <c r="E65" i="63" s="1"/>
  <c r="E66" i="63" s="1"/>
  <c r="K53" i="63"/>
  <c r="K65" i="63" s="1"/>
  <c r="G53" i="63"/>
  <c r="H53" i="63"/>
  <c r="H65" i="63" s="1"/>
  <c r="F53" i="63"/>
  <c r="F65" i="63" s="1"/>
  <c r="I53" i="63"/>
  <c r="I65" i="63" s="1"/>
  <c r="D53" i="63"/>
  <c r="D65" i="63" s="1"/>
  <c r="C54" i="63"/>
  <c r="G54" i="63"/>
  <c r="D54" i="63"/>
  <c r="C55" i="63"/>
  <c r="L55" i="63" s="1"/>
  <c r="H54" i="63"/>
  <c r="F54" i="63"/>
  <c r="C56" i="63"/>
  <c r="K56" i="63"/>
  <c r="G56" i="63"/>
  <c r="D56" i="63"/>
  <c r="I56" i="63"/>
  <c r="H56" i="63"/>
  <c r="K57" i="63" l="1"/>
  <c r="K51" i="63" s="1"/>
  <c r="BE8" i="63" s="1"/>
  <c r="E57" i="63"/>
  <c r="E51" i="63" s="1"/>
  <c r="AZ8" i="63" s="1"/>
  <c r="AZ34" i="63" s="1"/>
  <c r="BS34" i="63" s="1"/>
  <c r="G65" i="63"/>
  <c r="G66" i="63" s="1"/>
  <c r="G57" i="63"/>
  <c r="G51" i="63" s="1"/>
  <c r="BB8" i="63" s="1"/>
  <c r="K66" i="63"/>
  <c r="I57" i="63"/>
  <c r="I51" i="63" s="1"/>
  <c r="BD8" i="63" s="1"/>
  <c r="D57" i="63"/>
  <c r="D51" i="63" s="1"/>
  <c r="C53" i="63"/>
  <c r="C65" i="63" s="1"/>
  <c r="L54" i="63"/>
  <c r="N53" i="63" s="1"/>
  <c r="D66" i="63"/>
  <c r="F57" i="63"/>
  <c r="R53" i="63"/>
  <c r="N56" i="63"/>
  <c r="Q2" i="63" s="1"/>
  <c r="I219" i="63"/>
  <c r="F56" i="63"/>
  <c r="H57" i="63"/>
  <c r="H51" i="63" s="1"/>
  <c r="H66" i="63"/>
  <c r="I66" i="63"/>
  <c r="R52" i="63"/>
  <c r="BS8" i="63" l="1"/>
  <c r="E50" i="63"/>
  <c r="L53" i="63"/>
  <c r="N50" i="63" s="1"/>
  <c r="C57" i="63"/>
  <c r="C51" i="63" s="1"/>
  <c r="G50" i="63"/>
  <c r="I207" i="63"/>
  <c r="AG208" i="63" s="1"/>
  <c r="K50" i="63"/>
  <c r="I50" i="63"/>
  <c r="F51" i="63"/>
  <c r="F50" i="63" s="1"/>
  <c r="H50" i="63"/>
  <c r="BC8" i="63"/>
  <c r="R54" i="63"/>
  <c r="BB34" i="63"/>
  <c r="BU34" i="63" s="1"/>
  <c r="BU8" i="63"/>
  <c r="AG220" i="63"/>
  <c r="I220" i="63"/>
  <c r="M193" i="63"/>
  <c r="F66" i="63"/>
  <c r="N57" i="63"/>
  <c r="N54" i="63"/>
  <c r="O2" i="63"/>
  <c r="L56" i="63"/>
  <c r="D50" i="63"/>
  <c r="AY8" i="63"/>
  <c r="BE34" i="63"/>
  <c r="BX34" i="63" s="1"/>
  <c r="BX8" i="63"/>
  <c r="R51" i="63"/>
  <c r="C66" i="63"/>
  <c r="L65" i="63"/>
  <c r="I213" i="63"/>
  <c r="BD34" i="63"/>
  <c r="BW34" i="63" s="1"/>
  <c r="BW8" i="63"/>
  <c r="L57" i="63" l="1"/>
  <c r="M186" i="63"/>
  <c r="O186" i="63" s="1"/>
  <c r="P186" i="63" s="1"/>
  <c r="I208" i="63"/>
  <c r="J208" i="63" s="1"/>
  <c r="R50" i="63"/>
  <c r="R62" i="63" s="1"/>
  <c r="R66" i="63" s="1"/>
  <c r="L66" i="63"/>
  <c r="C97" i="63" s="1"/>
  <c r="BA8" i="63"/>
  <c r="BT8" i="63" s="1"/>
  <c r="N51" i="63"/>
  <c r="P2" i="63"/>
  <c r="U186" i="63"/>
  <c r="AG209" i="63"/>
  <c r="AH209" i="63" s="1"/>
  <c r="C50" i="63"/>
  <c r="L50" i="63" s="1"/>
  <c r="AX8" i="63"/>
  <c r="L51" i="63"/>
  <c r="C9" i="63" s="1"/>
  <c r="O193" i="63"/>
  <c r="P193" i="63" s="1"/>
  <c r="M194" i="63"/>
  <c r="O194" i="63" s="1"/>
  <c r="P194" i="63" s="1"/>
  <c r="M179" i="63"/>
  <c r="AG214" i="63"/>
  <c r="I214" i="63"/>
  <c r="I225" i="63"/>
  <c r="N59" i="63"/>
  <c r="I221" i="63"/>
  <c r="J220" i="63"/>
  <c r="BC34" i="63"/>
  <c r="BV34" i="63" s="1"/>
  <c r="BV8" i="63"/>
  <c r="AY34" i="63"/>
  <c r="BR34" i="63" s="1"/>
  <c r="BR8" i="63"/>
  <c r="U193" i="63"/>
  <c r="AG221" i="63"/>
  <c r="C244" i="63" l="1"/>
  <c r="C259" i="63"/>
  <c r="C75" i="63"/>
  <c r="M67" i="63"/>
  <c r="I209" i="63"/>
  <c r="M187" i="63"/>
  <c r="O187" i="63" s="1"/>
  <c r="P187" i="63" s="1"/>
  <c r="R67" i="63"/>
  <c r="R63" i="63"/>
  <c r="BA34" i="63"/>
  <c r="BT34" i="63" s="1"/>
  <c r="W193" i="63"/>
  <c r="X193" i="63" s="1"/>
  <c r="U194" i="63"/>
  <c r="W194" i="63" s="1"/>
  <c r="X194" i="63" s="1"/>
  <c r="AX34" i="63"/>
  <c r="BG8" i="63"/>
  <c r="J230" i="63"/>
  <c r="BQ8" i="63"/>
  <c r="BZ8" i="63" s="1"/>
  <c r="AH221" i="63"/>
  <c r="AG222" i="63"/>
  <c r="N60" i="63"/>
  <c r="R2" i="63"/>
  <c r="AG226" i="63"/>
  <c r="I226" i="63"/>
  <c r="N62" i="63"/>
  <c r="N63" i="63" s="1"/>
  <c r="I215" i="63"/>
  <c r="J214" i="63"/>
  <c r="AG210" i="63"/>
  <c r="O179" i="63"/>
  <c r="P179" i="63" s="1"/>
  <c r="M180" i="63"/>
  <c r="O180" i="63" s="1"/>
  <c r="P180" i="63" s="1"/>
  <c r="M63" i="63"/>
  <c r="U179" i="63"/>
  <c r="AG215" i="63"/>
  <c r="W186" i="63"/>
  <c r="X186" i="63" s="1"/>
  <c r="U187" i="63"/>
  <c r="W187" i="63" s="1"/>
  <c r="X187" i="63" s="1"/>
  <c r="I230" i="63"/>
  <c r="I3" i="63" s="1"/>
  <c r="K3" i="63" s="1"/>
  <c r="L3" i="63" s="1"/>
  <c r="W179" i="63" l="1"/>
  <c r="X179" i="63" s="1"/>
  <c r="U180" i="63"/>
  <c r="W180" i="63" s="1"/>
  <c r="X180" i="63" s="1"/>
  <c r="J226" i="63"/>
  <c r="I227" i="63"/>
  <c r="I231" i="63"/>
  <c r="I232" i="63" s="1"/>
  <c r="J231" i="63"/>
  <c r="K230" i="63"/>
  <c r="AG227" i="63"/>
  <c r="AG231" i="63"/>
  <c r="BG34" i="63"/>
  <c r="BQ34" i="63"/>
  <c r="C108" i="63"/>
  <c r="E9" i="63"/>
  <c r="C10" i="63"/>
  <c r="E10" i="63" s="1"/>
  <c r="R3" i="63" s="1"/>
  <c r="N2" i="63"/>
  <c r="N4" i="63" s="1"/>
  <c r="AH215" i="63"/>
  <c r="AG216" i="63"/>
  <c r="K231" i="63" l="1"/>
  <c r="E244" i="63"/>
  <c r="H244" i="63" s="1"/>
  <c r="C245" i="63"/>
  <c r="E245" i="63" s="1"/>
  <c r="F245" i="63" s="1"/>
  <c r="H75" i="63"/>
  <c r="E75" i="63"/>
  <c r="F75" i="63" s="1"/>
  <c r="C76" i="63"/>
  <c r="E76" i="63" s="1"/>
  <c r="F76" i="63" s="1"/>
  <c r="C86" i="63"/>
  <c r="E259" i="63"/>
  <c r="H259" i="63" s="1"/>
  <c r="C260" i="63"/>
  <c r="E260" i="63" s="1"/>
  <c r="I75" i="63"/>
  <c r="F9" i="63"/>
  <c r="H9" i="63"/>
  <c r="H10" i="63" s="1"/>
  <c r="BZ30" i="63"/>
  <c r="F10" i="63"/>
  <c r="O3" i="63"/>
  <c r="Q3" i="63"/>
  <c r="P3" i="63"/>
  <c r="AH227" i="63"/>
  <c r="AG228" i="63"/>
  <c r="AG232" i="63"/>
  <c r="AG233" i="63" s="1"/>
  <c r="F259" i="63" l="1"/>
  <c r="F260" i="63"/>
  <c r="F244" i="63"/>
  <c r="J75" i="63"/>
  <c r="J76" i="63" s="1"/>
  <c r="E97" i="63"/>
  <c r="C98" i="63"/>
  <c r="E98" i="63" s="1"/>
  <c r="F98" i="63" s="1"/>
  <c r="E86" i="63"/>
  <c r="L86" i="63" s="1"/>
  <c r="C87" i="63"/>
  <c r="E87" i="63" s="1"/>
  <c r="F87" i="63" s="1"/>
  <c r="C119" i="63"/>
  <c r="C129" i="63" s="1"/>
  <c r="E108" i="63"/>
  <c r="C109" i="63"/>
  <c r="E109" i="63" s="1"/>
  <c r="F109" i="63" s="1"/>
  <c r="E129" i="63" l="1"/>
  <c r="C130" i="63"/>
  <c r="E130" i="63" s="1"/>
  <c r="L97" i="63"/>
  <c r="I108" i="63"/>
  <c r="F108" i="63"/>
  <c r="E119" i="63"/>
  <c r="G119" i="63" s="1"/>
  <c r="C120" i="63"/>
  <c r="E120" i="63" s="1"/>
  <c r="F86" i="63"/>
  <c r="I86" i="63"/>
  <c r="F97" i="63"/>
  <c r="I97" i="63"/>
  <c r="F130" i="63" l="1"/>
  <c r="F129" i="63"/>
  <c r="F120" i="63"/>
  <c r="G120" i="63"/>
  <c r="I119" i="63"/>
  <c r="F119" i="63"/>
</calcChain>
</file>

<file path=xl/sharedStrings.xml><?xml version="1.0" encoding="utf-8"?>
<sst xmlns="http://schemas.openxmlformats.org/spreadsheetml/2006/main" count="1491" uniqueCount="610">
  <si>
    <t>Company</t>
  </si>
  <si>
    <t>SPT</t>
  </si>
  <si>
    <t>Allowance</t>
  </si>
  <si>
    <t>Total</t>
  </si>
  <si>
    <t>Expenditure</t>
  </si>
  <si>
    <t>Actual expenditure</t>
  </si>
  <si>
    <t>RIIO-T1 Regulatory Instructions and Guidance</t>
  </si>
  <si>
    <t>Universal Data</t>
  </si>
  <si>
    <t>Company Name:</t>
  </si>
  <si>
    <t>Company Short Name:</t>
  </si>
  <si>
    <t>Reporting Year: (enter 2007 for 2006/07)</t>
  </si>
  <si>
    <t>Version (Number)</t>
  </si>
  <si>
    <t>Submitted Date:</t>
  </si>
  <si>
    <t>Reporting Year - 6</t>
  </si>
  <si>
    <t>Reporting Year - 5</t>
  </si>
  <si>
    <t>Reporting Year - 4</t>
  </si>
  <si>
    <t>Reporting Year - 3</t>
  </si>
  <si>
    <t>Reporting Year - 2</t>
  </si>
  <si>
    <t>Reporting Year - 1</t>
  </si>
  <si>
    <t>Reporting Year:</t>
  </si>
  <si>
    <t>Reporting Year + 1</t>
  </si>
  <si>
    <t>Reporting Year + 2</t>
  </si>
  <si>
    <t>Reporting Year + 3</t>
  </si>
  <si>
    <t>Reporting Year + 4</t>
  </si>
  <si>
    <t>Reporting Year + 5</t>
  </si>
  <si>
    <t>Error Limit lower than (Rounding)</t>
  </si>
  <si>
    <t>RPI Index</t>
  </si>
  <si>
    <t>Financial year average RPI</t>
  </si>
  <si>
    <t>2003/04</t>
  </si>
  <si>
    <t>2004/05</t>
  </si>
  <si>
    <t>2005/06</t>
  </si>
  <si>
    <t>2006/07</t>
  </si>
  <si>
    <t>2007/08</t>
  </si>
  <si>
    <t>2008/09</t>
  </si>
  <si>
    <t>2009/10</t>
  </si>
  <si>
    <t>2010/11</t>
  </si>
  <si>
    <t>2011/12</t>
  </si>
  <si>
    <t>2012/13</t>
  </si>
  <si>
    <t>2013/14</t>
  </si>
  <si>
    <t>2014/15</t>
  </si>
  <si>
    <t>2015/16</t>
  </si>
  <si>
    <t>2016/17</t>
  </si>
  <si>
    <t>2017/18</t>
  </si>
  <si>
    <t>2018/19</t>
  </si>
  <si>
    <t>2019/20</t>
  </si>
  <si>
    <t>2020/21</t>
  </si>
  <si>
    <t>Difference</t>
  </si>
  <si>
    <t>£m</t>
  </si>
  <si>
    <t>%</t>
  </si>
  <si>
    <t>NGET TO</t>
  </si>
  <si>
    <t>SHET</t>
  </si>
  <si>
    <t>TOTAL</t>
  </si>
  <si>
    <t>Year</t>
  </si>
  <si>
    <t xml:space="preserve">Output requirement </t>
  </si>
  <si>
    <t xml:space="preserve">RIIO measure </t>
  </si>
  <si>
    <t xml:space="preserve">i Safety </t>
  </si>
  <si>
    <t xml:space="preserve">To meet all safety legislation requirements. </t>
  </si>
  <si>
    <t>All met</t>
  </si>
  <si>
    <t>ii Reliability</t>
  </si>
  <si>
    <t xml:space="preserve">Minimise how much electricity is lost to our customers because of failures of the assets on the network </t>
  </si>
  <si>
    <t xml:space="preserve">iii Availability </t>
  </si>
  <si>
    <t xml:space="preserve">Implement and maintain policy. </t>
  </si>
  <si>
    <t xml:space="preserve">iv Environmental benefits </t>
  </si>
  <si>
    <t>Performance band:</t>
  </si>
  <si>
    <t>No financial incentive</t>
  </si>
  <si>
    <t xml:space="preserve">v Customer satisfaction </t>
  </si>
  <si>
    <t xml:space="preserve">vi Timely connections </t>
  </si>
  <si>
    <t xml:space="preserve">NGET (TO): Connection of new generation </t>
  </si>
  <si>
    <t xml:space="preserve">NGET (TO): Construction of new super grid transformers (SGT) </t>
  </si>
  <si>
    <t>SPT: New generation connections (MW)</t>
  </si>
  <si>
    <t xml:space="preserve">SHET </t>
  </si>
  <si>
    <t>13-14</t>
  </si>
  <si>
    <t>14-15</t>
  </si>
  <si>
    <t>15-16</t>
  </si>
  <si>
    <t>16-17</t>
  </si>
  <si>
    <t>NGET (TO)</t>
  </si>
  <si>
    <t>Forecast expenditure</t>
  </si>
  <si>
    <t>Non-load related</t>
  </si>
  <si>
    <t>Table 1: Outputs and measures of performance</t>
  </si>
  <si>
    <t xml:space="preserve">Comply with Health &amp; Safety Executive law </t>
  </si>
  <si>
    <t>All below target</t>
  </si>
  <si>
    <t>Implement the Network Access Policy[1]</t>
  </si>
  <si>
    <t>Financial reward[4]</t>
  </si>
  <si>
    <t>Customer Satisfaction Survey (NGET only) and Stakeholder Satisfaction Survey (all)</t>
  </si>
  <si>
    <r>
      <t>·</t>
    </r>
    <r>
      <rPr>
        <sz val="7"/>
        <color rgb="FF000000"/>
        <rFont val="Times New Roman"/>
        <family val="1"/>
      </rPr>
      <t xml:space="preserve">         </t>
    </r>
    <r>
      <rPr>
        <sz val="9"/>
        <color rgb="FF000000"/>
        <rFont val="Verdana"/>
        <family val="2"/>
      </rPr>
      <t>NGET Customer 6.9/10</t>
    </r>
  </si>
  <si>
    <r>
      <t>·</t>
    </r>
    <r>
      <rPr>
        <sz val="7"/>
        <color rgb="FF000000"/>
        <rFont val="Times New Roman"/>
        <family val="1"/>
      </rPr>
      <t xml:space="preserve">         </t>
    </r>
    <r>
      <rPr>
        <sz val="9"/>
        <color rgb="FF000000"/>
        <rFont val="Verdana"/>
        <family val="2"/>
      </rPr>
      <t xml:space="preserve">NGET Stakeholder 7.4/10 </t>
    </r>
  </si>
  <si>
    <r>
      <t>·</t>
    </r>
    <r>
      <rPr>
        <sz val="7"/>
        <color rgb="FF000000"/>
        <rFont val="Times New Roman"/>
        <family val="1"/>
      </rPr>
      <t xml:space="preserve">         </t>
    </r>
    <r>
      <rPr>
        <sz val="9"/>
        <color rgb="FF000000"/>
        <rFont val="Verdana"/>
        <family val="2"/>
      </rPr>
      <t>SPT Stakeholder 7.4/10</t>
    </r>
  </si>
  <si>
    <r>
      <t>·</t>
    </r>
    <r>
      <rPr>
        <sz val="7"/>
        <color rgb="FF000000"/>
        <rFont val="Times New Roman"/>
        <family val="1"/>
      </rPr>
      <t xml:space="preserve">         </t>
    </r>
    <r>
      <rPr>
        <sz val="9"/>
        <color rgb="FF000000"/>
        <rFont val="Verdana"/>
        <family val="2"/>
      </rPr>
      <t>SHET Stakeholder  7.4/10</t>
    </r>
  </si>
  <si>
    <t xml:space="preserve"> </t>
  </si>
  <si>
    <t>Neutral point:     5.0/10</t>
  </si>
  <si>
    <t>The timely meeting of existing licence requirements in relation to delivering new generation &amp; new demand connections.</t>
  </si>
  <si>
    <t>Financial incentives apply to SPT/SHET only; no financial incentive on NGET as it is the contractual interface with customers.</t>
  </si>
  <si>
    <t>vii Connection works and Wider works</t>
  </si>
  <si>
    <t>Construction of new OHL to accommodate new customers</t>
  </si>
  <si>
    <r>
      <t>·</t>
    </r>
    <r>
      <rPr>
        <sz val="7"/>
        <color rgb="FF000000"/>
        <rFont val="Times New Roman"/>
        <family val="1"/>
      </rPr>
      <t xml:space="preserve">         </t>
    </r>
    <r>
      <rPr>
        <sz val="9"/>
        <color rgb="FF000000"/>
        <rFont val="Verdana"/>
        <family val="2"/>
      </rPr>
      <t>Baseline target: 215.4km OHL</t>
    </r>
  </si>
  <si>
    <t>These measures are subject to company specific volume driver mechanisms.</t>
  </si>
  <si>
    <r>
      <t>·</t>
    </r>
    <r>
      <rPr>
        <sz val="7"/>
        <color rgb="FF000000"/>
        <rFont val="Times New Roman"/>
        <family val="1"/>
      </rPr>
      <t xml:space="preserve">         </t>
    </r>
    <r>
      <rPr>
        <sz val="9"/>
        <color rgb="FF000000"/>
        <rFont val="Verdana"/>
        <family val="2"/>
      </rPr>
      <t>Baseline target: 27km OHL</t>
    </r>
  </si>
  <si>
    <t xml:space="preserve">NGET (TO): Incremental Wider Works to strengthen specific boundaries </t>
  </si>
  <si>
    <t xml:space="preserve">These measures are subject to company specific volume driver mechanisms. </t>
  </si>
  <si>
    <t>SPT: New network capacity (MVA)</t>
  </si>
  <si>
    <t>SHET: New network capacity (MVA)</t>
  </si>
  <si>
    <t xml:space="preserve">Delivery of Baseline Wider Works (BWW) </t>
  </si>
  <si>
    <r>
      <t>SHET:</t>
    </r>
    <r>
      <rPr>
        <sz val="8.5"/>
        <color rgb="FF000000"/>
        <rFont val="Verdana"/>
        <family val="2"/>
      </rPr>
      <t xml:space="preserve"> All BWW outputs delivered on time.</t>
    </r>
  </si>
  <si>
    <t xml:space="preserve">Delivery of  Strategic Wider Works (SWW) </t>
  </si>
  <si>
    <t xml:space="preserve">[1] In June 2015 the Authority approved a single common NAP for Scotland, applicable to both SPT and SHET, and a separate NAP for England and Wales, capturing NGET’s functions of SO and TO.  </t>
  </si>
  <si>
    <t>[2] The target for SF6 leakage increases as the number of assets on the network using SF6 increases.</t>
  </si>
  <si>
    <t>2013-14</t>
  </si>
  <si>
    <t>2014-15</t>
  </si>
  <si>
    <t>2015-16</t>
  </si>
  <si>
    <t>2016-17</t>
  </si>
  <si>
    <t>2017-18</t>
  </si>
  <si>
    <t xml:space="preserve">SPT </t>
  </si>
  <si>
    <t>16/17</t>
  </si>
  <si>
    <t>17/18</t>
  </si>
  <si>
    <t>Baseline</t>
  </si>
  <si>
    <t>MWh</t>
  </si>
  <si>
    <t>% below target</t>
  </si>
  <si>
    <t>% vs target</t>
  </si>
  <si>
    <t>17-18</t>
  </si>
  <si>
    <t>† The figures are based upon the TOs’ published values. Small rounding errors may exist.</t>
  </si>
  <si>
    <t>ACTUAL</t>
  </si>
  <si>
    <t>RRP 18</t>
  </si>
  <si>
    <t xml:space="preserve">Difference </t>
  </si>
  <si>
    <t>3 (1+2)</t>
  </si>
  <si>
    <t>6 (4+5)</t>
  </si>
  <si>
    <t>Original Forecast Customer Contributions</t>
  </si>
  <si>
    <t>Baseline allowance (post CC)</t>
  </si>
  <si>
    <t>Current forecast Customer Contributions</t>
  </si>
  <si>
    <t>Net current view of expenditure</t>
  </si>
  <si>
    <t>Forecast “true-up” value (Col 6 - Col 3)</t>
  </si>
  <si>
    <t>2018-19</t>
  </si>
  <si>
    <t>18/19</t>
  </si>
  <si>
    <t>18-19</t>
  </si>
  <si>
    <t xml:space="preserve">Table 3: ENS performance </t>
  </si>
  <si>
    <r>
      <t>Table 4: SF</t>
    </r>
    <r>
      <rPr>
        <b/>
        <vertAlign val="subscript"/>
        <sz val="10"/>
        <color theme="1"/>
        <rFont val="Verdana"/>
        <family val="2"/>
      </rPr>
      <t>6</t>
    </r>
    <r>
      <rPr>
        <b/>
        <sz val="10"/>
        <color theme="1"/>
        <rFont val="Verdana"/>
        <family val="2"/>
      </rPr>
      <t xml:space="preserve"> performance </t>
    </r>
  </si>
  <si>
    <t xml:space="preserve">TOTEX allowance (£/m) 2009/10 prices </t>
  </si>
  <si>
    <t>Load related</t>
  </si>
  <si>
    <t>RRP 19</t>
  </si>
  <si>
    <t>Non-op capex related</t>
  </si>
  <si>
    <t>Controllable opex related</t>
  </si>
  <si>
    <t>Baseline allowance (incl RPEs and pre CC)</t>
  </si>
  <si>
    <t>[9] The MPR confirmed that SPT propose to deliver an alternative Voltage Control scheme (420MVAr) in lieu of delivering Kilmarnock South scheme and will utilise the baseline funding accordingly.</t>
  </si>
  <si>
    <t>All new or modified offers provided to customers within the 90 days.[7]</t>
  </si>
  <si>
    <r>
      <t xml:space="preserve">Minimise SF6 greenhouse gas emissions
</t>
    </r>
    <r>
      <rPr>
        <sz val="10"/>
        <color rgb="FF000000"/>
        <rFont val="Verdana"/>
        <family val="2"/>
      </rPr>
      <t xml:space="preserve">
Reward/penalty based on the non-traded carbon price for carbon equivalent emissions.</t>
    </r>
  </si>
  <si>
    <r>
      <t>Environmental Discretionary Reward (EDR)</t>
    </r>
    <r>
      <rPr>
        <sz val="10"/>
        <color theme="1"/>
        <rFont val="Verdana"/>
        <family val="2"/>
      </rPr>
      <t xml:space="preserve"> 
Annual funding of up to £4m will be available in each scheme year.</t>
    </r>
  </si>
  <si>
    <r>
      <t xml:space="preserve">Publish annual progress on 
</t>
    </r>
    <r>
      <rPr>
        <sz val="10"/>
        <color rgb="FF000000"/>
        <rFont val="Verdana"/>
        <family val="2"/>
      </rPr>
      <t xml:space="preserve">·         Business Carbon Footprint[5]
</t>
    </r>
  </si>
  <si>
    <r>
      <t>Construction of new OHL to accommodate new customers.</t>
    </r>
    <r>
      <rPr>
        <sz val="10"/>
        <color rgb="FF000000"/>
        <rFont val="Verdana"/>
        <family val="2"/>
      </rPr>
      <t xml:space="preserve"> </t>
    </r>
  </si>
  <si>
    <t>SHET: New generation connections (MW)</t>
  </si>
  <si>
    <t xml:space="preserve">Performance </t>
  </si>
  <si>
    <t>Table 9b</t>
  </si>
  <si>
    <t>Table 11a</t>
  </si>
  <si>
    <t>Table 11b</t>
  </si>
  <si>
    <t>NOTE:</t>
  </si>
  <si>
    <t>Load related: £65m per annum (2009-10 prices)</t>
  </si>
  <si>
    <t>Non-load related: £175m per annum (2009-10 prices)</t>
  </si>
  <si>
    <t>Performance £m (a-b)</t>
  </si>
  <si>
    <t>Performance %</t>
  </si>
  <si>
    <t>CHECK</t>
  </si>
  <si>
    <t>09-10 prices</t>
  </si>
  <si>
    <t>Load related: £23.7m per annum (2009-10 prices)</t>
  </si>
  <si>
    <t xml:space="preserve">This value has beem allocated equally across the final two years of T1. </t>
  </si>
  <si>
    <t>This value has beem allocated equally across the final two years of T1.</t>
  </si>
  <si>
    <t>The figures reflect a RIIO-T1 pre-true up position in respect of excluded services</t>
  </si>
  <si>
    <t>Final Proposals define that there will be a ‘true-up’ of the pre-construction allowances associated with specific Strategic Wider Works projects to the level of actual expenditure incurrred at the end of RIIO-T1.
The true up is faciliated through paragraph 17 of Special condition 3L of the transmission licence ("Pre-construction Engineering Outputs for prospective Strategic Wider Works"), which  sets out an ability to adjust baseline expenditure in the event that the licensee does not deliver or only partially delivers a 'named' Output (captured in table 1 of the condition). This means that potential non-delivery of the prescribed Outputs, and the associated level of allowed expenditure, will be further considered as part of the RIIO-ET1 ‘close out’ process.</t>
  </si>
  <si>
    <t>The agreed value of NGET's voluntary deferral is £480m (2009/10 prices)</t>
  </si>
  <si>
    <t>The agreed value of SHET's 'hand back' is £47.5m (2009/10 prices)</t>
  </si>
  <si>
    <t>of a Green Economy Fund (GEF) to enable uptake of low carbon technology.</t>
  </si>
  <si>
    <t>NGET</t>
  </si>
  <si>
    <t>SPT target 225MWh</t>
  </si>
  <si>
    <t>SHET target 120 MWh</t>
  </si>
  <si>
    <t>NGET TO target 316 MWh</t>
  </si>
  <si>
    <t xml:space="preserve">Ofgem Panel  </t>
  </si>
  <si>
    <t xml:space="preserve">Stakeholder Survey Scores </t>
  </si>
  <si>
    <t>Customer Survey Scores (NGET only)</t>
  </si>
  <si>
    <t xml:space="preserve">NGET  </t>
  </si>
  <si>
    <t xml:space="preserve">5/10 </t>
  </si>
  <si>
    <t>7.4/10</t>
  </si>
  <si>
    <t>6.9/10</t>
  </si>
  <si>
    <t>% Diff</t>
  </si>
  <si>
    <t>Diff kg</t>
  </si>
  <si>
    <t>Actual leakage kg</t>
  </si>
  <si>
    <t>Target kg</t>
  </si>
  <si>
    <t>TOTAL RRP18</t>
  </si>
  <si>
    <t>TOTAL RRP19</t>
  </si>
  <si>
    <t>kg</t>
  </si>
  <si>
    <r>
      <t>·</t>
    </r>
    <r>
      <rPr>
        <b/>
        <sz val="7"/>
        <color rgb="FF000000"/>
        <rFont val="Times New Roman"/>
        <family val="1"/>
      </rPr>
      <t xml:space="preserve">         </t>
    </r>
    <r>
      <rPr>
        <b/>
        <sz val="9"/>
        <color rgb="FF000000"/>
        <rFont val="Verdana"/>
        <family val="2"/>
      </rPr>
      <t>Baseline target: 72 SGT</t>
    </r>
  </si>
  <si>
    <r>
      <t>·</t>
    </r>
    <r>
      <rPr>
        <b/>
        <sz val="7"/>
        <color rgb="FF000000"/>
        <rFont val="Times New Roman"/>
        <family val="1"/>
      </rPr>
      <t xml:space="preserve">         </t>
    </r>
    <r>
      <rPr>
        <b/>
        <sz val="9"/>
        <color rgb="FF000000"/>
        <rFont val="Verdana"/>
        <family val="2"/>
      </rPr>
      <t>Baseline target of 23GW</t>
    </r>
  </si>
  <si>
    <r>
      <t>·</t>
    </r>
    <r>
      <rPr>
        <b/>
        <sz val="7"/>
        <color rgb="FF000000"/>
        <rFont val="Times New Roman"/>
        <family val="1"/>
      </rPr>
      <t xml:space="preserve">         </t>
    </r>
    <r>
      <rPr>
        <b/>
        <sz val="9"/>
        <color rgb="FF000000"/>
        <rFont val="Verdana"/>
        <family val="2"/>
      </rPr>
      <t>Baseline threshold: 2,503MW</t>
    </r>
  </si>
  <si>
    <r>
      <t>·</t>
    </r>
    <r>
      <rPr>
        <b/>
        <sz val="7"/>
        <color rgb="FF000000"/>
        <rFont val="Times New Roman"/>
        <family val="1"/>
      </rPr>
      <t xml:space="preserve">         </t>
    </r>
    <r>
      <rPr>
        <b/>
        <sz val="9"/>
        <color rgb="FF000000"/>
        <rFont val="Verdana"/>
        <family val="2"/>
      </rPr>
      <t>Baseline threshold: 1,073MVa</t>
    </r>
  </si>
  <si>
    <r>
      <t>·</t>
    </r>
    <r>
      <rPr>
        <b/>
        <sz val="7"/>
        <color rgb="FF000000"/>
        <rFont val="Times New Roman"/>
        <family val="1"/>
      </rPr>
      <t xml:space="preserve">         </t>
    </r>
    <r>
      <rPr>
        <b/>
        <sz val="9"/>
        <color rgb="FF000000"/>
        <rFont val="Verdana"/>
        <family val="2"/>
      </rPr>
      <t>Baseline threshold: 1,168MW</t>
    </r>
  </si>
  <si>
    <r>
      <t>·</t>
    </r>
    <r>
      <rPr>
        <b/>
        <sz val="7"/>
        <color rgb="FF000000"/>
        <rFont val="Times New Roman"/>
        <family val="1"/>
      </rPr>
      <t xml:space="preserve">         </t>
    </r>
    <r>
      <rPr>
        <b/>
        <sz val="9"/>
        <color rgb="FF000000"/>
        <rFont val="Verdana"/>
        <family val="2"/>
      </rPr>
      <t>Baseline threshold: 1,006MVa</t>
    </r>
  </si>
  <si>
    <r>
      <t>·    Baseline target</t>
    </r>
    <r>
      <rPr>
        <b/>
        <i/>
        <sz val="9"/>
        <color rgb="FF000000"/>
        <rFont val="Verdana"/>
        <family val="2"/>
      </rPr>
      <t xml:space="preserve">: </t>
    </r>
    <r>
      <rPr>
        <b/>
        <sz val="9"/>
        <color rgb="FF000000"/>
        <rFont val="Verdana"/>
        <family val="2"/>
      </rPr>
      <t>33.7 GW[8]</t>
    </r>
  </si>
  <si>
    <t>CAPEX CATEGORY SUMMARY of tables 9a, 10a and 11a</t>
  </si>
  <si>
    <t>RIIO-ET1 operational RoRE</t>
  </si>
  <si>
    <t>Financing and tax performance</t>
  </si>
  <si>
    <t>Total RoRE</t>
  </si>
  <si>
    <t>To show the full value the regulated company has earnt during the price control period, adjustments for allowances that are not related to T1 performance and known "true-ups" that will impact T1 performance will be further considered as part of the ‘close out’ process at the end of the price control period.  
The original business plan included forecasts of the contributions expected to be received from customers with connections to single users ("excluded services"). The net expenditure for these connections is funded directly by the customer and any income received by the TO is not treated as part of the allowed revenue permitted to be recovered through network charges. Final Proposals clarified that the position on excluded services would be “trued up” at the end of T1.  For the purposes of this reporting summary the true-up requirement includes sole use entry and sole use exit connection revenues and costs. The “true up” reflects the removal of actual “excluded services” income from total allowed revenue, and the expectation that the monies received by TOs through customer contributions will be paid back.</t>
  </si>
  <si>
    <t>Revenue (£ Real customer bill per typical domestic consumer)</t>
  </si>
  <si>
    <t>Year Beginning</t>
  </si>
  <si>
    <t> GB average</t>
  </si>
  <si>
    <t>Region</t>
  </si>
  <si>
    <t>Licensee</t>
  </si>
  <si>
    <t>North West</t>
  </si>
  <si>
    <t>ENWL</t>
  </si>
  <si>
    <t>North East</t>
  </si>
  <si>
    <t>NPgN</t>
  </si>
  <si>
    <t>Yorkshire</t>
  </si>
  <si>
    <t>NPgY</t>
  </si>
  <si>
    <t>Midlands</t>
  </si>
  <si>
    <t>WMID</t>
  </si>
  <si>
    <t>East Midlands</t>
  </si>
  <si>
    <t>EMID</t>
  </si>
  <si>
    <t>South Wales</t>
  </si>
  <si>
    <t>SWALES</t>
  </si>
  <si>
    <t>South West</t>
  </si>
  <si>
    <t>SWEST</t>
  </si>
  <si>
    <t>London</t>
  </si>
  <si>
    <t>LPN</t>
  </si>
  <si>
    <t>South East</t>
  </si>
  <si>
    <t>SPN</t>
  </si>
  <si>
    <t>East Anglia</t>
  </si>
  <si>
    <t>EPN</t>
  </si>
  <si>
    <t>South Scotland</t>
  </si>
  <si>
    <t>SPD</t>
  </si>
  <si>
    <t>Merseyside and N Wales</t>
  </si>
  <si>
    <t>SPMW</t>
  </si>
  <si>
    <t>North Scotland</t>
  </si>
  <si>
    <t>SSEH</t>
  </si>
  <si>
    <t>Southern</t>
  </si>
  <si>
    <t>SSES</t>
  </si>
  <si>
    <t>2019-20</t>
  </si>
  <si>
    <t>average</t>
  </si>
  <si>
    <t>† The figures are based upon the TOs’ values. Small rounding errors may exist.</t>
  </si>
  <si>
    <t>The impact is not reflected in the values above.</t>
  </si>
  <si>
    <t>The impact of SPT's GEF and NGET's 'voluntary deferral' is included.</t>
  </si>
  <si>
    <t xml:space="preserve">SPT agreed to provide £20m through the introduction </t>
  </si>
  <si>
    <t>impact of the current forecast of customer contributions included</t>
  </si>
  <si>
    <t>Average</t>
  </si>
  <si>
    <t xml:space="preserve">Average </t>
  </si>
  <si>
    <t>Generation Connection (6F)</t>
  </si>
  <si>
    <t>Local Demand Volume Driver (6L)</t>
  </si>
  <si>
    <t>Wider Works</t>
  </si>
  <si>
    <t>% change 2017-18 vs 2018-19</t>
  </si>
  <si>
    <t>A: Price Control</t>
  </si>
  <si>
    <t>B: External Market</t>
  </si>
  <si>
    <t>C: Total Impact (A+B)</t>
  </si>
  <si>
    <t>Value engineering – this includes network analysis and regular evaluation of system requirements, as well as lean design solutions including re-use of assets where possible and optimisation of site layouts, which ensure that the scope of works and construction periods are kept to a minimum.</t>
  </si>
  <si>
    <t>Engagement with supply chain – this includes NGET's approach to contracting and procurement, including negotiation with suppliers and creation of design commonalities and economies of scale.</t>
  </si>
  <si>
    <t>Commercial – this includes customer negotiation as well as continuous challenge and review of contractual requirements to ensure optimal design solutions are achieved; and changing the commercial framework.</t>
  </si>
  <si>
    <t>A: Efficiency</t>
  </si>
  <si>
    <t xml:space="preserve">B: Circumstantial </t>
  </si>
  <si>
    <t>C: Price control effect</t>
  </si>
  <si>
    <t>D: Total Impact (A+B+C)</t>
  </si>
  <si>
    <r>
      <t xml:space="preserve">Column A: Provision in the price control settlement. </t>
    </r>
    <r>
      <rPr>
        <sz val="10"/>
        <color theme="1"/>
        <rFont val="Verdana"/>
        <family val="2"/>
      </rPr>
      <t>Assumptions made within the RIIO-ET1 settlement that have varied against the actual position.</t>
    </r>
    <r>
      <rPr>
        <b/>
        <sz val="10"/>
        <color theme="1"/>
        <rFont val="Verdana"/>
        <family val="2"/>
      </rPr>
      <t xml:space="preserve">  </t>
    </r>
  </si>
  <si>
    <r>
      <t>Column B: External factors. F</t>
    </r>
    <r>
      <rPr>
        <sz val="10"/>
        <color theme="1"/>
        <rFont val="Verdana"/>
        <family val="2"/>
      </rPr>
      <t>actors outside the control of TOs’ and unforeseeable at the time of the price control.  This includes factors such as weather and economic conditions.</t>
    </r>
  </si>
  <si>
    <r>
      <rPr>
        <b/>
        <sz val="10"/>
        <color theme="1"/>
        <rFont val="Verdana"/>
        <family val="2"/>
      </rPr>
      <t>Column A: Efficiency.</t>
    </r>
    <r>
      <rPr>
        <sz val="10"/>
        <color theme="1"/>
        <rFont val="Verdana"/>
        <family val="2"/>
      </rPr>
      <t xml:space="preserve"> Associated with projects that deliver outputs exactly as per with the original ‘baseline’ assumptions at a different cost (or where there have been substitutions the delivery involves like-for-like replacements).</t>
    </r>
  </si>
  <si>
    <t>Table 15</t>
  </si>
  <si>
    <r>
      <t>External factors.</t>
    </r>
    <r>
      <rPr>
        <sz val="10"/>
        <color theme="1"/>
        <rFont val="Verdana"/>
        <family val="2"/>
      </rPr>
      <t xml:space="preserve"> Factors outside the control of network companies’ and unforeseeable at the time of the price control.  This includes factors such as weather and economic conditions.</t>
    </r>
  </si>
  <si>
    <r>
      <t xml:space="preserve">Circumstantial factors. </t>
    </r>
    <r>
      <rPr>
        <sz val="10"/>
        <color theme="1"/>
        <rFont val="Verdana"/>
        <family val="2"/>
      </rPr>
      <t>Associated with the delivery of outputs in line with the original ‘baseline’ assumptions but where the method of delivery differs in some regard (factors within the control of the network company).</t>
    </r>
  </si>
  <si>
    <r>
      <t xml:space="preserve">Column C: Provision in the price control settlement.  </t>
    </r>
    <r>
      <rPr>
        <sz val="10"/>
        <color theme="1"/>
        <rFont val="Verdana"/>
        <family val="2"/>
      </rPr>
      <t xml:space="preserve">Assumptions made within the RIIO-ET1 settlement that have varied against the actual position.  </t>
    </r>
  </si>
  <si>
    <t>Column B**</t>
  </si>
  <si>
    <t>* We recognise that categorising requires an element of judgement by the TO.</t>
  </si>
  <si>
    <r>
      <rPr>
        <b/>
        <sz val="10"/>
        <color theme="1"/>
        <rFont val="Verdana"/>
        <family val="2"/>
      </rPr>
      <t>Efficiency.</t>
    </r>
    <r>
      <rPr>
        <sz val="10"/>
        <color theme="1"/>
        <rFont val="Verdana"/>
        <family val="2"/>
      </rPr>
      <t xml:space="preserve"> Associated with projects that deliver outputs exactly as per with the original ‘baseline’ assumptions at a different cost (or where there have been substitutions the delivery involves like-for-like replacements).</t>
    </r>
  </si>
  <si>
    <t>Column A</t>
  </si>
  <si>
    <t>Column C</t>
  </si>
  <si>
    <t>Explanatory notes applicable to SPT's categorisation</t>
  </si>
  <si>
    <t>Explanatory notes applicable to NGET's categorisation</t>
  </si>
  <si>
    <r>
      <t xml:space="preserve">** SPT have assigned External &amp; Circumstantial factors to </t>
    </r>
    <r>
      <rPr>
        <u/>
        <sz val="10"/>
        <color theme="1"/>
        <rFont val="Verdana"/>
        <family val="2"/>
      </rPr>
      <t>Circumstantial</t>
    </r>
    <r>
      <rPr>
        <sz val="10"/>
        <color theme="1"/>
        <rFont val="Verdana"/>
        <family val="2"/>
      </rPr>
      <t xml:space="preserve"> based on the definition of External factors. </t>
    </r>
  </si>
  <si>
    <t>Explanatory notes applicable to SHET's categorisation</t>
  </si>
  <si>
    <t>2017-18 NGET forecast</t>
  </si>
  <si>
    <t>2018-19 NGET forecast</t>
  </si>
  <si>
    <t>Efficiency Examples</t>
  </si>
  <si>
    <r>
      <rPr>
        <b/>
        <sz val="10"/>
        <color theme="1"/>
        <rFont val="Verdana"/>
        <family val="2"/>
      </rPr>
      <t xml:space="preserve">Efficiencies at a project level.  </t>
    </r>
    <r>
      <rPr>
        <sz val="10"/>
        <color theme="1"/>
        <rFont val="Verdana"/>
        <family val="2"/>
      </rPr>
      <t>This combines the effects in the following categories:</t>
    </r>
  </si>
  <si>
    <t>2017-18 SPT forecast</t>
  </si>
  <si>
    <t>2018-19 SPT forecast</t>
  </si>
  <si>
    <t xml:space="preserve">Pre true-up. Negative numbers show spend greater than allowances.  </t>
  </si>
  <si>
    <t xml:space="preserve">Column B** </t>
  </si>
  <si>
    <t xml:space="preserve">Pre true-up and including voluntary deferral. Negative numbers show spend greater than allowances.  </t>
  </si>
  <si>
    <r>
      <t>** Ofgem have assigned External &amp; Circumstantial factors to Column B "</t>
    </r>
    <r>
      <rPr>
        <u/>
        <sz val="10"/>
        <color theme="1"/>
        <rFont val="Verdana"/>
        <family val="2"/>
      </rPr>
      <t>Circumstantial</t>
    </r>
    <r>
      <rPr>
        <sz val="10"/>
        <color theme="1"/>
        <rFont val="Verdana"/>
        <family val="2"/>
      </rPr>
      <t xml:space="preserve">" to be consistent with SPT's presentation.  Where SHET have split values across category A (efficiency) and category D (price control provision), we have applied a 50% allocation method beween each category. </t>
    </r>
  </si>
  <si>
    <t>RRP18 spend</t>
  </si>
  <si>
    <t>RRP18 adjusted allow</t>
  </si>
  <si>
    <t>Source: RRP18 T2.4 (converted to 18-19 prices)</t>
  </si>
  <si>
    <t>NGET load-related driven efficiencies across the RIIO-ET1 period*</t>
  </si>
  <si>
    <t>Table 13</t>
  </si>
  <si>
    <t>SPT load-related driven efficiencies across the RIIO-ET1 period*</t>
  </si>
  <si>
    <t>Table 14</t>
  </si>
  <si>
    <t>SHET load-related driven efficiencies across the RIIO-ET1 period*</t>
  </si>
  <si>
    <t xml:space="preserve">SHET excluded services true-up, including RPEs </t>
  </si>
  <si>
    <t>Table 18</t>
  </si>
  <si>
    <t>Table 19</t>
  </si>
  <si>
    <t>Table 20</t>
  </si>
  <si>
    <r>
      <t>SPT excluded services true-up, including RPEs</t>
    </r>
    <r>
      <rPr>
        <b/>
        <sz val="9"/>
        <color rgb="FFFF0000"/>
        <rFont val="Calibri"/>
        <family val="2"/>
      </rPr>
      <t xml:space="preserve"> </t>
    </r>
  </si>
  <si>
    <r>
      <t>NGET TO excluded services true-up, including RPEs</t>
    </r>
    <r>
      <rPr>
        <b/>
        <sz val="9"/>
        <color rgb="FFFF0000"/>
        <rFont val="Calibri"/>
        <family val="2"/>
      </rPr>
      <t xml:space="preserve"> </t>
    </r>
  </si>
  <si>
    <r>
      <t>Special Condition 3L true-up, including RPEs</t>
    </r>
    <r>
      <rPr>
        <b/>
        <sz val="9"/>
        <rFont val="Calibri"/>
        <family val="2"/>
      </rPr>
      <t xml:space="preserve"> </t>
    </r>
    <r>
      <rPr>
        <b/>
        <sz val="10"/>
        <rFont val="Verdana"/>
        <family val="2"/>
      </rPr>
      <t>(SPT)</t>
    </r>
  </si>
  <si>
    <r>
      <t>Special Condition 3L</t>
    </r>
    <r>
      <rPr>
        <b/>
        <sz val="10"/>
        <rFont val="Verdana"/>
        <family val="2"/>
      </rPr>
      <t xml:space="preserve"> true-up, including RPEs (NGET TO)</t>
    </r>
  </si>
  <si>
    <t>Special condition 3L true-up, including RPEs (SHET)</t>
  </si>
  <si>
    <r>
      <t xml:space="preserve">SPT </t>
    </r>
    <r>
      <rPr>
        <sz val="8"/>
        <color theme="1"/>
        <rFont val="Verdana"/>
        <family val="2"/>
      </rPr>
      <t>(includes end-of-period clawback)</t>
    </r>
  </si>
  <si>
    <t>Table 12a</t>
  </si>
  <si>
    <t>Table 12b</t>
  </si>
  <si>
    <t>NGET CHECK</t>
  </si>
  <si>
    <t>SPT CHECK</t>
  </si>
  <si>
    <t>SHET CHECK</t>
  </si>
  <si>
    <t xml:space="preserve">Pre true-up and excluding 'hand back'. Spend on crossover projects included. Negative numbers show spend greater than allowances.  </t>
  </si>
  <si>
    <t>Load</t>
  </si>
  <si>
    <t>Non-Load</t>
  </si>
  <si>
    <t>RIIO-ET1</t>
  </si>
  <si>
    <t>RoRE based on Notional Gearing</t>
  </si>
  <si>
    <t>Allowed Equity Return + IQI</t>
  </si>
  <si>
    <t>Operational performance - Totex</t>
  </si>
  <si>
    <t>Operational performance - other</t>
  </si>
  <si>
    <t>Operational RoRE</t>
  </si>
  <si>
    <t>Total RoRE - with financing and tax</t>
  </si>
  <si>
    <t>Totex Incentive Strength Rate</t>
  </si>
  <si>
    <t>LR allowance: hand back inlcuded</t>
  </si>
  <si>
    <t>and is reflected in the values above.</t>
  </si>
  <si>
    <r>
      <t xml:space="preserve">and is </t>
    </r>
    <r>
      <rPr>
        <b/>
        <sz val="10"/>
        <color theme="1"/>
        <rFont val="Verdana"/>
        <family val="2"/>
      </rPr>
      <t xml:space="preserve">not </t>
    </r>
    <r>
      <rPr>
        <sz val="10"/>
        <color theme="1"/>
        <rFont val="Verdana"/>
        <family val="2"/>
      </rPr>
      <t>reflected in the values above.</t>
    </r>
  </si>
  <si>
    <t>This is figure 2 in the annual report summary</t>
  </si>
  <si>
    <t>This is figure 3 in the annual report summary</t>
  </si>
  <si>
    <t>This is figure 1 in the annual report summary</t>
  </si>
  <si>
    <t>This is table 1 in the annual report summary</t>
  </si>
  <si>
    <r>
      <t xml:space="preserve">Table 2: Performance Scores for the SSO </t>
    </r>
    <r>
      <rPr>
        <b/>
        <sz val="9"/>
        <color theme="1"/>
        <rFont val="Verdana"/>
        <family val="2"/>
      </rPr>
      <t>Survey</t>
    </r>
  </si>
  <si>
    <t xml:space="preserve">[7] All offers issued within licence timescales.  </t>
  </si>
  <si>
    <t>excludes hand back</t>
  </si>
  <si>
    <t>19-20</t>
  </si>
  <si>
    <t>20-21</t>
  </si>
  <si>
    <t>NOTE: The methodology chosen by Ofgem and relevant network companies have simplifying assumptions that may result in a different customer bill value</t>
  </si>
  <si>
    <r>
      <t xml:space="preserve">SPT </t>
    </r>
    <r>
      <rPr>
        <sz val="8"/>
        <rFont val="Verdana"/>
        <family val="2"/>
      </rPr>
      <t>(includes end-of-period clawback)</t>
    </r>
  </si>
  <si>
    <t>Table 10b</t>
  </si>
  <si>
    <t>CAPEX CATEGORY SUMMARY of tables 9b, 10b and 11b</t>
  </si>
  <si>
    <t xml:space="preserve">includes hand back allocated equally across the final two years of T1. </t>
  </si>
  <si>
    <t>SPT: 99%</t>
  </si>
  <si>
    <t>Financial reward[6]</t>
  </si>
  <si>
    <t xml:space="preserve">[8] The baseline assumed 33.7GW of generation would connect during the 8-year period, which was based on an energy outlook premised on the 2012 Gone Green scenario and NGET’s 2012 Business Plan. This value is reflected in Table 1 of  special licence condition 6F (Baseline Generation Connections Outputs and Generation Connections volume driver) </t>
  </si>
  <si>
    <t>19/20</t>
  </si>
  <si>
    <t>TOTAL RRP20</t>
  </si>
  <si>
    <r>
      <t>Table 5 - BCF in terms of tonnes of CO</t>
    </r>
    <r>
      <rPr>
        <b/>
        <vertAlign val="subscript"/>
        <sz val="10"/>
        <color theme="1"/>
        <rFont val="Verdana"/>
        <family val="2"/>
      </rPr>
      <t>2</t>
    </r>
    <r>
      <rPr>
        <b/>
        <sz val="10"/>
        <color theme="1"/>
        <rFont val="Verdana"/>
        <family val="2"/>
      </rPr>
      <t xml:space="preserve"> equivalent per licensee</t>
    </r>
  </si>
  <si>
    <t>https://www.ofgem.gov.uk/network-regulation-riio-model/current-network-price-controls-riio-1/network-innovation/electricity-network-innovation-competition</t>
  </si>
  <si>
    <t>2020 Decision</t>
  </si>
  <si>
    <t>https://www.ofgem.gov.uk/publications-and-updates/decision-2020-low-cost-networks-fund-and-network-innovation-competition-successful-delivery-reward-application</t>
  </si>
  <si>
    <t>2020-21</t>
  </si>
  <si>
    <r>
      <rPr>
        <b/>
        <sz val="8.5"/>
        <color theme="1"/>
        <rFont val="Verdana"/>
        <family val="2"/>
      </rPr>
      <t xml:space="preserve">SPT: </t>
    </r>
    <r>
      <rPr>
        <sz val="8.5"/>
        <color theme="1"/>
        <rFont val="Verdana"/>
        <family val="2"/>
      </rPr>
      <t xml:space="preserve">Three BWW outputs delivered on time. The WHVDC link is in full operational service following commercial take-over in November 2019. The Kilmarnock South scheme is the subject of a substitution.[9] </t>
    </r>
  </si>
  <si>
    <r>
      <t>NGET (TO)</t>
    </r>
    <r>
      <rPr>
        <sz val="8.5"/>
        <color rgb="FF000000"/>
        <rFont val="Verdana"/>
        <family val="2"/>
      </rPr>
      <t xml:space="preserve">: Three BWW outputs delivered on time. The WHVDC link is operational. </t>
    </r>
  </si>
  <si>
    <r>
      <rPr>
        <b/>
        <sz val="8.5"/>
        <color theme="1"/>
        <rFont val="Verdana"/>
        <family val="2"/>
      </rPr>
      <t>NGET (TO):</t>
    </r>
    <r>
      <rPr>
        <sz val="8.5"/>
        <color theme="1"/>
        <rFont val="Verdana"/>
        <family val="2"/>
      </rPr>
      <t xml:space="preserve">  Ofgem issued their final determination confirming construction allowances for the new Hinkley-Seabank overhead line. [10]</t>
    </r>
  </si>
  <si>
    <t>[10] Hinkley Seabank decision</t>
  </si>
  <si>
    <t>Forecast “true-up” value; allowance excluding RPEs</t>
  </si>
  <si>
    <t>Current view of expenditure (excl RPMs disallowed)</t>
  </si>
  <si>
    <t xml:space="preserve">Current view of expenditure </t>
  </si>
  <si>
    <t>see row 65</t>
  </si>
  <si>
    <t>RRP 20</t>
  </si>
  <si>
    <t>The expenditure is spread across ET1 as follows.</t>
  </si>
  <si>
    <t>% change 2018-19 vs 2019-20</t>
  </si>
  <si>
    <t>2019-20 SPT forecast</t>
  </si>
  <si>
    <t>TPWW (6J)</t>
  </si>
  <si>
    <t>DNO Volume Driver (6k)</t>
  </si>
  <si>
    <t>Undergrounding provision (6k)</t>
  </si>
  <si>
    <t>Strategic Wider Works (construction)</t>
  </si>
  <si>
    <t>Baseline Wider Works (6I)</t>
  </si>
  <si>
    <t>Non-variant</t>
  </si>
  <si>
    <t>-'</t>
  </si>
  <si>
    <t>2019-20 NGET forecast</t>
  </si>
  <si>
    <t>Strategic Wider Works (construction only)</t>
  </si>
  <si>
    <t>non-variant</t>
  </si>
  <si>
    <t>Convert 2017/18 to 2009/10</t>
  </si>
  <si>
    <t>Convert 2009/10 prices to 2017/18</t>
  </si>
  <si>
    <t>Convert 2009/10 prices to 2019/20</t>
  </si>
  <si>
    <t>source: Table 2.2.2 Summary of level and driver of performance</t>
  </si>
  <si>
    <t>source: Ofgem buckets post_IRMadj 2018 (excel file)</t>
  </si>
  <si>
    <t>source: Ofgem buckets post_IRMadj 2019 (excel file)</t>
  </si>
  <si>
    <t>source: para 102 RRP18 narrative (8-year performance for price control mechanisms)</t>
  </si>
  <si>
    <t>source: para 2.39 RRP19 narrative (8-year performance for price control mechanisms)</t>
  </si>
  <si>
    <t>source: para ES27 RRP20 narrative (8-year performance for price control mechanisms)</t>
  </si>
  <si>
    <t>White: no financial incentive</t>
  </si>
  <si>
    <t>Green: on target / ahead of target</t>
  </si>
  <si>
    <t>Orange: partially missing target</t>
  </si>
  <si>
    <t xml:space="preserve">Red: substantially missing target </t>
  </si>
  <si>
    <t xml:space="preserve">SPT and NGET below annual targets.  
</t>
  </si>
  <si>
    <t xml:space="preserve">
SHET above annual target [3]</t>
  </si>
  <si>
    <t>average to date</t>
  </si>
  <si>
    <r>
      <t xml:space="preserve">SHET (hand back </t>
    </r>
    <r>
      <rPr>
        <sz val="9"/>
        <color rgb="FFFF0000"/>
        <rFont val="Verdana"/>
        <family val="2"/>
      </rPr>
      <t>included</t>
    </r>
    <r>
      <rPr>
        <sz val="9"/>
        <color rgb="FF000000"/>
        <rFont val="Verdana"/>
        <family val="2"/>
      </rPr>
      <t>)</t>
    </r>
  </si>
  <si>
    <t>[11] It was noted in prior reporting years that works would be carried out under Strategic Wider Works category for Dumfries and Galloway (DGSR), ‘East Coast’ Kincardine and East Coast HVDC.  The current forecast is that none of these will take place in the RIIO-T1 period.</t>
  </si>
  <si>
    <r>
      <t xml:space="preserve">SPT: </t>
    </r>
    <r>
      <rPr>
        <sz val="8.5"/>
        <color rgb="FF000000"/>
        <rFont val="Verdana"/>
        <family val="2"/>
      </rPr>
      <t>No approved SWW projects or potential SWW projects within RIIO-ET1.</t>
    </r>
    <r>
      <rPr>
        <b/>
        <sz val="8.5"/>
        <color rgb="FF000000"/>
        <rFont val="Verdana"/>
        <family val="2"/>
      </rPr>
      <t xml:space="preserve"> </t>
    </r>
    <r>
      <rPr>
        <sz val="8.5"/>
        <color rgb="FF000000"/>
        <rFont val="Verdana"/>
        <family val="2"/>
      </rPr>
      <t>[11]</t>
    </r>
  </si>
  <si>
    <r>
      <t xml:space="preserve">SHET: </t>
    </r>
    <r>
      <rPr>
        <sz val="8.5"/>
        <color rgb="FF000000"/>
        <rFont val="Verdana"/>
        <family val="2"/>
      </rPr>
      <t>All three approved SWW projects have been delivered.</t>
    </r>
    <r>
      <rPr>
        <b/>
        <sz val="8.5"/>
        <color rgb="FF000000"/>
        <rFont val="Verdana"/>
        <family val="2"/>
      </rPr>
      <t xml:space="preserve"> </t>
    </r>
    <r>
      <rPr>
        <sz val="8.5"/>
        <color rgb="FF000000"/>
        <rFont val="Verdana"/>
        <family val="2"/>
      </rPr>
      <t>Development wotk continues regarding SHET's SWW Needs Case submissions for Western Isles and Orkney, in conjunction with the other TO’s, for the Eastern HVDC link.</t>
    </r>
  </si>
  <si>
    <t>OPEX allowance</t>
  </si>
  <si>
    <t>LOAD expenditure</t>
  </si>
  <si>
    <t xml:space="preserve">NON LOAD expenditure </t>
  </si>
  <si>
    <t>NON-OP allowance</t>
  </si>
  <si>
    <t>NON-OP expenditure</t>
  </si>
  <si>
    <t>OPEX expenditure</t>
  </si>
  <si>
    <t>NON LOAD allowance</t>
  </si>
  <si>
    <t>LOAD allowance (inc estimated clawback)</t>
  </si>
  <si>
    <t>LOAD allowance (excl hand back)</t>
  </si>
  <si>
    <t>SHET underspend</t>
  </si>
  <si>
    <t>SPT underspend</t>
  </si>
  <si>
    <t>NGET underspend</t>
  </si>
  <si>
    <t>hand back included</t>
  </si>
  <si>
    <t>LOAD allowance (inc Vol Deferral impact)</t>
  </si>
  <si>
    <t>NON LOAD allowance (incl Vol Deferral impact)</t>
  </si>
  <si>
    <t xml:space="preserve">[3] SHET report annual leakage rate to be above the pre-agreed annual limit (this year exceeding target by 5.1kg).  </t>
  </si>
  <si>
    <t>[5] Total BCF (tonnes per CO2 equivalent) available in table 5 on the next tab.</t>
  </si>
  <si>
    <t>Non Load</t>
  </si>
  <si>
    <t>NGET TO: 100% less than 316 MWh benchmark (0MWh)</t>
  </si>
  <si>
    <t>RRP20: 8 year forecast</t>
  </si>
  <si>
    <t>RoRE based on Notional Gearing – RIIO-ET1 period 2020-21</t>
  </si>
  <si>
    <t xml:space="preserve">NGET TO 2020-21 </t>
  </si>
  <si>
    <t>SHET TO 2020-21</t>
  </si>
  <si>
    <t>SPT TO 2020-21</t>
  </si>
  <si>
    <t>financial year year 8</t>
  </si>
  <si>
    <t>financial year year 7</t>
  </si>
  <si>
    <t>financial year year 6</t>
  </si>
  <si>
    <t>financial year year 5</t>
  </si>
  <si>
    <t xml:space="preserve">RoRE based on Notional Gearing – RIIO-ET1 period </t>
  </si>
  <si>
    <t>2020/21 performance</t>
  </si>
  <si>
    <t>2020/21 leakage[2]</t>
  </si>
  <si>
    <t>2020/21 targets</t>
  </si>
  <si>
    <t>20/21</t>
  </si>
  <si>
    <t>2020-2021</t>
  </si>
  <si>
    <t xml:space="preserve">SHET: 100% less than 120 MWh benchmark (0MWh) </t>
  </si>
  <si>
    <t>source T2.4 RRP21</t>
  </si>
  <si>
    <t>TOTAL RRP21</t>
  </si>
  <si>
    <t>Increase / Decrease vs RRP20</t>
  </si>
  <si>
    <t>NGET: 8.39/10</t>
  </si>
  <si>
    <t>NGET: 8.9/10</t>
  </si>
  <si>
    <t>SPT: 8.6/10</t>
  </si>
  <si>
    <t>SHET: 8.2/10</t>
  </si>
  <si>
    <t>Network Innovation Competition 2021 Decision | Ofgem</t>
  </si>
  <si>
    <t>Network Innovation Competition 2020 Funding Decision | Ofgem</t>
  </si>
  <si>
    <t>SHET: £1.33 million</t>
  </si>
  <si>
    <t>NGET: £1.33 million</t>
  </si>
  <si>
    <t>SPT: £1.33 million</t>
  </si>
  <si>
    <t>NGET: 96%</t>
  </si>
  <si>
    <t>SHET: 98%</t>
  </si>
  <si>
    <t>[4]Decision on the RIIO-T1 Environmental Discretionary Reward scheme for 2020-21 | Ofgem</t>
  </si>
  <si>
    <t>Decision Letter SEI (signed) (ofgem.gov.uk)</t>
  </si>
  <si>
    <t>[6] SEI Decision</t>
  </si>
  <si>
    <r>
      <t xml:space="preserve">Stakeholder engagement discretionary reward. 
</t>
    </r>
    <r>
      <rPr>
        <sz val="10"/>
        <color theme="1"/>
        <rFont val="Verdana"/>
        <family val="2"/>
      </rPr>
      <t xml:space="preserve">
Using the stakeholder engagement methodology[6], the financial reward for each company is shown in brackets in 2020-21 prices.</t>
    </r>
  </si>
  <si>
    <t>NGET: 5.46/10 (£2.40m)</t>
  </si>
  <si>
    <t>SPT:   6.46/10 (£0.93m)</t>
  </si>
  <si>
    <t>SHET: 6.34/10 (£0.87m)</t>
  </si>
  <si>
    <t>still relevant for this financial year</t>
  </si>
  <si>
    <t>SHET:   476 tCO2e. 21.7% above annual target (391).</t>
  </si>
  <si>
    <t>SPT:     775 tCO2e.  15% below annual target (908).</t>
  </si>
  <si>
    <t>NGET:  11,700 tCO2e. 6% below annual target (12,396).</t>
  </si>
  <si>
    <t>(£m, 20-21 prices)</t>
  </si>
  <si>
    <t>https://www.ofgem.gov.uk/publications/decision-2021-nic-successful-delivery-reward-application</t>
  </si>
  <si>
    <t>£m, 2020-21 prices </t>
  </si>
  <si>
    <t>£ billion, 2020-21 Prices</t>
  </si>
  <si>
    <t xml:space="preserve">2020-21 annual report: TO view of totex expenditure vs adjusted allowed totex (£m).  </t>
  </si>
  <si>
    <t>TOTEX allowance (£/m) 2020/21 prices</t>
  </si>
  <si>
    <t>Load related allowance (£/m) 2020/21 prices</t>
  </si>
  <si>
    <t>Non-Load related allowance (£/m) 2020/21 prices</t>
  </si>
  <si>
    <t>Non-op capex related allowance (£/m) 2020/21 prices</t>
  </si>
  <si>
    <t>Controllable opex allowance (£/m) 2020/21 prices</t>
  </si>
  <si>
    <t>CAPEX allowance (£/m) 2020/21 prices</t>
  </si>
  <si>
    <t>convert 2019/20 to 2020/21 prices</t>
  </si>
  <si>
    <t>In May 2020 we received one application for a Successful Delivery Reward for one electricity Network Innovation Competition project.
RICA project by NGET was awarded funding on 30 November 2020.</t>
  </si>
  <si>
    <t xml:space="preserve">SPT: 79% less than 225 MWh benchmark (48MWh) </t>
  </si>
  <si>
    <t>£m, 2020/21 prices</t>
  </si>
  <si>
    <t>09/10 prices</t>
  </si>
  <si>
    <t>% change 2019-20 vs 2020-21</t>
  </si>
  <si>
    <t xml:space="preserve">2020-21 SHET </t>
  </si>
  <si>
    <t>2019-20 SHET forecast</t>
  </si>
  <si>
    <t>2018-19 SHET forecast</t>
  </si>
  <si>
    <t>2017-18 SHET forecast</t>
  </si>
  <si>
    <t xml:space="preserve">2020-21 </t>
  </si>
  <si>
    <t>source: para ES25 RRP21 narrative (8-year performance for price control mechanisms)</t>
  </si>
  <si>
    <t xml:space="preserve">2020-21 NGET </t>
  </si>
  <si>
    <t>Load-Related                                     (£m, 2020-21 prices)</t>
  </si>
  <si>
    <t>Convert 2020/21 to 2009/10</t>
  </si>
  <si>
    <t>Convert 2009/10 prices to 2020/21</t>
  </si>
  <si>
    <t>Convert 2019/20 to 2009/10</t>
  </si>
  <si>
    <t>Convert 2018/19 to 2009/10</t>
  </si>
  <si>
    <t>Convert 2009/10 prices to 2018/19</t>
  </si>
  <si>
    <t>RRP 21</t>
  </si>
  <si>
    <t>SHET: T1 expenditure and T1 allowance comparison RRP20 &amp; RRP21 (Pre true-up. Impact of 'hand back' included)</t>
  </si>
  <si>
    <t xml:space="preserve">RIIO-ET1 Non-op capex performance </t>
  </si>
  <si>
    <t xml:space="preserve">RIIO-ET1 Non-Load Related performance </t>
  </si>
  <si>
    <t>RIIO-ET1 Non-Load Related performance</t>
  </si>
  <si>
    <t xml:space="preserve">RIIO-ET1 Load Related performance </t>
  </si>
  <si>
    <t>RIIO-ET1 Load Related performance</t>
  </si>
  <si>
    <t xml:space="preserve">RRP20 &amp; RRP21 Difference </t>
  </si>
  <si>
    <t>SPT: T1 expenditure and T1 allowance comparison RRP20 &amp; RRP21 (Pre true-up.  GEF removed)</t>
  </si>
  <si>
    <t>SPT: T1 expenditure and T1 allowance comparison RRP20 and RRP21 (Pre true-up, GEF included)</t>
  </si>
  <si>
    <t>Difference  vs RRP20</t>
  </si>
  <si>
    <t>NGET TO: T1 expenditure and T1 allowance comparison RRP20 and RRP21 (Pre true-up. Impact of MPR included. Impact of voluntary deferral included)</t>
  </si>
  <si>
    <r>
      <rPr>
        <b/>
        <sz val="10"/>
        <rFont val="Verdana"/>
        <family val="2"/>
      </rPr>
      <t>NGET TO: T1 expenditure and T1 allowance comparison RRP20 &amp; RRP21 (Pre true-up. Impact of MPR included.</t>
    </r>
    <r>
      <rPr>
        <b/>
        <sz val="10"/>
        <color theme="1"/>
        <rFont val="Verdana"/>
        <family val="2"/>
      </rPr>
      <t xml:space="preserve"> Impact of volun</t>
    </r>
    <r>
      <rPr>
        <b/>
        <sz val="10"/>
        <rFont val="Verdana"/>
        <family val="2"/>
      </rPr>
      <t>tary deferral excluded</t>
    </r>
    <r>
      <rPr>
        <b/>
        <sz val="10"/>
        <color theme="1"/>
        <rFont val="Verdana"/>
        <family val="2"/>
      </rPr>
      <t>)</t>
    </r>
  </si>
  <si>
    <r>
      <t xml:space="preserve">NGET TO (voluntary deferral included </t>
    </r>
    <r>
      <rPr>
        <sz val="9"/>
        <color rgb="FFFF0000"/>
        <rFont val="Verdana"/>
        <family val="2"/>
      </rPr>
      <t>plus crossover adjustment</t>
    </r>
    <r>
      <rPr>
        <sz val="9"/>
        <color rgb="FF000000"/>
        <rFont val="Verdana"/>
        <family val="2"/>
      </rPr>
      <t>)</t>
    </r>
  </si>
  <si>
    <t>Diff</t>
  </si>
  <si>
    <t>8a</t>
  </si>
  <si>
    <t>8b</t>
  </si>
  <si>
    <t>TOTEX expenditure (actual) (£/m) 2020/21 prices</t>
  </si>
  <si>
    <t>Controllable opex (actual) (£/m) 2020/21 prices</t>
  </si>
  <si>
    <t>Adjusted allowance</t>
  </si>
  <si>
    <t>Non-op capex (actual) (£/m) 2020/21 prices</t>
  </si>
  <si>
    <t>Non-Load expenditure (actual) (£/m) 2020/21 prices</t>
  </si>
  <si>
    <t>Load expenditure (actual) (£/m) 2020/21 prices</t>
  </si>
  <si>
    <t>20-21 prices</t>
  </si>
  <si>
    <t>&amp;</t>
  </si>
  <si>
    <t xml:space="preserve">SHET  </t>
  </si>
  <si>
    <t xml:space="preserve">GEF expenditure is reported under ‘Other Capex’ category in the 2021RRP (T4.9). </t>
  </si>
  <si>
    <t>Figure 2b: Actual expenditure vs SPT forecast allowance (Impact of GEF removed)</t>
  </si>
  <si>
    <t>Figure 1b: Actual expenditure vs NGET TO forecast allowance (Pre true-up. Impact of MPR included. Impact of voluntary deferral excluded)</t>
  </si>
  <si>
    <t>Figure 3b: Actual expenditure vs SHET forecast allowance (pre true-up, impact of 'hand back' included)</t>
  </si>
  <si>
    <t>SP Energy Networks</t>
  </si>
  <si>
    <t>TOTEX expenditure (£m)</t>
  </si>
  <si>
    <t>Performance report NGET</t>
  </si>
  <si>
    <t xml:space="preserve">TOTEX allowance (£m) </t>
  </si>
  <si>
    <t>RRP21: 8 year</t>
  </si>
  <si>
    <t>RRP19: 8 year forecast</t>
  </si>
  <si>
    <t>convert 2018/19 to 2019/20 prices</t>
  </si>
  <si>
    <t xml:space="preserve">Figure 3a: Actual expenditure vs SHET forecast allowance </t>
  </si>
  <si>
    <t xml:space="preserve">Figure 2a: Actual expenditure vs SPT forecast allowance </t>
  </si>
  <si>
    <t xml:space="preserve">Figure 1a: Actual expenditure vs NGET TO forecast allowance </t>
  </si>
  <si>
    <t xml:space="preserve">Opex </t>
  </si>
  <si>
    <t>Non-Op</t>
  </si>
  <si>
    <t>Collective performance</t>
  </si>
  <si>
    <t>£m, 2020-21 prices unless stated otherwise</t>
  </si>
  <si>
    <t>This is figure 4 in the annual report summary</t>
  </si>
  <si>
    <t>NGET TO (Impact of MPR &amp; 'voluntary deferral' included)</t>
  </si>
  <si>
    <t>Estimated Consumer benefit</t>
  </si>
  <si>
    <t xml:space="preserve">Alongside the "voluntary deferral" of allowances (£654m in 2020-21 prices), NGET reports making a further adjustment to reflect liquidated damages receipts relating to the delayed Western HVDC link (£88m in 2020-21 prices), an adjustment for forecast excluded services trueup (£291m in 2020/21 prices), £82m for a clawback of RIIO-T1 allowances relating to projects spanning the RIIO-T1/T2 price control period. The action of the totex sharing factor will reduce customer charges by a further £1.5bn, which will lower the consumer bill. </t>
  </si>
  <si>
    <t>a. T1 expenditure</t>
  </si>
  <si>
    <t>b. T1 allowance</t>
  </si>
  <si>
    <t xml:space="preserve">includes the impactr of the MPR decision.  The 'voluntary deferral' is allocated equally across the final two years of T1. </t>
  </si>
  <si>
    <t>£ nominal, 2020/2021 prices</t>
  </si>
  <si>
    <r>
      <t>·</t>
    </r>
    <r>
      <rPr>
        <i/>
        <sz val="7"/>
        <color rgb="FF000000"/>
        <rFont val="Times New Roman"/>
        <family val="1"/>
      </rPr>
      <t xml:space="preserve">         </t>
    </r>
    <r>
      <rPr>
        <i/>
        <sz val="9"/>
        <color rgb="FF000000"/>
        <rFont val="Verdana"/>
        <family val="2"/>
      </rPr>
      <t>T1 delivery: 11.978GW</t>
    </r>
    <r>
      <rPr>
        <i/>
        <sz val="9"/>
        <color rgb="FF000000"/>
        <rFont val="Symbol"/>
        <family val="1"/>
        <charset val="2"/>
      </rPr>
      <t xml:space="preserve"> (</t>
    </r>
    <r>
      <rPr>
        <i/>
        <sz val="9"/>
        <color rgb="FF000000"/>
        <rFont val="Verdana"/>
        <family val="2"/>
      </rPr>
      <t>below target)</t>
    </r>
  </si>
  <si>
    <r>
      <t>·</t>
    </r>
    <r>
      <rPr>
        <sz val="7"/>
        <color rgb="FF000000"/>
        <rFont val="Times New Roman"/>
        <family val="1"/>
      </rPr>
      <t xml:space="preserve">         </t>
    </r>
    <r>
      <rPr>
        <i/>
        <sz val="9"/>
        <color rgb="FF000000"/>
        <rFont val="Verdana"/>
        <family val="2"/>
      </rPr>
      <t>T1 delivery: 41.47km OHL</t>
    </r>
    <r>
      <rPr>
        <sz val="9"/>
        <color rgb="FF000000"/>
        <rFont val="Symbol"/>
        <family val="1"/>
        <charset val="2"/>
      </rPr>
      <t xml:space="preserve"> </t>
    </r>
    <r>
      <rPr>
        <sz val="9"/>
        <color rgb="FF000000"/>
        <rFont val="Verdana"/>
        <family val="2"/>
      </rPr>
      <t>(below target)</t>
    </r>
  </si>
  <si>
    <r>
      <t>·</t>
    </r>
    <r>
      <rPr>
        <sz val="7"/>
        <color rgb="FF000000"/>
        <rFont val="Times New Roman"/>
        <family val="1"/>
      </rPr>
      <t xml:space="preserve">         </t>
    </r>
    <r>
      <rPr>
        <i/>
        <sz val="9"/>
        <color rgb="FF000000"/>
        <rFont val="Verdana"/>
        <family val="2"/>
      </rPr>
      <t>T1 delivery: 36 SGT</t>
    </r>
    <r>
      <rPr>
        <sz val="9"/>
        <color rgb="FF000000"/>
        <rFont val="Symbol"/>
        <family val="1"/>
        <charset val="2"/>
      </rPr>
      <t xml:space="preserve"> </t>
    </r>
    <r>
      <rPr>
        <sz val="9"/>
        <color rgb="FF000000"/>
        <rFont val="Verdana"/>
        <family val="2"/>
      </rPr>
      <t>(below target)</t>
    </r>
  </si>
  <si>
    <r>
      <t>·</t>
    </r>
    <r>
      <rPr>
        <sz val="7"/>
        <color rgb="FF000000"/>
        <rFont val="Times New Roman"/>
        <family val="1"/>
      </rPr>
      <t xml:space="preserve">         </t>
    </r>
    <r>
      <rPr>
        <i/>
        <sz val="9"/>
        <color rgb="FF000000"/>
        <rFont val="Verdana"/>
        <family val="2"/>
      </rPr>
      <t>T1 delivery: 5.4km OHL</t>
    </r>
    <r>
      <rPr>
        <sz val="9"/>
        <color rgb="FF000000"/>
        <rFont val="Symbol"/>
        <family val="1"/>
        <charset val="2"/>
      </rPr>
      <t xml:space="preserve"> </t>
    </r>
    <r>
      <rPr>
        <sz val="9"/>
        <color rgb="FF000000"/>
        <rFont val="Verdana"/>
        <family val="2"/>
      </rPr>
      <t>(below target)</t>
    </r>
  </si>
  <si>
    <r>
      <t>·</t>
    </r>
    <r>
      <rPr>
        <sz val="7"/>
        <rFont val="Times New Roman"/>
        <family val="1"/>
      </rPr>
      <t xml:space="preserve">         </t>
    </r>
    <r>
      <rPr>
        <i/>
        <sz val="9"/>
        <rFont val="Verdana"/>
        <family val="2"/>
      </rPr>
      <t>T1 delivery: 1,948MW</t>
    </r>
    <r>
      <rPr>
        <sz val="9"/>
        <rFont val="Verdana"/>
        <family val="2"/>
      </rPr>
      <t xml:space="preserve"> (below target)</t>
    </r>
  </si>
  <si>
    <r>
      <t>·</t>
    </r>
    <r>
      <rPr>
        <i/>
        <sz val="7"/>
        <rFont val="Times New Roman"/>
        <family val="1"/>
      </rPr>
      <t xml:space="preserve">         </t>
    </r>
    <r>
      <rPr>
        <i/>
        <sz val="9"/>
        <rFont val="Verdana"/>
        <family val="2"/>
      </rPr>
      <t>T1 delivery: 3,471MVa</t>
    </r>
    <r>
      <rPr>
        <i/>
        <sz val="9"/>
        <rFont val="Symbol"/>
        <family val="1"/>
        <charset val="2"/>
      </rPr>
      <t xml:space="preserve"> </t>
    </r>
    <r>
      <rPr>
        <i/>
        <sz val="9"/>
        <rFont val="Verdana"/>
        <family val="2"/>
      </rPr>
      <t>(above target)</t>
    </r>
  </si>
  <si>
    <r>
      <t>·</t>
    </r>
    <r>
      <rPr>
        <sz val="7"/>
        <rFont val="Times New Roman"/>
        <family val="1"/>
      </rPr>
      <t xml:space="preserve">         </t>
    </r>
    <r>
      <rPr>
        <i/>
        <sz val="9"/>
        <rFont val="Verdana"/>
        <family val="2"/>
      </rPr>
      <t>T1 delivery: 1,398MW (above target)</t>
    </r>
  </si>
  <si>
    <r>
      <t>·</t>
    </r>
    <r>
      <rPr>
        <sz val="7"/>
        <rFont val="Times New Roman"/>
        <family val="1"/>
      </rPr>
      <t xml:space="preserve">         </t>
    </r>
    <r>
      <rPr>
        <i/>
        <sz val="9"/>
        <rFont val="Verdana"/>
        <family val="2"/>
      </rPr>
      <t>T1 delivery: 2,276MVa (above target)</t>
    </r>
  </si>
  <si>
    <r>
      <t xml:space="preserve">RIIO-ET1 company view </t>
    </r>
    <r>
      <rPr>
        <i/>
        <sz val="8"/>
        <color rgb="FF000000"/>
        <rFont val="Verdana"/>
        <family val="2"/>
      </rPr>
      <t>(the figures reflect a RIIO-T1 pre-true up position)</t>
    </r>
    <r>
      <rPr>
        <b/>
        <vertAlign val="superscript"/>
        <sz val="8"/>
        <color theme="1"/>
        <rFont val="Verdana"/>
        <family val="2"/>
      </rPr>
      <t xml:space="preserve"> </t>
    </r>
    <r>
      <rPr>
        <b/>
        <vertAlign val="superscript"/>
        <sz val="9"/>
        <color theme="1"/>
        <rFont val="Verdana"/>
        <family val="2"/>
      </rPr>
      <t>†</t>
    </r>
  </si>
  <si>
    <r>
      <t xml:space="preserve">RIIO-ET1 company forecast </t>
    </r>
    <r>
      <rPr>
        <i/>
        <sz val="8"/>
        <color rgb="FF000000"/>
        <rFont val="Verdana"/>
        <family val="2"/>
      </rPr>
      <t>(</t>
    </r>
    <r>
      <rPr>
        <i/>
        <sz val="8"/>
        <color rgb="FFFF0000"/>
        <rFont val="Verdana"/>
        <family val="2"/>
      </rPr>
      <t>including</t>
    </r>
    <r>
      <rPr>
        <i/>
        <sz val="8"/>
        <color rgb="FF000000"/>
        <rFont val="Verdana"/>
        <family val="2"/>
      </rPr>
      <t xml:space="preserve"> an adjustment for the RIIO-T1 forecast excluded services true-up)</t>
    </r>
  </si>
  <si>
    <t xml:space="preserve">Table 6: EDR performance </t>
  </si>
  <si>
    <t>Table 3a: TO financial performance under ENS</t>
  </si>
  <si>
    <t>Table 4a: TO financial performance under SF6</t>
  </si>
  <si>
    <t>Table 2a: TO financial performance under the SSO</t>
  </si>
  <si>
    <t>Table 6a: TO financial performance under the EDR</t>
  </si>
  <si>
    <t xml:space="preserve">Table 3b: ENS performance </t>
  </si>
  <si>
    <t>Table 2b: Performance Scores for the SSO Survey</t>
  </si>
  <si>
    <t>Table 2c: Performance Scores for the Customer survey (NGET only)</t>
  </si>
  <si>
    <r>
      <t>Table 4b: SF</t>
    </r>
    <r>
      <rPr>
        <b/>
        <vertAlign val="subscript"/>
        <sz val="10"/>
        <color theme="1"/>
        <rFont val="Verdana"/>
        <family val="2"/>
      </rPr>
      <t>6</t>
    </r>
    <r>
      <rPr>
        <b/>
        <sz val="10"/>
        <color theme="1"/>
        <rFont val="Verdana"/>
        <family val="2"/>
      </rPr>
      <t xml:space="preserve"> performance, difference from annual target</t>
    </r>
  </si>
  <si>
    <r>
      <t>Table 5a - BCF in terms of tonnes of CO</t>
    </r>
    <r>
      <rPr>
        <b/>
        <vertAlign val="subscript"/>
        <sz val="10"/>
        <color theme="1"/>
        <rFont val="Verdana"/>
        <family val="2"/>
      </rPr>
      <t>2</t>
    </r>
    <r>
      <rPr>
        <b/>
        <sz val="10"/>
        <color theme="1"/>
        <rFont val="Verdana"/>
        <family val="2"/>
      </rPr>
      <t xml:space="preserve"> equivalent per licensee in 2019-20</t>
    </r>
  </si>
  <si>
    <t>Table 7 – Company activity under the NIA</t>
  </si>
  <si>
    <t>Table 8b: Regional estimates of typical GB consumer cost to meet allowed revenue (£ (nominal) customer bill per typical domestic consumer)</t>
  </si>
  <si>
    <t>Table 9: RORE comparison</t>
  </si>
  <si>
    <t>Table 10a: TO view of totex expenditure vs adjusted allowed totex (£m)</t>
  </si>
  <si>
    <t>Table 10b: TO view of totex expenditure vs adjusted allowed totex (£m).  Post-true up of excluded services</t>
  </si>
  <si>
    <t>Difference between T10a and T10b is the estimated value of excluded services end of period "true up"</t>
  </si>
  <si>
    <t xml:space="preserve">Table 10c: TO view of totex expenditure vs adjusted allowed totex (£m).  Post-true up of excluded services. </t>
  </si>
  <si>
    <r>
      <t xml:space="preserve">RIIO-ET1 company forecast </t>
    </r>
    <r>
      <rPr>
        <i/>
        <sz val="8"/>
        <color rgb="FF000000"/>
        <rFont val="Verdana"/>
        <family val="2"/>
      </rPr>
      <t>(</t>
    </r>
    <r>
      <rPr>
        <i/>
        <sz val="8"/>
        <color rgb="FFFF0000"/>
        <rFont val="Verdana"/>
        <family val="2"/>
      </rPr>
      <t xml:space="preserve">including </t>
    </r>
    <r>
      <rPr>
        <i/>
        <sz val="8"/>
        <color rgb="FF000000"/>
        <rFont val="Verdana"/>
        <family val="2"/>
      </rPr>
      <t>an adjustment for the RIIO-T1 forecast excluded services true-up)</t>
    </r>
  </si>
  <si>
    <t>Difference between T10b and T10c is the value of the SHET "hand back"</t>
  </si>
  <si>
    <t>Table 10d: TO view of totex expenditure vs adjusted allowed totex (£m).  Pre-true up of excluded services. Impact of 'hand back'/voluntary deferral/GEF included</t>
  </si>
  <si>
    <r>
      <t xml:space="preserve">RIIO-ET1 company data </t>
    </r>
    <r>
      <rPr>
        <i/>
        <sz val="8"/>
        <color rgb="FF000000"/>
        <rFont val="Verdana"/>
        <family val="2"/>
      </rPr>
      <t>(</t>
    </r>
    <r>
      <rPr>
        <b/>
        <i/>
        <sz val="8"/>
        <color rgb="FF00B0F0"/>
        <rFont val="Verdana"/>
        <family val="2"/>
      </rPr>
      <t>excluding</t>
    </r>
    <r>
      <rPr>
        <i/>
        <sz val="8"/>
        <color rgb="FF000000"/>
        <rFont val="Verdana"/>
        <family val="2"/>
      </rPr>
      <t xml:space="preserve"> an adjustment for the RIIO-T1 forecast excluded services true-up)</t>
    </r>
  </si>
  <si>
    <r>
      <t xml:space="preserve">SHET (hand back </t>
    </r>
    <r>
      <rPr>
        <sz val="9"/>
        <color rgb="FF00B0F0"/>
        <rFont val="Verdana"/>
        <family val="2"/>
      </rPr>
      <t>excluded</t>
    </r>
    <r>
      <rPr>
        <sz val="9"/>
        <color rgb="FF000000"/>
        <rFont val="Verdana"/>
        <family val="2"/>
      </rPr>
      <t>)</t>
    </r>
  </si>
  <si>
    <t>Difference between T10b and T10e is the value of the NGET's liquidated damages receipts (£88.1m)</t>
  </si>
  <si>
    <t>Difference between T10b and T10f is the value of the NGET's crossover adjustment (£82m)</t>
  </si>
  <si>
    <t>SPT (impact of clawback included)</t>
  </si>
  <si>
    <r>
      <t>RIIO-ET1 company forecast (</t>
    </r>
    <r>
      <rPr>
        <i/>
        <sz val="9"/>
        <color rgb="FFFF0000"/>
        <rFont val="Verdana"/>
        <family val="2"/>
      </rPr>
      <t>including</t>
    </r>
    <r>
      <rPr>
        <i/>
        <sz val="9"/>
        <color rgb="FF000000"/>
        <rFont val="Verdana"/>
        <family val="2"/>
      </rPr>
      <t xml:space="preserve"> an adjustment for the RIIO-T1 forecast excluded services true-up)</t>
    </r>
  </si>
  <si>
    <t xml:space="preserve">NGET TO </t>
  </si>
  <si>
    <r>
      <t xml:space="preserve">NGET TO (MPR/voluntary deferral included </t>
    </r>
    <r>
      <rPr>
        <sz val="9"/>
        <color rgb="FFFF0000"/>
        <rFont val="Verdana"/>
        <family val="2"/>
      </rPr>
      <t>plus liquidated damages</t>
    </r>
    <r>
      <rPr>
        <sz val="9"/>
        <color rgb="FF000000"/>
        <rFont val="Verdana"/>
        <family val="2"/>
      </rPr>
      <t>)</t>
    </r>
  </si>
  <si>
    <t>Table 10e: TO view of totex expenditure vs adjusted allowed totex (£m).  Post-true up of excluded services. Impact of 'hand back'/voluntary deferral/GEF included</t>
  </si>
  <si>
    <t>Table 10f: TO view of totex expenditure vs adjusted allowed totex (£m).  Post-true up of excluded services. Impact of 'hand back'/voluntary deferral/GEF included</t>
  </si>
  <si>
    <t>Table 11c</t>
  </si>
  <si>
    <r>
      <t xml:space="preserve">SHET </t>
    </r>
    <r>
      <rPr>
        <sz val="8"/>
        <rFont val="Verdana"/>
        <family val="2"/>
      </rPr>
      <t>(</t>
    </r>
    <r>
      <rPr>
        <sz val="8"/>
        <color rgb="FF00B0F0"/>
        <rFont val="Verdana"/>
        <family val="2"/>
      </rPr>
      <t>excludes</t>
    </r>
    <r>
      <rPr>
        <sz val="8"/>
        <rFont val="Verdana"/>
        <family val="2"/>
      </rPr>
      <t xml:space="preserve"> ‘hand back’ allowance adjustment)</t>
    </r>
  </si>
  <si>
    <t>MPR</t>
  </si>
  <si>
    <t xml:space="preserve">Voluntary Deferral </t>
  </si>
  <si>
    <t>TOTAL MPR &amp; Voluntary Deferral</t>
  </si>
  <si>
    <r>
      <t xml:space="preserve">SHET </t>
    </r>
    <r>
      <rPr>
        <sz val="8"/>
        <rFont val="Verdana"/>
        <family val="2"/>
      </rPr>
      <t>(</t>
    </r>
    <r>
      <rPr>
        <sz val="8"/>
        <color rgb="FFFF0000"/>
        <rFont val="Verdana"/>
        <family val="2"/>
      </rPr>
      <t>includes</t>
    </r>
    <r>
      <rPr>
        <sz val="8"/>
        <rFont val="Verdana"/>
        <family val="2"/>
      </rPr>
      <t xml:space="preserve"> ‘hand back’ allowance adjustment )</t>
    </r>
  </si>
  <si>
    <r>
      <t xml:space="preserve">NGET </t>
    </r>
    <r>
      <rPr>
        <sz val="8"/>
        <rFont val="Verdana"/>
        <family val="2"/>
      </rPr>
      <t>(</t>
    </r>
    <r>
      <rPr>
        <sz val="8"/>
        <color rgb="FF00B0F0"/>
        <rFont val="Verdana"/>
        <family val="2"/>
      </rPr>
      <t>excludes</t>
    </r>
    <r>
      <rPr>
        <sz val="8"/>
        <rFont val="Verdana"/>
        <family val="2"/>
      </rPr>
      <t xml:space="preserve"> ‘voluntary deferral’ &amp; MPR impact)</t>
    </r>
  </si>
  <si>
    <t>† The figures are based upon the TOs’ published values, exclude an adjustment for the RIIO-T1 forecast excluded services true-up and before any additional adjustments.  Small rounding errors may exist.</t>
  </si>
  <si>
    <r>
      <t xml:space="preserve">NGET </t>
    </r>
    <r>
      <rPr>
        <sz val="8"/>
        <color theme="1"/>
        <rFont val="Verdana"/>
        <family val="2"/>
      </rPr>
      <t>(</t>
    </r>
    <r>
      <rPr>
        <sz val="8"/>
        <color rgb="FF00B0F0"/>
        <rFont val="Verdana"/>
        <family val="2"/>
      </rPr>
      <t>excludes</t>
    </r>
    <r>
      <rPr>
        <sz val="8"/>
        <color theme="1"/>
        <rFont val="Verdana"/>
        <family val="2"/>
      </rPr>
      <t xml:space="preserve"> ‘voluntary deferral’)</t>
    </r>
  </si>
  <si>
    <t>Difference between T10a and T10d is the value of the SHET "hand back"</t>
  </si>
  <si>
    <t xml:space="preserve">Difference between T10c and T10d is the estimated value of excluded services end of period "true up" (all TOs) </t>
  </si>
  <si>
    <t>Difference between T10a and T10c is the estimated value of excluded services end of period "true up" (all TOs) and the value of SHET's hand back</t>
  </si>
  <si>
    <r>
      <t xml:space="preserve">SHET: T1 expenditure and T1 allowance comparison RRP20 and RRP21 (Pre true-up. Impact of 'hand back' </t>
    </r>
    <r>
      <rPr>
        <b/>
        <sz val="10"/>
        <color rgb="FF00B0F0"/>
        <rFont val="Verdana"/>
        <family val="2"/>
      </rPr>
      <t>excluded</t>
    </r>
    <r>
      <rPr>
        <b/>
        <sz val="10"/>
        <color theme="1"/>
        <rFont val="Verdana"/>
        <family val="2"/>
      </rPr>
      <t>)</t>
    </r>
  </si>
  <si>
    <r>
      <t xml:space="preserve">RIIO-ET1 company forecast </t>
    </r>
    <r>
      <rPr>
        <i/>
        <sz val="8"/>
        <color rgb="FF000000"/>
        <rFont val="Verdana"/>
        <family val="2"/>
      </rPr>
      <t>(</t>
    </r>
    <r>
      <rPr>
        <i/>
        <sz val="8"/>
        <color rgb="FF00B0F0"/>
        <rFont val="Verdana"/>
        <family val="2"/>
      </rPr>
      <t>excluding</t>
    </r>
    <r>
      <rPr>
        <i/>
        <sz val="8"/>
        <color rgb="FF000000"/>
        <rFont val="Verdana"/>
        <family val="2"/>
      </rPr>
      <t xml:space="preserve"> an adjustment for the RIIO-T1 forecast excluded services true-up)</t>
    </r>
  </si>
  <si>
    <t>Difference between T10a and T12b is the value of the Voluntary Deferral &amp; MPR (NGET only) and hand back (SHET only).</t>
  </si>
  <si>
    <t>Difference between T10a and T12a is the value of the excluded services true up (all TOs) and the value of MPR&amp;Vol Def (NGET only)</t>
  </si>
  <si>
    <t>Figure 4a: Actual expenditure vs allowance: All TOs</t>
  </si>
  <si>
    <t>Figure 4b: Actual expenditure vs allowance: All TOs (pre true-up, impact of 'hand back'/voluntary deferral/GEF included)</t>
  </si>
  <si>
    <t>Table 16</t>
  </si>
  <si>
    <t>Table 17</t>
  </si>
  <si>
    <t>Table 21</t>
  </si>
  <si>
    <t xml:space="preserve">Mechanism </t>
  </si>
  <si>
    <t>(£m 2020-21 prices)</t>
  </si>
  <si>
    <t>Cumulative reward or penalty</t>
  </si>
  <si>
    <t>SHE Transmission</t>
  </si>
  <si>
    <t>SPEN SPT</t>
  </si>
  <si>
    <t xml:space="preserve">Total </t>
  </si>
  <si>
    <t>Energy Not Supplied (Network Reliability Incentive)</t>
  </si>
  <si>
    <t xml:space="preserve"> Stakeholder Satisfaction Output</t>
  </si>
  <si>
    <r>
      <t>Sulphur Hexafluoride, SF</t>
    </r>
    <r>
      <rPr>
        <vertAlign val="subscript"/>
        <sz val="9"/>
        <color theme="1"/>
        <rFont val="Verdana"/>
        <family val="2"/>
      </rPr>
      <t>6</t>
    </r>
  </si>
  <si>
    <t>Environmental Discretionary Reward</t>
  </si>
  <si>
    <t>Timely connections (Performance re offers of timely connection)</t>
  </si>
  <si>
    <t>X</t>
  </si>
  <si>
    <t>Total all mechanisms (£m)</t>
  </si>
  <si>
    <t>Table 7: Output incentive mechanisms – indicative cumulative revenue rewards and penalties for 2013-21</t>
  </si>
  <si>
    <t>This is table 3 in the annual report summary</t>
  </si>
  <si>
    <r>
      <t xml:space="preserve">NGET TO (voluntary deferral included </t>
    </r>
    <r>
      <rPr>
        <sz val="9"/>
        <color rgb="FFFF0000"/>
        <rFont val="Verdana"/>
        <family val="2"/>
      </rPr>
      <t>plus crossover adjustment and liquidatated damages</t>
    </r>
    <r>
      <rPr>
        <sz val="9"/>
        <color rgb="FF000000"/>
        <rFont val="Verdana"/>
        <family val="2"/>
      </rPr>
      <t>)</t>
    </r>
  </si>
  <si>
    <t>Table 10g: TO view of totex expenditure vs adjusted allowed totex (£m).  Post-true up of excluded services only. Impact of 'hand back'/voluntary deferral/GEF included</t>
  </si>
  <si>
    <r>
      <t>RIIO-ET1 company forecast (</t>
    </r>
    <r>
      <rPr>
        <i/>
        <sz val="9"/>
        <color rgb="FFFF0000"/>
        <rFont val="Verdana"/>
        <family val="2"/>
      </rPr>
      <t>including</t>
    </r>
    <r>
      <rPr>
        <i/>
        <sz val="9"/>
        <color rgb="FF000000"/>
        <rFont val="Verdana"/>
        <family val="2"/>
      </rPr>
      <t xml:space="preserve"> an adjustment for the RIIO-T1 forecast excluded services true-up only)</t>
    </r>
  </si>
  <si>
    <r>
      <t>·</t>
    </r>
    <r>
      <rPr>
        <sz val="7"/>
        <color rgb="FF000000"/>
        <rFont val="Times New Roman"/>
        <family val="1"/>
      </rPr>
      <t xml:space="preserve">         </t>
    </r>
    <r>
      <rPr>
        <i/>
        <sz val="9"/>
        <color rgb="FF000000"/>
        <rFont val="Verdana"/>
        <family val="2"/>
      </rPr>
      <t>T1 delivery: 12GW</t>
    </r>
    <r>
      <rPr>
        <sz val="9"/>
        <color rgb="FF000000"/>
        <rFont val="Symbol"/>
        <family val="1"/>
        <charset val="2"/>
      </rPr>
      <t xml:space="preserve"> </t>
    </r>
    <r>
      <rPr>
        <sz val="9"/>
        <color rgb="FF000000"/>
        <rFont val="Verdana"/>
        <family val="2"/>
      </rPr>
      <t>(below target)</t>
    </r>
  </si>
  <si>
    <t>Revenue (£ nominal customer bill per typical domestic consumer)</t>
  </si>
  <si>
    <t>Table 8a: Regional estimates of typical GB consumer cost to meet allowed revenue (£ Real (2020-21 price basis) customer bill per typical domestic consumer)</t>
  </si>
  <si>
    <t>Eligible NIA Expenditure by Cost Type (including Indirects)</t>
  </si>
  <si>
    <t>Table 7a: SPT performance re offers of timely connection)</t>
  </si>
  <si>
    <t>n/a</t>
  </si>
  <si>
    <t>% change 2018-19 vs 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</si>
</sst>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9">
    <numFmt numFmtId="8" formatCode="&quot;£&quot;#,##0.00;[Red]\-&quot;£&quot;#,##0.00"/>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0.0%"/>
    <numFmt numFmtId="170" formatCode="[$-809]d\ mmmm\ yyyy;@"/>
    <numFmt numFmtId="171" formatCode="0.000"/>
    <numFmt numFmtId="172" formatCode="[$$-409]#,##0.00"/>
    <numFmt numFmtId="173" formatCode="#,##0.0;[Red]\(#,##0.0\)"/>
    <numFmt numFmtId="174" formatCode="#,##0.0"/>
    <numFmt numFmtId="175" formatCode="_-* #,##0_-;\-* #,##0_-;_-* &quot;-&quot;??_-;_-@_-"/>
    <numFmt numFmtId="176" formatCode="#,##0;[Red]\(#,##0\)"/>
    <numFmt numFmtId="177" formatCode="#,##0.000"/>
    <numFmt numFmtId="178" formatCode="#,##0.0000"/>
    <numFmt numFmtId="179" formatCode="0.00000000000000"/>
    <numFmt numFmtId="180" formatCode="0.0000000000000"/>
    <numFmt numFmtId="181" formatCode="#,##0.0000000000000000"/>
    <numFmt numFmtId="182" formatCode="0.0000%"/>
    <numFmt numFmtId="183" formatCode="0.000000000%"/>
    <numFmt numFmtId="184" formatCode="0.000000000000"/>
    <numFmt numFmtId="185" formatCode="#,##0.0_);\(#,##0.0\);\-_)"/>
    <numFmt numFmtId="186" formatCode="_-* #,##0.0_-;\-* #,##0.0_-;_-* &quot;-&quot;??_-;_-@_-"/>
    <numFmt numFmtId="187" formatCode="[$-F800]dddd\,\ mmmm\ dd\,\ yyyy"/>
    <numFmt numFmtId="188" formatCode="#,##0;\(#,##0\)"/>
    <numFmt numFmtId="189" formatCode="d\-mmm\-yyyy"/>
    <numFmt numFmtId="190" formatCode="0.000000"/>
    <numFmt numFmtId="191" formatCode="#,##0.00;[Red]\-#,##0.00;\-"/>
    <numFmt numFmtId="192" formatCode="#,##0.00;[Red]#,##0.00;\-"/>
    <numFmt numFmtId="193" formatCode="#,##0.0_);[Red]\(#,##0.0\);\-"/>
    <numFmt numFmtId="194" formatCode="0.0000"/>
    <numFmt numFmtId="195" formatCode="_(* #,##0_);_(* \(#,##0\);_(* &quot;-&quot;??_);_(@_)"/>
    <numFmt numFmtId="196" formatCode="0.000%"/>
    <numFmt numFmtId="197" formatCode="0.00000"/>
    <numFmt numFmtId="198" formatCode="#,##0.000000"/>
    <numFmt numFmtId="199" formatCode="0.00000000"/>
    <numFmt numFmtId="200" formatCode="0.000000000"/>
  </numFmts>
  <fonts count="170">
    <font>
      <sz val="10"/>
      <color theme="1"/>
      <name val="Verdana"/>
      <family val="2"/>
    </font>
    <font>
      <sz val="11"/>
      <color theme="1"/>
      <name val="Calibri"/>
      <family val="2"/>
      <scheme val="minor"/>
    </font>
    <font>
      <sz val="11"/>
      <color theme="1"/>
      <name val="Calibri"/>
      <family val="2"/>
      <scheme val="minor"/>
    </font>
    <font>
      <sz val="10"/>
      <color theme="1"/>
      <name val="Verdana"/>
      <family val="2"/>
    </font>
    <font>
      <b/>
      <sz val="10"/>
      <color theme="1"/>
      <name val="Verdana"/>
      <family val="2"/>
    </font>
    <font>
      <b/>
      <sz val="10"/>
      <color rgb="FF000000"/>
      <name val="Verdana"/>
      <family val="2"/>
    </font>
    <font>
      <sz val="10"/>
      <color rgb="FF000000"/>
      <name val="Verdana"/>
      <family val="2"/>
    </font>
    <font>
      <sz val="10"/>
      <name val="Verdana"/>
      <family val="2"/>
    </font>
    <font>
      <b/>
      <sz val="20"/>
      <name val="CG Omega"/>
      <family val="2"/>
    </font>
    <font>
      <b/>
      <sz val="16"/>
      <name val="CG Omega"/>
      <family val="2"/>
    </font>
    <font>
      <b/>
      <sz val="10"/>
      <color indexed="8"/>
      <name val="CG Omega"/>
      <family val="2"/>
    </font>
    <font>
      <sz val="11"/>
      <name val="CG Omega"/>
      <family val="2"/>
    </font>
    <font>
      <b/>
      <sz val="16"/>
      <color rgb="FF3E3E3E"/>
      <name val="CG Omega"/>
      <family val="2"/>
    </font>
    <font>
      <b/>
      <sz val="10"/>
      <name val="Verdana"/>
      <family val="2"/>
    </font>
    <font>
      <b/>
      <sz val="14"/>
      <color theme="1"/>
      <name val="Gill Sans MT"/>
      <family val="2"/>
    </font>
    <font>
      <sz val="11"/>
      <name val="Verdana"/>
      <family val="2"/>
    </font>
    <font>
      <sz val="10"/>
      <color theme="1"/>
      <name val="Times New Roman"/>
      <family val="1"/>
    </font>
    <font>
      <sz val="11"/>
      <color rgb="FF000000"/>
      <name val="Calibri"/>
      <family val="2"/>
    </font>
    <font>
      <b/>
      <sz val="11"/>
      <color rgb="FF000000"/>
      <name val="Calibri"/>
      <family val="2"/>
    </font>
    <font>
      <sz val="8"/>
      <color rgb="FF000000"/>
      <name val="Verdana"/>
      <family val="2"/>
    </font>
    <font>
      <i/>
      <sz val="8"/>
      <color rgb="FF000000"/>
      <name val="Verdana"/>
      <family val="2"/>
    </font>
    <font>
      <b/>
      <sz val="8"/>
      <color rgb="FF000000"/>
      <name val="Verdana"/>
      <family val="2"/>
    </font>
    <font>
      <b/>
      <sz val="9"/>
      <color theme="1"/>
      <name val="Verdana"/>
      <family val="2"/>
    </font>
    <font>
      <sz val="10"/>
      <color indexed="8"/>
      <name val="Verdana"/>
      <family val="2"/>
    </font>
    <font>
      <b/>
      <sz val="9"/>
      <color rgb="FF000000"/>
      <name val="Verdana"/>
      <family val="2"/>
    </font>
    <font>
      <sz val="9"/>
      <color theme="1"/>
      <name val="Verdana"/>
      <family val="2"/>
    </font>
    <font>
      <u/>
      <sz val="10"/>
      <color theme="10"/>
      <name val="Verdana"/>
      <family val="2"/>
    </font>
    <font>
      <sz val="9"/>
      <color rgb="FF000000"/>
      <name val="Verdana"/>
      <family val="2"/>
    </font>
    <font>
      <sz val="11"/>
      <name val="Calibri"/>
      <family val="2"/>
      <scheme val="minor"/>
    </font>
    <font>
      <u/>
      <sz val="9"/>
      <color rgb="FF000000"/>
      <name val="Verdana"/>
      <family val="2"/>
    </font>
    <font>
      <sz val="9"/>
      <color rgb="FF000000"/>
      <name val="Symbol"/>
      <family val="1"/>
      <charset val="2"/>
    </font>
    <font>
      <sz val="7"/>
      <color rgb="FF000000"/>
      <name val="Times New Roman"/>
      <family val="1"/>
    </font>
    <font>
      <b/>
      <sz val="9"/>
      <color rgb="FF000000"/>
      <name val="Arial"/>
      <family val="2"/>
    </font>
    <font>
      <sz val="9"/>
      <color rgb="FF000000"/>
      <name val="Arial"/>
      <family val="2"/>
    </font>
    <font>
      <i/>
      <sz val="9"/>
      <color rgb="FF000000"/>
      <name val="Verdana"/>
      <family val="2"/>
    </font>
    <font>
      <sz val="8.5"/>
      <color rgb="FF000000"/>
      <name val="Verdana"/>
      <family val="2"/>
    </font>
    <font>
      <b/>
      <sz val="8.5"/>
      <color rgb="FF000000"/>
      <name val="Verdana"/>
      <family val="2"/>
    </font>
    <font>
      <sz val="9"/>
      <color rgb="FF000000"/>
      <name val="Calibri"/>
      <family val="2"/>
    </font>
    <font>
      <b/>
      <sz val="9"/>
      <color rgb="FF000000"/>
      <name val="Calibri"/>
      <family val="2"/>
    </font>
    <font>
      <i/>
      <sz val="8"/>
      <color rgb="FF000000"/>
      <name val="Calibri"/>
      <family val="2"/>
    </font>
    <font>
      <sz val="8"/>
      <color theme="1"/>
      <name val="Verdana"/>
      <family val="2"/>
    </font>
    <font>
      <b/>
      <sz val="9"/>
      <color rgb="FFFF0000"/>
      <name val="Calibri"/>
      <family val="2"/>
    </font>
    <font>
      <u/>
      <sz val="9"/>
      <color theme="1"/>
      <name val="Verdana"/>
      <family val="2"/>
    </font>
    <font>
      <b/>
      <vertAlign val="superscript"/>
      <sz val="9"/>
      <color theme="1"/>
      <name val="Verdana"/>
      <family val="2"/>
    </font>
    <font>
      <b/>
      <sz val="8"/>
      <color theme="1"/>
      <name val="Verdana"/>
      <family val="2"/>
    </font>
    <font>
      <b/>
      <vertAlign val="subscript"/>
      <sz val="10"/>
      <color theme="1"/>
      <name val="Verdana"/>
      <family val="2"/>
    </font>
    <font>
      <b/>
      <vertAlign val="superscript"/>
      <sz val="8"/>
      <color theme="1"/>
      <name val="Verdana"/>
      <family val="2"/>
    </font>
    <font>
      <i/>
      <sz val="8"/>
      <color theme="1"/>
      <name val="Verdana"/>
      <family val="2"/>
    </font>
    <font>
      <i/>
      <sz val="9"/>
      <color rgb="FF000000"/>
      <name val="Arial"/>
      <family val="2"/>
    </font>
    <font>
      <sz val="8.5"/>
      <color theme="1"/>
      <name val="Verdana"/>
      <family val="2"/>
    </font>
    <font>
      <b/>
      <sz val="8.5"/>
      <color theme="1"/>
      <name val="Verdana"/>
      <family val="2"/>
    </font>
    <font>
      <b/>
      <sz val="10"/>
      <color rgb="FFFF0000"/>
      <name val="Arial"/>
      <family val="2"/>
    </font>
    <font>
      <b/>
      <sz val="10"/>
      <color rgb="FFFF0000"/>
      <name val="Verdana"/>
      <family val="2"/>
    </font>
    <font>
      <b/>
      <sz val="8"/>
      <color theme="1"/>
      <name val="Calibri"/>
      <family val="2"/>
      <scheme val="minor"/>
    </font>
    <font>
      <b/>
      <sz val="9"/>
      <name val="Calibri"/>
      <family val="2"/>
    </font>
    <font>
      <sz val="10"/>
      <color rgb="FFFF0000"/>
      <name val="Verdana"/>
      <family val="2"/>
    </font>
    <font>
      <b/>
      <sz val="12"/>
      <color rgb="FF000000"/>
      <name val="Verdana"/>
      <family val="2"/>
    </font>
    <font>
      <b/>
      <sz val="14"/>
      <color rgb="FF000000"/>
      <name val="Verdana"/>
      <family val="2"/>
    </font>
    <font>
      <b/>
      <sz val="18"/>
      <color rgb="FF000000"/>
      <name val="Verdana"/>
      <family val="2"/>
    </font>
    <font>
      <sz val="10"/>
      <color theme="1"/>
      <name val="Symbol"/>
      <family val="1"/>
      <charset val="2"/>
    </font>
    <font>
      <i/>
      <sz val="10"/>
      <color theme="1"/>
      <name val="Verdana"/>
      <family val="2"/>
    </font>
    <font>
      <i/>
      <sz val="10"/>
      <color theme="0" tint="-0.249977111117893"/>
      <name val="Verdana"/>
      <family val="2"/>
    </font>
    <font>
      <sz val="10"/>
      <color theme="0" tint="-0.249977111117893"/>
      <name val="Verdana"/>
      <family val="2"/>
    </font>
    <font>
      <sz val="10"/>
      <color rgb="FF1F497D"/>
      <name val="Verdana"/>
      <family val="2"/>
    </font>
    <font>
      <sz val="8"/>
      <color theme="1"/>
      <name val="Calibri"/>
      <family val="2"/>
    </font>
    <font>
      <sz val="11"/>
      <color rgb="FF1F497D"/>
      <name val="Calibri"/>
      <family val="2"/>
    </font>
    <font>
      <sz val="11"/>
      <color theme="1"/>
      <name val="Calibri"/>
      <family val="2"/>
      <scheme val="minor"/>
    </font>
    <font>
      <u/>
      <sz val="11"/>
      <color indexed="12"/>
      <name val="CG Omega"/>
      <family val="2"/>
    </font>
    <font>
      <sz val="10"/>
      <color rgb="FFFF0000"/>
      <name val="Arial"/>
      <family val="2"/>
    </font>
    <font>
      <b/>
      <sz val="9"/>
      <color rgb="FF000000"/>
      <name val="Symbol"/>
      <family val="1"/>
      <charset val="2"/>
    </font>
    <font>
      <b/>
      <sz val="7"/>
      <color rgb="FF000000"/>
      <name val="Times New Roman"/>
      <family val="1"/>
    </font>
    <font>
      <b/>
      <i/>
      <sz val="9"/>
      <color rgb="FF000000"/>
      <name val="Verdana"/>
      <family val="2"/>
    </font>
    <font>
      <sz val="10"/>
      <color theme="0" tint="-0.14999847407452621"/>
      <name val="Verdana"/>
      <family val="2"/>
    </font>
    <font>
      <b/>
      <sz val="9"/>
      <color theme="1"/>
      <name val="Calibri"/>
      <family val="2"/>
      <scheme val="minor"/>
    </font>
    <font>
      <b/>
      <sz val="10"/>
      <color rgb="FF848484"/>
      <name val="Verdana"/>
      <family val="2"/>
    </font>
    <font>
      <b/>
      <sz val="9"/>
      <color rgb="FFFFFFFF"/>
      <name val="Verdana"/>
      <family val="2"/>
    </font>
    <font>
      <i/>
      <sz val="8"/>
      <color theme="1"/>
      <name val="Calibri"/>
      <family val="2"/>
      <scheme val="minor"/>
    </font>
    <font>
      <sz val="10"/>
      <color theme="0"/>
      <name val="Verdana"/>
      <family val="2"/>
    </font>
    <font>
      <sz val="10"/>
      <name val="Arial"/>
      <family val="2"/>
    </font>
    <font>
      <b/>
      <sz val="10"/>
      <color theme="1"/>
      <name val="Arial"/>
      <family val="2"/>
    </font>
    <font>
      <sz val="8"/>
      <name val="Verdana"/>
      <family val="2"/>
    </font>
    <font>
      <sz val="11"/>
      <color rgb="FF000000"/>
      <name val="Arial"/>
      <family val="2"/>
    </font>
    <font>
      <b/>
      <i/>
      <sz val="11"/>
      <color theme="3" tint="0.59999389629810485"/>
      <name val="Verdana"/>
      <family val="2"/>
    </font>
    <font>
      <u/>
      <sz val="10"/>
      <color theme="1"/>
      <name val="Verdana"/>
      <family val="2"/>
    </font>
    <font>
      <b/>
      <sz val="11"/>
      <color rgb="FF000000"/>
      <name val="Arial"/>
      <family val="2"/>
    </font>
    <font>
      <b/>
      <i/>
      <sz val="10"/>
      <color theme="3" tint="0.59999389629810485"/>
      <name val="Verdana"/>
      <family val="2"/>
    </font>
    <font>
      <sz val="10"/>
      <color theme="1"/>
      <name val="Arial"/>
      <family val="2"/>
    </font>
    <font>
      <sz val="9"/>
      <color theme="0" tint="-0.14999847407452621"/>
      <name val="Verdana"/>
      <family val="2"/>
    </font>
    <font>
      <b/>
      <i/>
      <sz val="10"/>
      <color theme="1"/>
      <name val="Verdana"/>
      <family val="2"/>
    </font>
    <font>
      <sz val="8"/>
      <color theme="1"/>
      <name val="Calibri"/>
      <family val="2"/>
      <scheme val="minor"/>
    </font>
    <font>
      <i/>
      <sz val="8"/>
      <name val="Calibri"/>
      <family val="2"/>
      <scheme val="minor"/>
    </font>
    <font>
      <b/>
      <sz val="9"/>
      <name val="Verdana"/>
      <family val="2"/>
    </font>
    <font>
      <i/>
      <sz val="9"/>
      <color rgb="FF000000"/>
      <name val="Calibri"/>
      <family val="2"/>
      <scheme val="minor"/>
    </font>
    <font>
      <sz val="10"/>
      <name val="Gill Sans MT"/>
      <family val="2"/>
    </font>
    <font>
      <sz val="10"/>
      <color theme="1"/>
      <name val="Gill Sans MT"/>
      <family val="2"/>
    </font>
    <font>
      <u/>
      <sz val="10"/>
      <color theme="1"/>
      <name val="Gill Sans MT"/>
      <family val="2"/>
    </font>
    <font>
      <sz val="10"/>
      <color theme="0" tint="-4.9989318521683403E-2"/>
      <name val="Gill Sans MT"/>
      <family val="2"/>
    </font>
    <font>
      <b/>
      <sz val="10"/>
      <name val="Arial"/>
      <family val="2"/>
    </font>
    <font>
      <sz val="10"/>
      <name val="Helv"/>
      <charset val="204"/>
    </font>
    <font>
      <sz val="10"/>
      <color indexed="8"/>
      <name val="Arial"/>
      <family val="2"/>
    </font>
    <font>
      <sz val="10"/>
      <color indexed="9"/>
      <name val="Arial"/>
      <family val="2"/>
    </font>
    <font>
      <sz val="11"/>
      <color indexed="8"/>
      <name val="Calibri"/>
      <family val="2"/>
    </font>
    <font>
      <sz val="11"/>
      <color indexed="9"/>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sz val="10"/>
      <name val="MS Sans Serif"/>
      <family val="2"/>
    </font>
    <font>
      <i/>
      <sz val="10"/>
      <color indexed="18"/>
      <name val="Arial"/>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u/>
      <sz val="11"/>
      <color indexed="48"/>
      <name val="CG Omega"/>
      <family val="2"/>
    </font>
    <font>
      <sz val="11"/>
      <color indexed="17"/>
      <name val="Calibri"/>
      <family val="2"/>
    </font>
    <font>
      <b/>
      <sz val="14"/>
      <name val="Arial"/>
      <family val="2"/>
    </font>
    <font>
      <sz val="10"/>
      <color indexed="12"/>
      <name val="Arial"/>
      <family val="2"/>
    </font>
    <font>
      <sz val="8"/>
      <name val="Arial"/>
      <family val="2"/>
    </font>
    <font>
      <b/>
      <sz val="11"/>
      <color indexed="63"/>
      <name val="Calibri"/>
      <family val="2"/>
    </font>
    <font>
      <i/>
      <sz val="10"/>
      <color indexed="10"/>
      <name val="Arial"/>
      <family val="2"/>
    </font>
    <font>
      <sz val="8"/>
      <color indexed="62"/>
      <name val="Arial"/>
      <family val="2"/>
    </font>
    <font>
      <b/>
      <sz val="8"/>
      <color indexed="8"/>
      <name val="Arial"/>
      <family val="2"/>
    </font>
    <font>
      <b/>
      <sz val="8"/>
      <name val="Arial"/>
      <family val="2"/>
    </font>
    <font>
      <sz val="8"/>
      <color indexed="8"/>
      <name val="Arial"/>
      <family val="2"/>
    </font>
    <font>
      <sz val="19"/>
      <name val="Arial"/>
      <family val="2"/>
    </font>
    <font>
      <sz val="8"/>
      <color indexed="14"/>
      <name val="Arial"/>
      <family val="2"/>
    </font>
    <font>
      <b/>
      <sz val="18"/>
      <color indexed="62"/>
      <name val="Cambria"/>
      <family val="2"/>
    </font>
    <font>
      <sz val="9"/>
      <name val="NewsGoth Lt BT"/>
      <family val="2"/>
    </font>
    <font>
      <sz val="11"/>
      <color indexed="14"/>
      <name val="Calibri"/>
      <family val="2"/>
    </font>
    <font>
      <b/>
      <i/>
      <sz val="11"/>
      <color theme="1"/>
      <name val="Calibri"/>
      <family val="2"/>
      <scheme val="minor"/>
    </font>
    <font>
      <sz val="10"/>
      <color theme="0" tint="-0.34998626667073579"/>
      <name val="Verdana"/>
      <family val="2"/>
    </font>
    <font>
      <sz val="12"/>
      <color theme="1"/>
      <name val="Verdana"/>
      <family val="2"/>
    </font>
    <font>
      <b/>
      <sz val="12"/>
      <color theme="1"/>
      <name val="Calibri"/>
      <family val="2"/>
      <scheme val="minor"/>
    </font>
    <font>
      <b/>
      <i/>
      <sz val="9"/>
      <color theme="1"/>
      <name val="Calibri"/>
      <family val="2"/>
      <scheme val="minor"/>
    </font>
    <font>
      <i/>
      <sz val="9"/>
      <color rgb="FF000000"/>
      <name val="Symbol"/>
      <family val="1"/>
      <charset val="2"/>
    </font>
    <font>
      <i/>
      <sz val="7"/>
      <color rgb="FF000000"/>
      <name val="Times New Roman"/>
      <family val="1"/>
    </font>
    <font>
      <sz val="9"/>
      <name val="Symbol"/>
      <family val="1"/>
      <charset val="2"/>
    </font>
    <font>
      <sz val="7"/>
      <name val="Times New Roman"/>
      <family val="1"/>
    </font>
    <font>
      <i/>
      <sz val="9"/>
      <name val="Verdana"/>
      <family val="2"/>
    </font>
    <font>
      <sz val="9"/>
      <name val="Verdana"/>
      <family val="2"/>
    </font>
    <font>
      <b/>
      <sz val="9"/>
      <color theme="1"/>
      <name val="Arial"/>
      <family val="2"/>
    </font>
    <font>
      <b/>
      <i/>
      <sz val="12"/>
      <color theme="1"/>
      <name val="Calibri"/>
      <family val="2"/>
      <scheme val="minor"/>
    </font>
    <font>
      <i/>
      <sz val="10"/>
      <name val="Verdana"/>
      <family val="2"/>
    </font>
    <font>
      <i/>
      <sz val="8"/>
      <color rgb="FFFF0000"/>
      <name val="Verdana"/>
      <family val="2"/>
    </font>
    <font>
      <sz val="11"/>
      <color theme="1"/>
      <name val="Calibri"/>
      <family val="2"/>
    </font>
    <font>
      <sz val="11"/>
      <color theme="1"/>
      <name val="Arial"/>
      <family val="2"/>
    </font>
    <font>
      <i/>
      <sz val="9"/>
      <name val="Symbol"/>
      <family val="1"/>
      <charset val="2"/>
    </font>
    <font>
      <i/>
      <sz val="7"/>
      <name val="Times New Roman"/>
      <family val="1"/>
    </font>
    <font>
      <sz val="9"/>
      <color rgb="FFFF0000"/>
      <name val="Verdana"/>
      <family val="2"/>
    </font>
    <font>
      <u/>
      <sz val="10"/>
      <color rgb="FF0032D2"/>
      <name val="Verdana"/>
      <family val="2"/>
    </font>
    <font>
      <i/>
      <sz val="12"/>
      <color theme="1"/>
      <name val="Calibri"/>
      <family val="2"/>
      <scheme val="minor"/>
    </font>
    <font>
      <b/>
      <sz val="11"/>
      <color theme="1"/>
      <name val="Calibri"/>
      <family val="2"/>
      <scheme val="minor"/>
    </font>
    <font>
      <b/>
      <sz val="8"/>
      <color theme="0" tint="-0.14999847407452621"/>
      <name val="Calibri"/>
      <family val="2"/>
      <scheme val="minor"/>
    </font>
    <font>
      <sz val="8"/>
      <color theme="0" tint="-0.14999847407452621"/>
      <name val="Calibri"/>
      <family val="2"/>
      <scheme val="minor"/>
    </font>
    <font>
      <i/>
      <sz val="10"/>
      <color theme="0" tint="-0.14999847407452621"/>
      <name val="Verdana"/>
      <family val="2"/>
    </font>
    <font>
      <i/>
      <sz val="8"/>
      <color theme="0" tint="-0.14999847407452621"/>
      <name val="Verdana"/>
      <family val="2"/>
    </font>
    <font>
      <sz val="8"/>
      <color theme="1"/>
      <name val="Times New Roman"/>
      <family val="1"/>
    </font>
    <font>
      <b/>
      <sz val="7"/>
      <color theme="1"/>
      <name val="Calibri"/>
      <family val="2"/>
      <scheme val="minor"/>
    </font>
    <font>
      <b/>
      <sz val="11"/>
      <name val="Calibri"/>
      <family val="2"/>
      <scheme val="minor"/>
    </font>
    <font>
      <b/>
      <i/>
      <sz val="8"/>
      <color rgb="FF00B0F0"/>
      <name val="Verdana"/>
      <family val="2"/>
    </font>
    <font>
      <sz val="9"/>
      <color rgb="FF00B0F0"/>
      <name val="Verdana"/>
      <family val="2"/>
    </font>
    <font>
      <i/>
      <sz val="9"/>
      <color rgb="FFFF0000"/>
      <name val="Verdana"/>
      <family val="2"/>
    </font>
    <font>
      <sz val="10"/>
      <color rgb="FF00B050"/>
      <name val="Verdana"/>
      <family val="2"/>
    </font>
    <font>
      <b/>
      <sz val="10"/>
      <color rgb="FF00B050"/>
      <name val="Verdana"/>
      <family val="2"/>
    </font>
    <font>
      <sz val="8"/>
      <color theme="0" tint="-0.34998626667073579"/>
      <name val="Verdana"/>
      <family val="2"/>
    </font>
    <font>
      <sz val="8"/>
      <color rgb="FF00B0F0"/>
      <name val="Verdana"/>
      <family val="2"/>
    </font>
    <font>
      <sz val="8"/>
      <color rgb="FFFF0000"/>
      <name val="Verdana"/>
      <family val="2"/>
    </font>
    <font>
      <b/>
      <sz val="10"/>
      <color rgb="FF00B0F0"/>
      <name val="Verdana"/>
      <family val="2"/>
    </font>
    <font>
      <i/>
      <sz val="8"/>
      <color rgb="FF00B0F0"/>
      <name val="Verdana"/>
      <family val="2"/>
    </font>
    <font>
      <vertAlign val="subscript"/>
      <sz val="9"/>
      <color theme="1"/>
      <name val="Verdana"/>
      <family val="2"/>
    </font>
  </fonts>
  <fills count="94">
    <fill>
      <patternFill patternType="none"/>
    </fill>
    <fill>
      <patternFill patternType="gray125"/>
    </fill>
    <fill>
      <patternFill patternType="solid">
        <fgColor rgb="FFFF9900"/>
        <bgColor indexed="64"/>
      </patternFill>
    </fill>
    <fill>
      <patternFill patternType="solid">
        <fgColor indexed="9"/>
        <bgColor indexed="64"/>
      </patternFill>
    </fill>
    <fill>
      <patternFill patternType="solid">
        <fgColor theme="0"/>
        <bgColor indexed="64"/>
      </patternFill>
    </fill>
    <fill>
      <patternFill patternType="solid">
        <fgColor indexed="47"/>
        <bgColor indexed="64"/>
      </patternFill>
    </fill>
    <fill>
      <patternFill patternType="solid">
        <fgColor indexed="43"/>
        <bgColor indexed="64"/>
      </patternFill>
    </fill>
    <fill>
      <patternFill patternType="solid">
        <fgColor indexed="22"/>
        <bgColor indexed="64"/>
      </patternFill>
    </fill>
    <fill>
      <patternFill patternType="solid">
        <fgColor indexed="52"/>
        <bgColor indexed="64"/>
      </patternFill>
    </fill>
    <fill>
      <patternFill patternType="solid">
        <fgColor rgb="FFB8CCE4"/>
        <bgColor indexed="64"/>
      </patternFill>
    </fill>
    <fill>
      <patternFill patternType="solid">
        <fgColor rgb="FFFFFFFF"/>
        <bgColor indexed="64"/>
      </patternFill>
    </fill>
    <fill>
      <patternFill patternType="solid">
        <fgColor rgb="FFC2D69B"/>
        <bgColor indexed="64"/>
      </patternFill>
    </fill>
    <fill>
      <patternFill patternType="solid">
        <fgColor rgb="FFD9D9D9"/>
        <bgColor indexed="64"/>
      </patternFill>
    </fill>
    <fill>
      <patternFill patternType="solid">
        <fgColor rgb="FFBFBFBF"/>
        <bgColor indexed="64"/>
      </patternFill>
    </fill>
    <fill>
      <patternFill patternType="solid">
        <fgColor rgb="FF95B3D7"/>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1"/>
        <bgColor indexed="64"/>
      </patternFill>
    </fill>
    <fill>
      <patternFill patternType="solid">
        <fgColor rgb="FFFFC00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6D9F1"/>
        <bgColor indexed="64"/>
      </patternFill>
    </fill>
    <fill>
      <patternFill patternType="solid">
        <fgColor rgb="FFC4BD97"/>
        <bgColor indexed="64"/>
      </patternFill>
    </fill>
    <fill>
      <patternFill patternType="solid">
        <fgColor theme="7" tint="0.79998168889431442"/>
        <bgColor indexed="64"/>
      </patternFill>
    </fill>
    <fill>
      <patternFill patternType="solid">
        <fgColor indexed="22"/>
      </patternFill>
    </fill>
    <fill>
      <patternFill patternType="solid">
        <fgColor indexed="26"/>
        <bgColor indexed="64"/>
      </patternFill>
    </fill>
    <fill>
      <patternFill patternType="solid">
        <fgColor theme="0" tint="-0.499984740745262"/>
        <bgColor indexed="64"/>
      </patternFill>
    </fill>
    <fill>
      <patternFill patternType="solid">
        <fgColor rgb="FFC5E1FF"/>
        <bgColor indexed="64"/>
      </patternFill>
    </fill>
    <fill>
      <patternFill patternType="solid">
        <fgColor indexed="41"/>
      </patternFill>
    </fill>
    <fill>
      <patternFill patternType="solid">
        <fgColor indexed="40"/>
      </patternFill>
    </fill>
    <fill>
      <patternFill patternType="solid">
        <fgColor indexed="50"/>
      </patternFill>
    </fill>
    <fill>
      <patternFill patternType="solid">
        <fgColor indexed="35"/>
      </patternFill>
    </fill>
    <fill>
      <patternFill patternType="solid">
        <fgColor indexed="47"/>
      </patternFill>
    </fill>
    <fill>
      <patternFill patternType="solid">
        <fgColor indexed="57"/>
      </patternFill>
    </fill>
    <fill>
      <patternFill patternType="solid">
        <fgColor indexed="24"/>
      </patternFill>
    </fill>
    <fill>
      <patternFill patternType="solid">
        <fgColor indexed="54"/>
      </patternFill>
    </fill>
    <fill>
      <patternFill patternType="solid">
        <fgColor indexed="58"/>
      </patternFill>
    </fill>
    <fill>
      <patternFill patternType="solid">
        <fgColor indexed="51"/>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26"/>
      </patternFill>
    </fill>
    <fill>
      <patternFill patternType="solid">
        <fgColor indexed="51"/>
        <bgColor indexed="64"/>
      </patternFill>
    </fill>
    <fill>
      <patternFill patternType="solid">
        <fgColor indexed="42"/>
        <bgColor indexed="64"/>
      </patternFill>
    </fill>
    <fill>
      <patternFill patternType="solid">
        <fgColor indexed="27"/>
        <bgColor indexed="64"/>
      </patternFill>
    </fill>
    <fill>
      <patternFill patternType="solid">
        <fgColor indexed="43"/>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2"/>
      </patternFill>
    </fill>
    <fill>
      <patternFill patternType="solid">
        <fgColor indexed="53"/>
      </patternFill>
    </fill>
    <fill>
      <patternFill patternType="solid">
        <fgColor indexed="11"/>
      </patternFill>
    </fill>
    <fill>
      <patternFill patternType="lightUp">
        <fgColor indexed="48"/>
        <bgColor indexed="41"/>
      </patternFill>
    </fill>
    <fill>
      <patternFill patternType="solid">
        <fgColor indexed="23"/>
      </patternFill>
    </fill>
    <fill>
      <patternFill patternType="solid">
        <fgColor indexed="44"/>
      </patternFill>
    </fill>
    <fill>
      <patternFill patternType="solid">
        <fgColor indexed="9"/>
      </patternFill>
    </fill>
    <fill>
      <patternFill patternType="solid">
        <fgColor indexed="15"/>
      </patternFill>
    </fill>
    <fill>
      <patternFill patternType="solid">
        <fgColor indexed="20"/>
      </patternFill>
    </fill>
    <fill>
      <patternFill patternType="solid">
        <fgColor indexed="58"/>
        <bgColor indexed="64"/>
      </patternFill>
    </fill>
    <fill>
      <patternFill patternType="solid">
        <fgColor rgb="FFFF0000"/>
        <bgColor indexed="64"/>
      </patternFill>
    </fill>
    <fill>
      <patternFill patternType="solid">
        <fgColor rgb="FFFABF8F"/>
        <bgColor indexed="64"/>
      </patternFill>
    </fill>
    <fill>
      <patternFill patternType="solid">
        <fgColor rgb="FFD99594"/>
        <bgColor indexed="64"/>
      </patternFill>
    </fill>
    <fill>
      <patternFill patternType="solid">
        <fgColor theme="9" tint="0.39997558519241921"/>
        <bgColor indexed="64"/>
      </patternFill>
    </fill>
    <fill>
      <patternFill patternType="solid">
        <fgColor rgb="FFDCE6F1"/>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6" tint="0.59999389629810485"/>
        <bgColor indexed="64"/>
      </patternFill>
    </fill>
    <fill>
      <patternFill patternType="solid">
        <fgColor rgb="FF757171"/>
        <bgColor rgb="FF000000"/>
      </patternFill>
    </fill>
    <fill>
      <patternFill patternType="solid">
        <fgColor rgb="FFFFFFFF"/>
        <bgColor rgb="FF000000"/>
      </patternFill>
    </fill>
  </fills>
  <borders count="14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style="thick">
        <color rgb="FF000000"/>
      </top>
      <bottom style="medium">
        <color rgb="FF000000"/>
      </bottom>
      <diagonal/>
    </border>
    <border>
      <left/>
      <right style="dotted">
        <color indexed="64"/>
      </right>
      <top/>
      <bottom/>
      <diagonal/>
    </border>
    <border>
      <left/>
      <right style="medium">
        <color indexed="64"/>
      </right>
      <top/>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thick">
        <color rgb="FF000000"/>
      </bottom>
      <diagonal/>
    </border>
    <border>
      <left style="medium">
        <color rgb="FF000000"/>
      </left>
      <right/>
      <top style="thick">
        <color rgb="FF000000"/>
      </top>
      <bottom/>
      <diagonal/>
    </border>
    <border>
      <left/>
      <right/>
      <top style="thick">
        <color rgb="FF000000"/>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dotted">
        <color indexed="64"/>
      </left>
      <right/>
      <top/>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hair">
        <color indexed="22"/>
      </top>
      <bottom/>
      <diagonal/>
    </border>
    <border>
      <left/>
      <right/>
      <top style="thin">
        <color indexed="48"/>
      </top>
      <bottom style="double">
        <color indexed="48"/>
      </bottom>
      <diagonal/>
    </border>
    <border>
      <left style="thin">
        <color indexed="18"/>
      </left>
      <right style="thin">
        <color indexed="18"/>
      </right>
      <top style="thin">
        <color indexed="18"/>
      </top>
      <bottom style="thin">
        <color indexed="18"/>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18"/>
      </left>
      <right style="thin">
        <color indexed="18"/>
      </right>
      <top style="thin">
        <color indexed="18"/>
      </top>
      <bottom style="thin">
        <color indexed="18"/>
      </bottom>
      <diagonal/>
    </border>
    <border>
      <left/>
      <right/>
      <top style="thin">
        <color indexed="64"/>
      </top>
      <bottom/>
      <diagonal/>
    </border>
    <border>
      <left/>
      <right/>
      <top style="thin">
        <color auto="1"/>
      </top>
      <bottom style="thin">
        <color auto="1"/>
      </bottom>
      <diagonal/>
    </border>
    <border>
      <left style="thin">
        <color indexed="18"/>
      </left>
      <right style="thin">
        <color indexed="18"/>
      </right>
      <top style="thin">
        <color indexed="18"/>
      </top>
      <bottom style="thin">
        <color indexed="18"/>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4"/>
      </left>
      <right/>
      <top style="thin">
        <color indexed="54"/>
      </top>
      <bottom/>
      <diagonal/>
    </border>
    <border>
      <left/>
      <right/>
      <top style="thin">
        <color indexed="64"/>
      </top>
      <bottom/>
      <diagonal/>
    </border>
    <border>
      <left/>
      <right/>
      <top style="thin">
        <color indexed="48"/>
      </top>
      <bottom style="double">
        <color indexed="48"/>
      </bottom>
      <diagonal/>
    </border>
    <border>
      <left/>
      <right/>
      <top style="thin">
        <color auto="1"/>
      </top>
      <bottom style="thin">
        <color auto="1"/>
      </bottom>
      <diagonal/>
    </border>
    <border>
      <left style="thin">
        <color indexed="18"/>
      </left>
      <right style="thin">
        <color indexed="18"/>
      </right>
      <top style="thin">
        <color indexed="18"/>
      </top>
      <bottom style="thin">
        <color indexed="18"/>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4"/>
      </left>
      <right/>
      <top style="thin">
        <color indexed="54"/>
      </top>
      <bottom/>
      <diagonal/>
    </border>
    <border>
      <left/>
      <right/>
      <top style="thin">
        <color indexed="64"/>
      </top>
      <bottom/>
      <diagonal/>
    </border>
    <border>
      <left/>
      <right/>
      <top style="thin">
        <color indexed="48"/>
      </top>
      <bottom style="double">
        <color indexed="48"/>
      </bottom>
      <diagonal/>
    </border>
    <border>
      <left/>
      <right/>
      <top style="thin">
        <color auto="1"/>
      </top>
      <bottom style="thin">
        <color auto="1"/>
      </bottom>
      <diagonal/>
    </border>
    <border>
      <left style="thin">
        <color indexed="18"/>
      </left>
      <right style="thin">
        <color indexed="18"/>
      </right>
      <top style="thin">
        <color indexed="18"/>
      </top>
      <bottom style="thin">
        <color indexed="18"/>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4"/>
      </left>
      <right/>
      <top style="thin">
        <color indexed="54"/>
      </top>
      <bottom/>
      <diagonal/>
    </border>
    <border>
      <left/>
      <right/>
      <top style="thin">
        <color indexed="64"/>
      </top>
      <bottom/>
      <diagonal/>
    </border>
    <border>
      <left/>
      <right/>
      <top style="thin">
        <color indexed="48"/>
      </top>
      <bottom style="double">
        <color indexed="48"/>
      </bottom>
      <diagonal/>
    </border>
    <border>
      <left/>
      <right/>
      <top style="thin">
        <color auto="1"/>
      </top>
      <bottom style="thin">
        <color auto="1"/>
      </bottom>
      <diagonal/>
    </border>
    <border>
      <left style="thin">
        <color indexed="18"/>
      </left>
      <right style="thin">
        <color indexed="18"/>
      </right>
      <top style="thin">
        <color indexed="18"/>
      </top>
      <bottom style="thin">
        <color indexed="18"/>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54"/>
      </left>
      <right/>
      <top style="thin">
        <color indexed="54"/>
      </top>
      <bottom/>
      <diagonal/>
    </border>
    <border>
      <left/>
      <right/>
      <top style="thin">
        <color indexed="64"/>
      </top>
      <bottom/>
      <diagonal/>
    </border>
    <border>
      <left/>
      <right/>
      <top style="thin">
        <color indexed="48"/>
      </top>
      <bottom style="double">
        <color indexed="48"/>
      </bottom>
      <diagonal/>
    </border>
    <border>
      <left/>
      <right/>
      <top style="thin">
        <color indexed="64"/>
      </top>
      <bottom/>
      <diagonal/>
    </border>
    <border>
      <left/>
      <right/>
      <top style="thin">
        <color auto="1"/>
      </top>
      <bottom style="thin">
        <color auto="1"/>
      </bottom>
      <diagonal/>
    </border>
    <border>
      <left style="thin">
        <color indexed="18"/>
      </left>
      <right style="thin">
        <color indexed="18"/>
      </right>
      <top style="thin">
        <color indexed="18"/>
      </top>
      <bottom style="thin">
        <color indexed="18"/>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4"/>
      </left>
      <right/>
      <top style="thin">
        <color indexed="54"/>
      </top>
      <bottom/>
      <diagonal/>
    </border>
    <border>
      <left/>
      <right/>
      <top style="thin">
        <color indexed="48"/>
      </top>
      <bottom style="double">
        <color indexed="48"/>
      </bottom>
      <diagonal/>
    </border>
    <border>
      <left style="thin">
        <color indexed="18"/>
      </left>
      <right style="thin">
        <color indexed="18"/>
      </right>
      <top style="thin">
        <color indexed="18"/>
      </top>
      <bottom style="thin">
        <color indexed="18"/>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18"/>
      </left>
      <right style="thin">
        <color indexed="18"/>
      </right>
      <top style="thin">
        <color indexed="18"/>
      </top>
      <bottom style="thin">
        <color indexed="18"/>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4"/>
      </left>
      <right/>
      <top style="thin">
        <color indexed="54"/>
      </top>
      <bottom/>
      <diagonal/>
    </border>
    <border>
      <left/>
      <right/>
      <top style="thin">
        <color indexed="48"/>
      </top>
      <bottom style="double">
        <color indexed="48"/>
      </bottom>
      <diagonal/>
    </border>
    <border>
      <left/>
      <right/>
      <top style="thin">
        <color auto="1"/>
      </top>
      <bottom style="thin">
        <color auto="1"/>
      </bottom>
      <diagonal/>
    </border>
    <border>
      <left style="thin">
        <color indexed="18"/>
      </left>
      <right style="thin">
        <color indexed="18"/>
      </right>
      <top style="thin">
        <color indexed="18"/>
      </top>
      <bottom style="thin">
        <color indexed="18"/>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4"/>
      </left>
      <right/>
      <top style="thin">
        <color indexed="54"/>
      </top>
      <bottom/>
      <diagonal/>
    </border>
    <border>
      <left/>
      <right/>
      <top style="thin">
        <color indexed="64"/>
      </top>
      <bottom/>
      <diagonal/>
    </border>
    <border>
      <left/>
      <right/>
      <top style="thin">
        <color indexed="48"/>
      </top>
      <bottom style="double">
        <color indexed="48"/>
      </bottom>
      <diagonal/>
    </border>
    <border>
      <left/>
      <right/>
      <top style="thin">
        <color auto="1"/>
      </top>
      <bottom style="thin">
        <color auto="1"/>
      </bottom>
      <diagonal/>
    </border>
    <border>
      <left style="thin">
        <color indexed="18"/>
      </left>
      <right style="thin">
        <color indexed="18"/>
      </right>
      <top style="thin">
        <color indexed="18"/>
      </top>
      <bottom style="thin">
        <color indexed="18"/>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4"/>
      </left>
      <right/>
      <top style="thin">
        <color indexed="54"/>
      </top>
      <bottom/>
      <diagonal/>
    </border>
    <border>
      <left/>
      <right/>
      <top style="thin">
        <color indexed="48"/>
      </top>
      <bottom style="double">
        <color indexed="48"/>
      </bottom>
      <diagonal/>
    </border>
    <border>
      <left style="medium">
        <color indexed="64"/>
      </left>
      <right/>
      <top style="thin">
        <color auto="1"/>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ck">
        <color indexed="64"/>
      </bottom>
      <diagonal/>
    </border>
    <border>
      <left/>
      <right/>
      <top style="medium">
        <color rgb="FF000000"/>
      </top>
      <bottom/>
      <diagonal/>
    </border>
  </borders>
  <cellStyleXfs count="2736">
    <xf numFmtId="0" fontId="0" fillId="0" borderId="0"/>
    <xf numFmtId="0" fontId="7" fillId="0" borderId="0"/>
    <xf numFmtId="0" fontId="3" fillId="0" borderId="0"/>
    <xf numFmtId="0" fontId="11" fillId="0" borderId="0"/>
    <xf numFmtId="0" fontId="11" fillId="0" borderId="0"/>
    <xf numFmtId="172" fontId="11" fillId="0" borderId="0"/>
    <xf numFmtId="172" fontId="23" fillId="0" borderId="0"/>
    <xf numFmtId="172" fontId="11" fillId="0" borderId="0"/>
    <xf numFmtId="172" fontId="3" fillId="0" borderId="0"/>
    <xf numFmtId="0" fontId="26" fillId="0" borderId="0" applyNumberFormat="0" applyFill="0" applyBorder="0" applyAlignment="0" applyProtection="0"/>
    <xf numFmtId="9" fontId="3" fillId="0" borderId="0" applyFont="0" applyFill="0" applyBorder="0" applyAlignment="0" applyProtection="0"/>
    <xf numFmtId="167" fontId="3" fillId="0" borderId="0" applyFont="0" applyFill="0" applyBorder="0" applyAlignment="0" applyProtection="0"/>
    <xf numFmtId="0" fontId="66" fillId="0" borderId="0"/>
    <xf numFmtId="172" fontId="3" fillId="0" borderId="0"/>
    <xf numFmtId="172" fontId="67" fillId="0" borderId="0" applyNumberFormat="0" applyFill="0" applyBorder="0" applyAlignment="0" applyProtection="0">
      <alignment vertical="top"/>
      <protection locked="0"/>
    </xf>
    <xf numFmtId="172" fontId="3" fillId="0" borderId="0"/>
    <xf numFmtId="172" fontId="3" fillId="0" borderId="0"/>
    <xf numFmtId="172" fontId="3" fillId="0" borderId="0"/>
    <xf numFmtId="185" fontId="95" fillId="0" borderId="0" applyFill="0" applyBorder="0">
      <alignment vertical="center"/>
    </xf>
    <xf numFmtId="185" fontId="96" fillId="29" borderId="0"/>
    <xf numFmtId="185" fontId="94" fillId="23" borderId="0"/>
    <xf numFmtId="185" fontId="93" fillId="22" borderId="0"/>
    <xf numFmtId="185" fontId="93" fillId="30" borderId="0" applyBorder="0">
      <alignment vertical="center"/>
    </xf>
    <xf numFmtId="187" fontId="117" fillId="57" borderId="74" applyNumberFormat="0" applyFont="0" applyAlignment="0" applyProtection="0"/>
    <xf numFmtId="10" fontId="94" fillId="0" borderId="0" applyFont="0" applyFill="0" applyBorder="0" applyAlignment="0" applyProtection="0">
      <alignment vertical="center"/>
    </xf>
    <xf numFmtId="0" fontId="3" fillId="0" borderId="0"/>
    <xf numFmtId="167" fontId="3" fillId="0" borderId="0" applyFont="0" applyFill="0" applyBorder="0" applyAlignment="0" applyProtection="0"/>
    <xf numFmtId="0" fontId="3" fillId="0" borderId="0"/>
    <xf numFmtId="9" fontId="3" fillId="0" borderId="0" applyFont="0" applyFill="0" applyBorder="0" applyAlignment="0" applyProtection="0"/>
    <xf numFmtId="167" fontId="86" fillId="0" borderId="0" applyFont="0" applyFill="0" applyBorder="0" applyAlignment="0" applyProtection="0"/>
    <xf numFmtId="0" fontId="3" fillId="0" borderId="0"/>
    <xf numFmtId="0" fontId="11" fillId="0" borderId="0"/>
    <xf numFmtId="0" fontId="78" fillId="0" borderId="0"/>
    <xf numFmtId="0" fontId="78" fillId="0" borderId="0"/>
    <xf numFmtId="173" fontId="3" fillId="20" borderId="1">
      <alignment vertical="center"/>
    </xf>
    <xf numFmtId="0" fontId="11" fillId="0" borderId="0"/>
    <xf numFmtId="0" fontId="26" fillId="0" borderId="0" applyNumberFormat="0" applyFill="0" applyBorder="0" applyAlignment="0" applyProtection="0">
      <alignment vertical="top"/>
      <protection locked="0"/>
    </xf>
    <xf numFmtId="187" fontId="66" fillId="0" borderId="0"/>
    <xf numFmtId="187" fontId="3" fillId="0" borderId="0"/>
    <xf numFmtId="187" fontId="86" fillId="0" borderId="0"/>
    <xf numFmtId="9" fontId="86" fillId="0" borderId="0" applyFont="0" applyFill="0" applyBorder="0" applyAlignment="0" applyProtection="0"/>
    <xf numFmtId="187" fontId="78" fillId="0" borderId="0"/>
    <xf numFmtId="187" fontId="78" fillId="0" borderId="0"/>
    <xf numFmtId="187" fontId="11" fillId="0" borderId="0"/>
    <xf numFmtId="187" fontId="78" fillId="0" borderId="0"/>
    <xf numFmtId="187" fontId="11" fillId="0" borderId="0"/>
    <xf numFmtId="187" fontId="11"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11" fillId="0" borderId="0"/>
    <xf numFmtId="187" fontId="11" fillId="0" borderId="0"/>
    <xf numFmtId="187" fontId="11" fillId="0" borderId="0"/>
    <xf numFmtId="187" fontId="78" fillId="0" borderId="0"/>
    <xf numFmtId="187" fontId="11" fillId="0" borderId="0"/>
    <xf numFmtId="187" fontId="78" fillId="0" borderId="0"/>
    <xf numFmtId="187" fontId="11" fillId="0" borderId="0"/>
    <xf numFmtId="187" fontId="11" fillId="0" borderId="0"/>
    <xf numFmtId="187" fontId="11"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applyFont="0" applyFill="0" applyBorder="0" applyAlignment="0" applyProtection="0"/>
    <xf numFmtId="187" fontId="78" fillId="0" borderId="0" applyFont="0" applyFill="0" applyBorder="0" applyAlignment="0" applyProtection="0"/>
    <xf numFmtId="187" fontId="78" fillId="0" borderId="0" applyFont="0" applyFill="0" applyBorder="0" applyAlignment="0" applyProtection="0"/>
    <xf numFmtId="187" fontId="78" fillId="0" borderId="0" applyFont="0" applyFill="0" applyBorder="0" applyAlignment="0" applyProtection="0"/>
    <xf numFmtId="187" fontId="78" fillId="0" borderId="0" applyFont="0" applyFill="0" applyBorder="0" applyAlignment="0" applyProtection="0"/>
    <xf numFmtId="187" fontId="78" fillId="0" borderId="0" applyFont="0" applyFill="0" applyBorder="0" applyAlignment="0" applyProtection="0"/>
    <xf numFmtId="187" fontId="78" fillId="0" borderId="0" applyFont="0" applyFill="0" applyBorder="0" applyAlignment="0" applyProtection="0"/>
    <xf numFmtId="187" fontId="78" fillId="0" borderId="0" applyFont="0" applyFill="0" applyBorder="0" applyAlignment="0" applyProtection="0"/>
    <xf numFmtId="187" fontId="78" fillId="0" borderId="0" applyFont="0" applyFill="0" applyBorder="0" applyAlignment="0" applyProtection="0"/>
    <xf numFmtId="187" fontId="98" fillId="0" borderId="0"/>
    <xf numFmtId="187" fontId="78" fillId="0" borderId="0" applyFont="0" applyFill="0" applyBorder="0" applyAlignment="0" applyProtection="0"/>
    <xf numFmtId="187" fontId="78" fillId="0" borderId="0" applyFont="0" applyFill="0" applyBorder="0" applyAlignment="0" applyProtection="0"/>
    <xf numFmtId="187" fontId="78" fillId="0" borderId="0" applyFont="0" applyFill="0" applyBorder="0" applyAlignment="0" applyProtection="0"/>
    <xf numFmtId="187" fontId="78" fillId="0" borderId="0" applyFont="0" applyFill="0" applyBorder="0" applyAlignment="0" applyProtection="0"/>
    <xf numFmtId="187" fontId="78" fillId="0" borderId="0" applyFont="0" applyFill="0" applyBorder="0" applyAlignment="0" applyProtection="0"/>
    <xf numFmtId="187" fontId="78" fillId="0" borderId="0" applyFont="0" applyFill="0" applyBorder="0" applyAlignment="0" applyProtection="0"/>
    <xf numFmtId="187" fontId="78" fillId="0" borderId="0" applyFont="0" applyFill="0" applyBorder="0" applyAlignment="0" applyProtection="0"/>
    <xf numFmtId="187" fontId="78" fillId="0" borderId="0" applyFont="0" applyFill="0" applyBorder="0" applyAlignment="0" applyProtection="0"/>
    <xf numFmtId="187" fontId="78" fillId="0" borderId="0" applyFont="0" applyFill="0" applyBorder="0" applyAlignment="0" applyProtection="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applyFont="0" applyFill="0" applyBorder="0" applyAlignment="0" applyProtection="0"/>
    <xf numFmtId="187" fontId="78" fillId="0" borderId="0" applyFont="0" applyFill="0" applyBorder="0" applyAlignment="0" applyProtection="0"/>
    <xf numFmtId="187" fontId="78" fillId="0" borderId="0" applyFont="0" applyFill="0" applyBorder="0" applyAlignment="0" applyProtection="0"/>
    <xf numFmtId="187" fontId="78" fillId="0" borderId="0" applyFont="0" applyFill="0" applyBorder="0" applyAlignment="0" applyProtection="0"/>
    <xf numFmtId="187" fontId="78" fillId="0" borderId="0" applyFont="0" applyFill="0" applyBorder="0" applyAlignment="0" applyProtection="0"/>
    <xf numFmtId="187" fontId="78" fillId="0" borderId="0" applyFont="0" applyFill="0" applyBorder="0" applyAlignment="0" applyProtection="0"/>
    <xf numFmtId="187" fontId="78" fillId="0" borderId="0" applyFont="0" applyFill="0" applyBorder="0" applyAlignment="0" applyProtection="0"/>
    <xf numFmtId="187" fontId="78" fillId="0" borderId="0" applyFont="0" applyFill="0" applyBorder="0" applyAlignment="0" applyProtection="0"/>
    <xf numFmtId="187" fontId="78" fillId="0" borderId="0" applyFont="0" applyFill="0" applyBorder="0" applyAlignment="0" applyProtection="0"/>
    <xf numFmtId="187" fontId="78" fillId="0" borderId="0" applyFont="0" applyFill="0" applyBorder="0" applyAlignment="0" applyProtection="0"/>
    <xf numFmtId="187" fontId="78" fillId="0" borderId="0" applyFont="0" applyFill="0" applyBorder="0" applyAlignment="0" applyProtection="0"/>
    <xf numFmtId="187" fontId="78" fillId="0" borderId="0" applyFont="0" applyFill="0" applyBorder="0" applyAlignment="0" applyProtection="0"/>
    <xf numFmtId="187" fontId="78" fillId="0" borderId="0" applyFont="0" applyFill="0" applyBorder="0" applyAlignment="0" applyProtection="0"/>
    <xf numFmtId="187" fontId="78" fillId="0" borderId="0" applyFont="0" applyFill="0" applyBorder="0" applyAlignment="0" applyProtection="0"/>
    <xf numFmtId="187" fontId="78" fillId="0" borderId="0" applyFont="0" applyFill="0" applyBorder="0" applyAlignment="0" applyProtection="0"/>
    <xf numFmtId="187" fontId="78" fillId="0" borderId="0" applyFont="0" applyFill="0" applyBorder="0" applyAlignment="0" applyProtection="0"/>
    <xf numFmtId="187" fontId="78" fillId="0" borderId="0" applyFont="0" applyFill="0" applyBorder="0" applyAlignment="0" applyProtection="0"/>
    <xf numFmtId="187" fontId="78" fillId="0" borderId="0" applyFont="0" applyFill="0" applyBorder="0" applyAlignment="0" applyProtection="0"/>
    <xf numFmtId="187" fontId="98" fillId="0" borderId="0"/>
    <xf numFmtId="187" fontId="78" fillId="0" borderId="0" applyFont="0" applyFill="0" applyBorder="0" applyAlignment="0" applyProtection="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alignment vertical="center"/>
    </xf>
    <xf numFmtId="187" fontId="11" fillId="0" borderId="0"/>
    <xf numFmtId="187" fontId="11" fillId="0" borderId="0"/>
    <xf numFmtId="187" fontId="11" fillId="0" borderId="0"/>
    <xf numFmtId="187" fontId="11" fillId="0" borderId="0"/>
    <xf numFmtId="187" fontId="11" fillId="0" borderId="0"/>
    <xf numFmtId="187" fontId="11" fillId="0" borderId="0"/>
    <xf numFmtId="187" fontId="78" fillId="0" borderId="0">
      <alignment vertical="center"/>
    </xf>
    <xf numFmtId="187" fontId="78" fillId="0" borderId="0">
      <alignment vertical="center"/>
    </xf>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11" fillId="0" borderId="0"/>
    <xf numFmtId="187" fontId="11" fillId="0" borderId="0"/>
    <xf numFmtId="187" fontId="11" fillId="0" borderId="0"/>
    <xf numFmtId="187" fontId="78" fillId="0" borderId="0"/>
    <xf numFmtId="187" fontId="78" fillId="0" borderId="0"/>
    <xf numFmtId="187" fontId="78" fillId="0" borderId="0"/>
    <xf numFmtId="187" fontId="78" fillId="0" borderId="0"/>
    <xf numFmtId="187" fontId="78" fillId="0" borderId="0"/>
    <xf numFmtId="187" fontId="11" fillId="0" borderId="0"/>
    <xf numFmtId="187" fontId="11" fillId="0" borderId="0">
      <alignment vertical="justify"/>
    </xf>
    <xf numFmtId="187" fontId="99" fillId="31" borderId="0" applyNumberFormat="0" applyBorder="0" applyAlignment="0" applyProtection="0"/>
    <xf numFmtId="187" fontId="99" fillId="31" borderId="0" applyNumberFormat="0" applyBorder="0" applyAlignment="0" applyProtection="0"/>
    <xf numFmtId="187" fontId="99" fillId="32" borderId="0" applyNumberFormat="0" applyBorder="0" applyAlignment="0" applyProtection="0"/>
    <xf numFmtId="187" fontId="99" fillId="32" borderId="0" applyNumberFormat="0" applyBorder="0" applyAlignment="0" applyProtection="0"/>
    <xf numFmtId="187" fontId="99" fillId="33" borderId="0" applyNumberFormat="0" applyBorder="0" applyAlignment="0" applyProtection="0"/>
    <xf numFmtId="187" fontId="99" fillId="33" borderId="0" applyNumberFormat="0" applyBorder="0" applyAlignment="0" applyProtection="0"/>
    <xf numFmtId="187" fontId="99" fillId="34" borderId="0" applyNumberFormat="0" applyBorder="0" applyAlignment="0" applyProtection="0"/>
    <xf numFmtId="187" fontId="99" fillId="34" borderId="0" applyNumberFormat="0" applyBorder="0" applyAlignment="0" applyProtection="0"/>
    <xf numFmtId="187" fontId="99" fillId="31" borderId="0" applyNumberFormat="0" applyBorder="0" applyAlignment="0" applyProtection="0"/>
    <xf numFmtId="187" fontId="99" fillId="31" borderId="0" applyNumberFormat="0" applyBorder="0" applyAlignment="0" applyProtection="0"/>
    <xf numFmtId="187" fontId="99" fillId="35" borderId="0" applyNumberFormat="0" applyBorder="0" applyAlignment="0" applyProtection="0"/>
    <xf numFmtId="187" fontId="99" fillId="35" borderId="0" applyNumberFormat="0" applyBorder="0" applyAlignment="0" applyProtection="0"/>
    <xf numFmtId="187" fontId="99" fillId="27" borderId="0" applyNumberFormat="0" applyBorder="0" applyAlignment="0" applyProtection="0"/>
    <xf numFmtId="187" fontId="99" fillId="27" borderId="0" applyNumberFormat="0" applyBorder="0" applyAlignment="0" applyProtection="0"/>
    <xf numFmtId="187" fontId="99" fillId="32" borderId="0" applyNumberFormat="0" applyBorder="0" applyAlignment="0" applyProtection="0"/>
    <xf numFmtId="187" fontId="99" fillId="32" borderId="0" applyNumberFormat="0" applyBorder="0" applyAlignment="0" applyProtection="0"/>
    <xf numFmtId="187" fontId="99" fillId="36" borderId="0" applyNumberFormat="0" applyBorder="0" applyAlignment="0" applyProtection="0"/>
    <xf numFmtId="187" fontId="99" fillId="36" borderId="0" applyNumberFormat="0" applyBorder="0" applyAlignment="0" applyProtection="0"/>
    <xf numFmtId="187" fontId="99" fillId="37" borderId="0" applyNumberFormat="0" applyBorder="0" applyAlignment="0" applyProtection="0"/>
    <xf numFmtId="187" fontId="99" fillId="37" borderId="0" applyNumberFormat="0" applyBorder="0" applyAlignment="0" applyProtection="0"/>
    <xf numFmtId="187" fontId="99" fillId="38" borderId="0" applyNumberFormat="0" applyBorder="0" applyAlignment="0" applyProtection="0"/>
    <xf numFmtId="187" fontId="99" fillId="38" borderId="0" applyNumberFormat="0" applyBorder="0" applyAlignment="0" applyProtection="0"/>
    <xf numFmtId="187" fontId="99" fillId="35" borderId="0" applyNumberFormat="0" applyBorder="0" applyAlignment="0" applyProtection="0"/>
    <xf numFmtId="187" fontId="99" fillId="35" borderId="0" applyNumberFormat="0" applyBorder="0" applyAlignment="0" applyProtection="0"/>
    <xf numFmtId="187" fontId="100" fillId="39" borderId="0" applyNumberFormat="0" applyBorder="0" applyAlignment="0" applyProtection="0"/>
    <xf numFmtId="187" fontId="100" fillId="39" borderId="0" applyNumberFormat="0" applyBorder="0" applyAlignment="0" applyProtection="0"/>
    <xf numFmtId="187" fontId="100" fillId="32" borderId="0" applyNumberFormat="0" applyBorder="0" applyAlignment="0" applyProtection="0"/>
    <xf numFmtId="187" fontId="100" fillId="32" borderId="0" applyNumberFormat="0" applyBorder="0" applyAlignment="0" applyProtection="0"/>
    <xf numFmtId="187" fontId="100" fillId="36" borderId="0" applyNumberFormat="0" applyBorder="0" applyAlignment="0" applyProtection="0"/>
    <xf numFmtId="187" fontId="100" fillId="36" borderId="0" applyNumberFormat="0" applyBorder="0" applyAlignment="0" applyProtection="0"/>
    <xf numFmtId="187" fontId="100" fillId="37" borderId="0" applyNumberFormat="0" applyBorder="0" applyAlignment="0" applyProtection="0"/>
    <xf numFmtId="187" fontId="100" fillId="37" borderId="0" applyNumberFormat="0" applyBorder="0" applyAlignment="0" applyProtection="0"/>
    <xf numFmtId="187" fontId="100" fillId="39" borderId="0" applyNumberFormat="0" applyBorder="0" applyAlignment="0" applyProtection="0"/>
    <xf numFmtId="187" fontId="100" fillId="39" borderId="0" applyNumberFormat="0" applyBorder="0" applyAlignment="0" applyProtection="0"/>
    <xf numFmtId="187" fontId="100" fillId="40" borderId="0" applyNumberFormat="0" applyBorder="0" applyAlignment="0" applyProtection="0"/>
    <xf numFmtId="187" fontId="100" fillId="40" borderId="0" applyNumberFormat="0" applyBorder="0" applyAlignment="0" applyProtection="0"/>
    <xf numFmtId="187" fontId="101" fillId="41" borderId="0" applyNumberFormat="0" applyBorder="0" applyAlignment="0" applyProtection="0"/>
    <xf numFmtId="187" fontId="101" fillId="42" borderId="0" applyNumberFormat="0" applyBorder="0" applyAlignment="0" applyProtection="0"/>
    <xf numFmtId="187" fontId="102" fillId="43" borderId="0" applyNumberFormat="0" applyBorder="0" applyAlignment="0" applyProtection="0"/>
    <xf numFmtId="187" fontId="102" fillId="44" borderId="0" applyNumberFormat="0" applyBorder="0" applyAlignment="0" applyProtection="0"/>
    <xf numFmtId="187" fontId="102" fillId="44" borderId="0" applyNumberFormat="0" applyBorder="0" applyAlignment="0" applyProtection="0"/>
    <xf numFmtId="187" fontId="101" fillId="45" borderId="0" applyNumberFormat="0" applyBorder="0" applyAlignment="0" applyProtection="0"/>
    <xf numFmtId="187" fontId="101" fillId="46" borderId="0" applyNumberFormat="0" applyBorder="0" applyAlignment="0" applyProtection="0"/>
    <xf numFmtId="187" fontId="102" fillId="47" borderId="0" applyNumberFormat="0" applyBorder="0" applyAlignment="0" applyProtection="0"/>
    <xf numFmtId="187" fontId="102" fillId="48" borderId="0" applyNumberFormat="0" applyBorder="0" applyAlignment="0" applyProtection="0"/>
    <xf numFmtId="187" fontId="102" fillId="48" borderId="0" applyNumberFormat="0" applyBorder="0" applyAlignment="0" applyProtection="0"/>
    <xf numFmtId="187" fontId="101" fillId="49" borderId="0" applyNumberFormat="0" applyBorder="0" applyAlignment="0" applyProtection="0"/>
    <xf numFmtId="187" fontId="101" fillId="50" borderId="0" applyNumberFormat="0" applyBorder="0" applyAlignment="0" applyProtection="0"/>
    <xf numFmtId="187" fontId="102" fillId="51" borderId="0" applyNumberFormat="0" applyBorder="0" applyAlignment="0" applyProtection="0"/>
    <xf numFmtId="187" fontId="102" fillId="52" borderId="0" applyNumberFormat="0" applyBorder="0" applyAlignment="0" applyProtection="0"/>
    <xf numFmtId="187" fontId="102" fillId="52" borderId="0" applyNumberFormat="0" applyBorder="0" applyAlignment="0" applyProtection="0"/>
    <xf numFmtId="187" fontId="101" fillId="45" borderId="0" applyNumberFormat="0" applyBorder="0" applyAlignment="0" applyProtection="0"/>
    <xf numFmtId="187" fontId="101" fillId="53" borderId="0" applyNumberFormat="0" applyBorder="0" applyAlignment="0" applyProtection="0"/>
    <xf numFmtId="187" fontId="102" fillId="46" borderId="0" applyNumberFormat="0" applyBorder="0" applyAlignment="0" applyProtection="0"/>
    <xf numFmtId="187" fontId="102" fillId="54" borderId="0" applyNumberFormat="0" applyBorder="0" applyAlignment="0" applyProtection="0"/>
    <xf numFmtId="187" fontId="102" fillId="54" borderId="0" applyNumberFormat="0" applyBorder="0" applyAlignment="0" applyProtection="0"/>
    <xf numFmtId="187" fontId="101" fillId="55" borderId="0" applyNumberFormat="0" applyBorder="0" applyAlignment="0" applyProtection="0"/>
    <xf numFmtId="187" fontId="101" fillId="56" borderId="0" applyNumberFormat="0" applyBorder="0" applyAlignment="0" applyProtection="0"/>
    <xf numFmtId="187" fontId="102" fillId="43" borderId="0" applyNumberFormat="0" applyBorder="0" applyAlignment="0" applyProtection="0"/>
    <xf numFmtId="187" fontId="102" fillId="43" borderId="0" applyNumberFormat="0" applyBorder="0" applyAlignment="0" applyProtection="0"/>
    <xf numFmtId="187" fontId="102" fillId="43" borderId="0" applyNumberFormat="0" applyBorder="0" applyAlignment="0" applyProtection="0"/>
    <xf numFmtId="187" fontId="101" fillId="57" borderId="0" applyNumberFormat="0" applyBorder="0" applyAlignment="0" applyProtection="0"/>
    <xf numFmtId="187" fontId="101" fillId="58" borderId="0" applyNumberFormat="0" applyBorder="0" applyAlignment="0" applyProtection="0"/>
    <xf numFmtId="187" fontId="102" fillId="59" borderId="0" applyNumberFormat="0" applyBorder="0" applyAlignment="0" applyProtection="0"/>
    <xf numFmtId="187" fontId="102" fillId="60" borderId="0" applyNumberFormat="0" applyBorder="0" applyAlignment="0" applyProtection="0"/>
    <xf numFmtId="187" fontId="102" fillId="60" borderId="0" applyNumberFormat="0" applyBorder="0" applyAlignment="0" applyProtection="0"/>
    <xf numFmtId="187" fontId="103" fillId="57" borderId="0" applyNumberFormat="0" applyBorder="0" applyAlignment="0" applyProtection="0"/>
    <xf numFmtId="187" fontId="103" fillId="57" borderId="0" applyNumberFormat="0" applyBorder="0" applyAlignment="0" applyProtection="0"/>
    <xf numFmtId="187" fontId="104" fillId="61" borderId="39" applyNumberFormat="0" applyAlignment="0" applyProtection="0"/>
    <xf numFmtId="187" fontId="104" fillId="61" borderId="39" applyNumberFormat="0" applyAlignment="0" applyProtection="0"/>
    <xf numFmtId="187" fontId="105" fillId="54" borderId="40" applyNumberFormat="0" applyAlignment="0" applyProtection="0"/>
    <xf numFmtId="187" fontId="105" fillId="54" borderId="40" applyNumberFormat="0" applyAlignment="0" applyProtection="0"/>
    <xf numFmtId="37" fontId="97" fillId="0" borderId="20">
      <alignment horizontal="center"/>
    </xf>
    <xf numFmtId="37" fontId="97" fillId="0" borderId="0">
      <alignment horizontal="center" vertical="center" wrapText="1"/>
    </xf>
    <xf numFmtId="187" fontId="78" fillId="0" borderId="0" applyNumberFormat="0" applyFont="0" applyBorder="0" applyAlignment="0"/>
    <xf numFmtId="187" fontId="78" fillId="0" borderId="0" applyNumberFormat="0" applyFont="0" applyBorder="0" applyAlignment="0"/>
    <xf numFmtId="187" fontId="78" fillId="0" borderId="0" applyNumberFormat="0" applyFont="0" applyBorder="0" applyAlignment="0"/>
    <xf numFmtId="187" fontId="78" fillId="0" borderId="0" applyNumberFormat="0" applyFont="0" applyBorder="0" applyAlignment="0"/>
    <xf numFmtId="187" fontId="78" fillId="0" borderId="0" applyNumberFormat="0" applyFont="0" applyBorder="0" applyAlignment="0"/>
    <xf numFmtId="187" fontId="78" fillId="0" borderId="0" applyNumberFormat="0" applyFont="0" applyBorder="0" applyAlignment="0"/>
    <xf numFmtId="187" fontId="78" fillId="0" borderId="0" applyNumberFormat="0" applyFont="0" applyBorder="0" applyAlignment="0"/>
    <xf numFmtId="187" fontId="78" fillId="0" borderId="0" applyNumberFormat="0" applyFont="0" applyBorder="0" applyAlignment="0"/>
    <xf numFmtId="187" fontId="78" fillId="0" borderId="0" applyNumberFormat="0" applyFont="0" applyBorder="0" applyAlignment="0"/>
    <xf numFmtId="167" fontId="78" fillId="0" borderId="0" applyFont="0" applyFill="0" applyBorder="0" applyAlignment="0" applyProtection="0"/>
    <xf numFmtId="167" fontId="78" fillId="0" borderId="0" applyFont="0" applyFill="0" applyBorder="0" applyAlignment="0" applyProtection="0"/>
    <xf numFmtId="167" fontId="78" fillId="0" borderId="0" applyFont="0" applyFill="0" applyBorder="0" applyAlignment="0" applyProtection="0"/>
    <xf numFmtId="167" fontId="78" fillId="0" borderId="0" applyFont="0" applyFill="0" applyBorder="0" applyAlignment="0" applyProtection="0"/>
    <xf numFmtId="167" fontId="78" fillId="0" borderId="0" applyFont="0" applyFill="0" applyBorder="0" applyAlignment="0" applyProtection="0"/>
    <xf numFmtId="167" fontId="78" fillId="0" borderId="0" applyFont="0" applyFill="0" applyBorder="0" applyAlignment="0" applyProtection="0"/>
    <xf numFmtId="167" fontId="78" fillId="0" borderId="0" applyFont="0" applyFill="0" applyBorder="0" applyAlignment="0" applyProtection="0"/>
    <xf numFmtId="167" fontId="78" fillId="0" borderId="0" applyFont="0" applyFill="0" applyBorder="0" applyAlignment="0" applyProtection="0"/>
    <xf numFmtId="167" fontId="78" fillId="0" borderId="0" applyFont="0" applyFill="0" applyBorder="0" applyAlignment="0" applyProtection="0"/>
    <xf numFmtId="167" fontId="78" fillId="0" borderId="0" applyFont="0" applyFill="0" applyBorder="0" applyAlignment="0" applyProtection="0"/>
    <xf numFmtId="167" fontId="78" fillId="0" borderId="0" applyFont="0" applyFill="0" applyBorder="0" applyAlignment="0" applyProtection="0"/>
    <xf numFmtId="167" fontId="78" fillId="0" borderId="0" applyFont="0" applyFill="0" applyBorder="0" applyAlignment="0" applyProtection="0"/>
    <xf numFmtId="167" fontId="78" fillId="0" borderId="0" applyFont="0" applyFill="0" applyBorder="0" applyAlignment="0" applyProtection="0"/>
    <xf numFmtId="167" fontId="78" fillId="0" borderId="0" applyFont="0" applyFill="0" applyBorder="0" applyAlignment="0" applyProtection="0"/>
    <xf numFmtId="167" fontId="78" fillId="0" borderId="0" applyFont="0" applyFill="0" applyBorder="0" applyAlignment="0" applyProtection="0"/>
    <xf numFmtId="167" fontId="101" fillId="0" borderId="0" applyFont="0" applyFill="0" applyBorder="0" applyAlignment="0" applyProtection="0"/>
    <xf numFmtId="167" fontId="101" fillId="0" borderId="0" applyFont="0" applyFill="0" applyBorder="0" applyAlignment="0" applyProtection="0"/>
    <xf numFmtId="167" fontId="101" fillId="0" borderId="0" applyFont="0" applyFill="0" applyBorder="0" applyAlignment="0" applyProtection="0"/>
    <xf numFmtId="167" fontId="101" fillId="0" borderId="0" applyFont="0" applyFill="0" applyBorder="0" applyAlignment="0" applyProtection="0"/>
    <xf numFmtId="167" fontId="101" fillId="0" borderId="0" applyFont="0" applyFill="0" applyBorder="0" applyAlignment="0" applyProtection="0"/>
    <xf numFmtId="167" fontId="101" fillId="0" borderId="0" applyFont="0" applyFill="0" applyBorder="0" applyAlignment="0" applyProtection="0"/>
    <xf numFmtId="167" fontId="101" fillId="0" borderId="0" applyFont="0" applyFill="0" applyBorder="0" applyAlignment="0" applyProtection="0"/>
    <xf numFmtId="167" fontId="101" fillId="0" borderId="0" applyFont="0" applyFill="0" applyBorder="0" applyAlignment="0" applyProtection="0"/>
    <xf numFmtId="167" fontId="101" fillId="0" borderId="0" applyFont="0" applyFill="0" applyBorder="0" applyAlignment="0" applyProtection="0"/>
    <xf numFmtId="167" fontId="101" fillId="0" borderId="0" applyFont="0" applyFill="0" applyBorder="0" applyAlignment="0" applyProtection="0"/>
    <xf numFmtId="167" fontId="10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7" fontId="10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7" fontId="101" fillId="0" borderId="0" applyFont="0" applyFill="0" applyBorder="0" applyAlignment="0" applyProtection="0"/>
    <xf numFmtId="167" fontId="101" fillId="0" borderId="0" applyFont="0" applyFill="0" applyBorder="0" applyAlignment="0" applyProtection="0"/>
    <xf numFmtId="167" fontId="101" fillId="0" borderId="0" applyFont="0" applyFill="0" applyBorder="0" applyAlignment="0" applyProtection="0"/>
    <xf numFmtId="167" fontId="101" fillId="0" borderId="0" applyFont="0" applyFill="0" applyBorder="0" applyAlignment="0" applyProtection="0"/>
    <xf numFmtId="167" fontId="10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7" fontId="101" fillId="0" borderId="0" applyFont="0" applyFill="0" applyBorder="0" applyAlignment="0" applyProtection="0"/>
    <xf numFmtId="167" fontId="101" fillId="0" borderId="0" applyFont="0" applyFill="0" applyBorder="0" applyAlignment="0" applyProtection="0"/>
    <xf numFmtId="167" fontId="101" fillId="0" borderId="0" applyFont="0" applyFill="0" applyBorder="0" applyAlignment="0" applyProtection="0"/>
    <xf numFmtId="167" fontId="101" fillId="0" borderId="0" applyFont="0" applyFill="0" applyBorder="0" applyAlignment="0" applyProtection="0"/>
    <xf numFmtId="167" fontId="101" fillId="0" borderId="0" applyFont="0" applyFill="0" applyBorder="0" applyAlignment="0" applyProtection="0"/>
    <xf numFmtId="167" fontId="10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7" fontId="101" fillId="0" borderId="0" applyFont="0" applyFill="0" applyBorder="0" applyAlignment="0" applyProtection="0"/>
    <xf numFmtId="167" fontId="78" fillId="0" borderId="0" applyFont="0" applyFill="0" applyBorder="0" applyAlignment="0" applyProtection="0"/>
    <xf numFmtId="167" fontId="101" fillId="0" borderId="0" applyFont="0" applyFill="0" applyBorder="0" applyAlignment="0" applyProtection="0"/>
    <xf numFmtId="167" fontId="101" fillId="0" borderId="0" applyFont="0" applyFill="0" applyBorder="0" applyAlignment="0" applyProtection="0"/>
    <xf numFmtId="167" fontId="101" fillId="0" borderId="0" applyFont="0" applyFill="0" applyBorder="0" applyAlignment="0" applyProtection="0"/>
    <xf numFmtId="167" fontId="101" fillId="0" borderId="0" applyFont="0" applyFill="0" applyBorder="0" applyAlignment="0" applyProtection="0"/>
    <xf numFmtId="167" fontId="101" fillId="0" borderId="0" applyFont="0" applyFill="0" applyBorder="0" applyAlignment="0" applyProtection="0"/>
    <xf numFmtId="167" fontId="101" fillId="0" borderId="0" applyFont="0" applyFill="0" applyBorder="0" applyAlignment="0" applyProtection="0"/>
    <xf numFmtId="167" fontId="101" fillId="0" borderId="0" applyFont="0" applyFill="0" applyBorder="0" applyAlignment="0" applyProtection="0"/>
    <xf numFmtId="167" fontId="78" fillId="0" borderId="0" applyFont="0" applyFill="0" applyBorder="0" applyAlignment="0" applyProtection="0"/>
    <xf numFmtId="167" fontId="78" fillId="0" borderId="0" applyFont="0" applyFill="0" applyBorder="0" applyAlignment="0" applyProtection="0"/>
    <xf numFmtId="167" fontId="78" fillId="0" borderId="0" applyFont="0" applyFill="0" applyBorder="0" applyAlignment="0" applyProtection="0"/>
    <xf numFmtId="167" fontId="78" fillId="0" borderId="0" applyFont="0" applyFill="0" applyBorder="0" applyAlignment="0" applyProtection="0"/>
    <xf numFmtId="167" fontId="78" fillId="0" borderId="0" applyFont="0" applyFill="0" applyBorder="0" applyAlignment="0" applyProtection="0"/>
    <xf numFmtId="167" fontId="101" fillId="0" borderId="0" applyFont="0" applyFill="0" applyBorder="0" applyAlignment="0" applyProtection="0"/>
    <xf numFmtId="167" fontId="101" fillId="0" borderId="0" applyFont="0" applyFill="0" applyBorder="0" applyAlignment="0" applyProtection="0"/>
    <xf numFmtId="167" fontId="78" fillId="0" borderId="0" applyFont="0" applyFill="0" applyBorder="0" applyAlignment="0" applyProtection="0"/>
    <xf numFmtId="167" fontId="78" fillId="0" borderId="0" applyFont="0" applyFill="0" applyBorder="0" applyAlignment="0" applyProtection="0"/>
    <xf numFmtId="167" fontId="78" fillId="0" borderId="0" applyFont="0" applyFill="0" applyBorder="0" applyAlignment="0" applyProtection="0"/>
    <xf numFmtId="167" fontId="78" fillId="0" borderId="0" applyFont="0" applyFill="0" applyBorder="0" applyAlignment="0" applyProtection="0"/>
    <xf numFmtId="167" fontId="78" fillId="0" borderId="0" applyFont="0" applyFill="0" applyBorder="0" applyAlignment="0" applyProtection="0"/>
    <xf numFmtId="167" fontId="78" fillId="0" borderId="0" applyFont="0" applyFill="0" applyBorder="0" applyAlignment="0" applyProtection="0"/>
    <xf numFmtId="167" fontId="101" fillId="0" borderId="0" applyFont="0" applyFill="0" applyBorder="0" applyAlignment="0" applyProtection="0"/>
    <xf numFmtId="167" fontId="101" fillId="0" borderId="0" applyFont="0" applyFill="0" applyBorder="0" applyAlignment="0" applyProtection="0"/>
    <xf numFmtId="167" fontId="101" fillId="0" borderId="0" applyFont="0" applyFill="0" applyBorder="0" applyAlignment="0" applyProtection="0"/>
    <xf numFmtId="169" fontId="11" fillId="0" borderId="0" applyFont="0" applyFill="0" applyBorder="0" applyAlignment="0" applyProtection="0"/>
    <xf numFmtId="167" fontId="78"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101" fillId="0" borderId="0" applyFont="0" applyFill="0" applyBorder="0" applyAlignment="0" applyProtection="0"/>
    <xf numFmtId="167" fontId="78" fillId="0" borderId="0" applyFont="0" applyFill="0" applyBorder="0" applyAlignment="0" applyProtection="0"/>
    <xf numFmtId="167" fontId="78" fillId="0" borderId="0" applyFont="0" applyFill="0" applyBorder="0" applyAlignment="0" applyProtection="0"/>
    <xf numFmtId="167" fontId="78" fillId="0" borderId="0" applyFont="0" applyFill="0" applyBorder="0" applyAlignment="0" applyProtection="0"/>
    <xf numFmtId="167" fontId="78" fillId="0" borderId="0" applyFont="0" applyFill="0" applyBorder="0" applyAlignment="0" applyProtection="0"/>
    <xf numFmtId="167" fontId="78" fillId="0" borderId="0" applyFont="0" applyFill="0" applyBorder="0" applyAlignment="0" applyProtection="0"/>
    <xf numFmtId="167" fontId="101" fillId="0" borderId="0" applyFont="0" applyFill="0" applyBorder="0" applyAlignment="0" applyProtection="0"/>
    <xf numFmtId="167" fontId="11" fillId="0" borderId="0" applyFont="0" applyFill="0" applyBorder="0" applyAlignment="0" applyProtection="0"/>
    <xf numFmtId="167" fontId="99"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01" fillId="0" borderId="0" applyFont="0" applyFill="0" applyBorder="0" applyAlignment="0" applyProtection="0"/>
    <xf numFmtId="167" fontId="101" fillId="0" borderId="0" applyFont="0" applyFill="0" applyBorder="0" applyAlignment="0" applyProtection="0"/>
    <xf numFmtId="167" fontId="101" fillId="0" borderId="0" applyFont="0" applyFill="0" applyBorder="0" applyAlignment="0" applyProtection="0"/>
    <xf numFmtId="167" fontId="78" fillId="0" borderId="0" applyFont="0" applyFill="0" applyBorder="0" applyAlignment="0" applyProtection="0"/>
    <xf numFmtId="167" fontId="78" fillId="0" borderId="0" applyFont="0" applyFill="0" applyBorder="0" applyAlignment="0" applyProtection="0"/>
    <xf numFmtId="167" fontId="78" fillId="0" borderId="0" applyFont="0" applyFill="0" applyBorder="0" applyAlignment="0" applyProtection="0"/>
    <xf numFmtId="167" fontId="78" fillId="0" borderId="0" applyFont="0" applyFill="0" applyBorder="0" applyAlignment="0" applyProtection="0"/>
    <xf numFmtId="189" fontId="78" fillId="0" borderId="0" applyFill="0" applyBorder="0"/>
    <xf numFmtId="189" fontId="78" fillId="0" borderId="0" applyFill="0" applyBorder="0"/>
    <xf numFmtId="189" fontId="78" fillId="0" borderId="0" applyFill="0" applyBorder="0"/>
    <xf numFmtId="165" fontId="78" fillId="0" borderId="0" applyFont="0" applyFill="0" applyBorder="0" applyAlignment="0" applyProtection="0"/>
    <xf numFmtId="167" fontId="78" fillId="0" borderId="0" applyFont="0" applyFill="0" applyBorder="0" applyAlignment="0" applyProtection="0"/>
    <xf numFmtId="187" fontId="106" fillId="62" borderId="0" applyNumberFormat="0" applyBorder="0" applyAlignment="0" applyProtection="0"/>
    <xf numFmtId="187" fontId="106" fillId="63" borderId="0" applyNumberFormat="0" applyBorder="0" applyAlignment="0" applyProtection="0"/>
    <xf numFmtId="187" fontId="106" fillId="64" borderId="0" applyNumberFormat="0" applyBorder="0" applyAlignment="0" applyProtection="0"/>
    <xf numFmtId="187" fontId="107" fillId="0" borderId="0" applyFont="0" applyFill="0" applyBorder="0" applyAlignment="0" applyProtection="0"/>
    <xf numFmtId="187" fontId="108" fillId="0" borderId="0" applyNumberFormat="0" applyFill="0" applyBorder="0" applyAlignment="0" applyProtection="0"/>
    <xf numFmtId="187" fontId="108" fillId="0" borderId="0" applyNumberFormat="0" applyFill="0" applyBorder="0" applyAlignment="0" applyProtection="0"/>
    <xf numFmtId="187" fontId="101" fillId="50" borderId="0" applyNumberFormat="0" applyBorder="0" applyAlignment="0" applyProtection="0"/>
    <xf numFmtId="187" fontId="101" fillId="50" borderId="0" applyNumberFormat="0" applyBorder="0" applyAlignment="0" applyProtection="0"/>
    <xf numFmtId="187" fontId="78" fillId="27" borderId="0" applyNumberFormat="0" applyFont="0" applyBorder="0" applyAlignment="0" applyProtection="0"/>
    <xf numFmtId="187" fontId="78" fillId="27" borderId="0" applyNumberFormat="0" applyFont="0" applyBorder="0" applyAlignment="0" applyProtection="0"/>
    <xf numFmtId="187" fontId="78" fillId="27" borderId="0" applyNumberFormat="0" applyFont="0" applyBorder="0" applyAlignment="0" applyProtection="0"/>
    <xf numFmtId="187" fontId="78" fillId="27" borderId="0" applyNumberFormat="0" applyFont="0" applyBorder="0" applyAlignment="0" applyProtection="0"/>
    <xf numFmtId="187" fontId="78" fillId="27" borderId="0" applyNumberFormat="0" applyFont="0" applyBorder="0" applyAlignment="0" applyProtection="0"/>
    <xf numFmtId="187" fontId="78" fillId="27" borderId="0" applyNumberFormat="0" applyFont="0" applyBorder="0" applyAlignment="0" applyProtection="0"/>
    <xf numFmtId="187" fontId="78" fillId="27" borderId="0" applyNumberFormat="0" applyFont="0" applyBorder="0" applyAlignment="0" applyProtection="0"/>
    <xf numFmtId="187" fontId="78" fillId="27" borderId="0" applyNumberFormat="0" applyFont="0" applyBorder="0" applyAlignment="0" applyProtection="0"/>
    <xf numFmtId="187" fontId="78" fillId="27" borderId="0" applyNumberFormat="0" applyFont="0" applyBorder="0" applyAlignment="0" applyProtection="0"/>
    <xf numFmtId="187" fontId="109" fillId="0" borderId="41" applyNumberFormat="0" applyFill="0" applyAlignment="0" applyProtection="0"/>
    <xf numFmtId="187" fontId="109" fillId="0" borderId="41" applyNumberFormat="0" applyFill="0" applyAlignment="0" applyProtection="0"/>
    <xf numFmtId="187" fontId="110" fillId="0" borderId="42" applyNumberFormat="0" applyFill="0" applyAlignment="0" applyProtection="0"/>
    <xf numFmtId="187" fontId="110" fillId="0" borderId="42" applyNumberFormat="0" applyFill="0" applyAlignment="0" applyProtection="0"/>
    <xf numFmtId="187" fontId="111" fillId="0" borderId="43" applyNumberFormat="0" applyFill="0" applyAlignment="0" applyProtection="0"/>
    <xf numFmtId="187" fontId="111" fillId="0" borderId="43" applyNumberFormat="0" applyFill="0" applyAlignment="0" applyProtection="0"/>
    <xf numFmtId="187" fontId="111" fillId="0" borderId="0" applyNumberFormat="0" applyFill="0" applyBorder="0" applyAlignment="0" applyProtection="0"/>
    <xf numFmtId="187" fontId="111" fillId="0" borderId="0" applyNumberFormat="0" applyFill="0" applyBorder="0" applyAlignment="0" applyProtection="0"/>
    <xf numFmtId="187" fontId="112" fillId="58" borderId="39" applyNumberFormat="0" applyAlignment="0" applyProtection="0"/>
    <xf numFmtId="187" fontId="112" fillId="58" borderId="39" applyNumberFormat="0" applyAlignment="0" applyProtection="0"/>
    <xf numFmtId="187" fontId="113" fillId="65" borderId="0"/>
    <xf numFmtId="187" fontId="114" fillId="0" borderId="44" applyNumberFormat="0" applyFill="0" applyAlignment="0" applyProtection="0"/>
    <xf numFmtId="187" fontId="114" fillId="0" borderId="44" applyNumberFormat="0" applyFill="0" applyAlignment="0" applyProtection="0"/>
    <xf numFmtId="37" fontId="115" fillId="0" borderId="0"/>
    <xf numFmtId="187" fontId="114" fillId="58" borderId="0" applyNumberFormat="0" applyBorder="0" applyAlignment="0" applyProtection="0"/>
    <xf numFmtId="187" fontId="114" fillId="58" borderId="0" applyNumberFormat="0" applyBorder="0" applyAlignment="0" applyProtection="0"/>
    <xf numFmtId="38" fontId="78" fillId="0" borderId="0" applyFont="0" applyFill="0" applyBorder="0" applyAlignment="0" applyProtection="0"/>
    <xf numFmtId="187" fontId="23" fillId="0" borderId="0"/>
    <xf numFmtId="187" fontId="23" fillId="0" borderId="0"/>
    <xf numFmtId="187" fontId="23" fillId="0" borderId="0"/>
    <xf numFmtId="187" fontId="23" fillId="0" borderId="0"/>
    <xf numFmtId="187" fontId="23" fillId="0" borderId="0"/>
    <xf numFmtId="187" fontId="78" fillId="0" borderId="0"/>
    <xf numFmtId="187" fontId="78" fillId="0" borderId="0"/>
    <xf numFmtId="187" fontId="78" fillId="0" borderId="0"/>
    <xf numFmtId="187" fontId="78" fillId="0" borderId="0"/>
    <xf numFmtId="0" fontId="3" fillId="0" borderId="0"/>
    <xf numFmtId="187" fontId="101" fillId="0" borderId="0" applyFill="0" applyBorder="0" applyAlignment="0" applyProtection="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101" fillId="0" borderId="0"/>
    <xf numFmtId="187" fontId="101" fillId="0" borderId="0" applyFill="0" applyBorder="0" applyAlignment="0" applyProtection="0"/>
    <xf numFmtId="187" fontId="78"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78" fillId="0" borderId="0"/>
    <xf numFmtId="187" fontId="78" fillId="0" borderId="0"/>
    <xf numFmtId="187" fontId="78" fillId="0" borderId="0"/>
    <xf numFmtId="187" fontId="78" fillId="0" borderId="0"/>
    <xf numFmtId="187" fontId="78" fillId="0" borderId="0"/>
    <xf numFmtId="187" fontId="101" fillId="0" borderId="0" applyFill="0" applyBorder="0" applyAlignment="0" applyProtection="0"/>
    <xf numFmtId="187" fontId="101" fillId="0" borderId="0" applyFill="0" applyBorder="0" applyAlignment="0" applyProtection="0"/>
    <xf numFmtId="187" fontId="78" fillId="0" borderId="0"/>
    <xf numFmtId="187" fontId="78" fillId="0" borderId="0"/>
    <xf numFmtId="187" fontId="78" fillId="0" borderId="0"/>
    <xf numFmtId="187" fontId="78" fillId="0" borderId="0"/>
    <xf numFmtId="187" fontId="78" fillId="0" borderId="0"/>
    <xf numFmtId="187" fontId="78"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78" fillId="0" borderId="0"/>
    <xf numFmtId="187" fontId="78" fillId="0" borderId="0"/>
    <xf numFmtId="187" fontId="78" fillId="0" borderId="0"/>
    <xf numFmtId="187" fontId="78" fillId="0" borderId="0"/>
    <xf numFmtId="187" fontId="78" fillId="0" borderId="0"/>
    <xf numFmtId="187" fontId="78" fillId="0" borderId="0"/>
    <xf numFmtId="187" fontId="78" fillId="0" borderId="0"/>
    <xf numFmtId="187" fontId="101" fillId="0" borderId="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78" fillId="0" borderId="0"/>
    <xf numFmtId="187" fontId="78" fillId="0" borderId="0"/>
    <xf numFmtId="187" fontId="78" fillId="0" borderId="0"/>
    <xf numFmtId="187" fontId="78" fillId="0" borderId="0"/>
    <xf numFmtId="187" fontId="86" fillId="0" borderId="0"/>
    <xf numFmtId="187" fontId="86" fillId="0" borderId="0"/>
    <xf numFmtId="187" fontId="86" fillId="0" borderId="0"/>
    <xf numFmtId="187" fontId="86" fillId="0" borderId="0"/>
    <xf numFmtId="187" fontId="86" fillId="0" borderId="0"/>
    <xf numFmtId="187" fontId="86" fillId="0" borderId="0"/>
    <xf numFmtId="187" fontId="86" fillId="0" borderId="0"/>
    <xf numFmtId="187" fontId="86" fillId="0" borderId="0"/>
    <xf numFmtId="187" fontId="86" fillId="0" borderId="0"/>
    <xf numFmtId="187" fontId="86" fillId="0" borderId="0"/>
    <xf numFmtId="187" fontId="86" fillId="0" borderId="0"/>
    <xf numFmtId="187" fontId="78" fillId="0" borderId="0"/>
    <xf numFmtId="187" fontId="78" fillId="0" borderId="0"/>
    <xf numFmtId="187" fontId="78" fillId="0" borderId="0"/>
    <xf numFmtId="187" fontId="78"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86" fillId="0" borderId="0"/>
    <xf numFmtId="187" fontId="86" fillId="0" borderId="0"/>
    <xf numFmtId="187" fontId="86" fillId="0" borderId="0"/>
    <xf numFmtId="187" fontId="86" fillId="0" borderId="0"/>
    <xf numFmtId="187" fontId="86" fillId="0" borderId="0"/>
    <xf numFmtId="187" fontId="86"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86" fillId="0" borderId="0"/>
    <xf numFmtId="187" fontId="86"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78" fillId="0" borderId="0"/>
    <xf numFmtId="187" fontId="101" fillId="0" borderId="0" applyFill="0" applyBorder="0" applyAlignment="0" applyProtection="0"/>
    <xf numFmtId="187" fontId="23" fillId="0" borderId="0"/>
    <xf numFmtId="187" fontId="23"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xf numFmtId="187" fontId="101" fillId="0" borderId="0"/>
    <xf numFmtId="187" fontId="101" fillId="0" borderId="0"/>
    <xf numFmtId="187" fontId="101" fillId="0" borderId="0"/>
    <xf numFmtId="187" fontId="101" fillId="0" borderId="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applyFill="0" applyBorder="0" applyAlignment="0" applyProtection="0"/>
    <xf numFmtId="187" fontId="101" fillId="0" borderId="0" applyFill="0" applyBorder="0" applyAlignment="0" applyProtection="0"/>
    <xf numFmtId="187" fontId="101" fillId="0" borderId="0"/>
    <xf numFmtId="187" fontId="101" fillId="0" borderId="0"/>
    <xf numFmtId="187" fontId="11" fillId="0" borderId="0">
      <alignment vertical="top"/>
    </xf>
    <xf numFmtId="187" fontId="11" fillId="0" borderId="0">
      <alignment vertical="top"/>
    </xf>
    <xf numFmtId="187" fontId="116" fillId="0" borderId="0" applyFill="0" applyBorder="0">
      <protection locked="0"/>
    </xf>
    <xf numFmtId="187" fontId="117" fillId="57" borderId="39" applyNumberFormat="0" applyFont="0" applyAlignment="0" applyProtection="0"/>
    <xf numFmtId="187" fontId="117" fillId="57" borderId="39" applyNumberFormat="0" applyFont="0" applyAlignment="0" applyProtection="0"/>
    <xf numFmtId="187" fontId="117" fillId="57" borderId="39" applyNumberFormat="0" applyFont="0" applyAlignment="0" applyProtection="0"/>
    <xf numFmtId="187" fontId="117" fillId="57" borderId="39" applyNumberFormat="0" applyFont="0" applyAlignment="0" applyProtection="0"/>
    <xf numFmtId="187" fontId="117" fillId="57" borderId="39" applyNumberFormat="0" applyFont="0" applyAlignment="0" applyProtection="0"/>
    <xf numFmtId="187" fontId="117" fillId="57" borderId="39" applyNumberFormat="0" applyFont="0" applyAlignment="0" applyProtection="0"/>
    <xf numFmtId="187" fontId="117" fillId="57" borderId="39" applyNumberFormat="0" applyFont="0" applyAlignment="0" applyProtection="0"/>
    <xf numFmtId="187" fontId="117" fillId="57" borderId="39" applyNumberFormat="0" applyFont="0" applyAlignment="0" applyProtection="0"/>
    <xf numFmtId="187" fontId="117" fillId="57" borderId="39" applyNumberFormat="0" applyFont="0" applyAlignment="0" applyProtection="0"/>
    <xf numFmtId="187" fontId="118" fillId="61" borderId="45" applyNumberFormat="0" applyAlignment="0" applyProtection="0"/>
    <xf numFmtId="187" fontId="118" fillId="61" borderId="45" applyNumberFormat="0" applyAlignment="0" applyProtection="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78"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99"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78"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190" fontId="23" fillId="66" borderId="1">
      <alignment vertical="center"/>
    </xf>
    <xf numFmtId="191" fontId="23" fillId="66" borderId="1">
      <alignment vertical="center"/>
    </xf>
    <xf numFmtId="191" fontId="23" fillId="66" borderId="1">
      <alignment vertical="center"/>
    </xf>
    <xf numFmtId="187" fontId="23" fillId="66" borderId="1">
      <alignment vertical="center"/>
    </xf>
    <xf numFmtId="187" fontId="23" fillId="66" borderId="1">
      <alignment vertical="center"/>
    </xf>
    <xf numFmtId="187" fontId="23" fillId="66" borderId="1">
      <alignment vertical="center"/>
    </xf>
    <xf numFmtId="187" fontId="23" fillId="66" borderId="1">
      <alignment vertical="center"/>
    </xf>
    <xf numFmtId="173" fontId="23" fillId="66" borderId="1">
      <alignment vertical="center"/>
    </xf>
    <xf numFmtId="173" fontId="23" fillId="66" borderId="1">
      <alignment vertical="center"/>
    </xf>
    <xf numFmtId="190" fontId="23" fillId="66" borderId="1">
      <alignment vertical="center"/>
    </xf>
    <xf numFmtId="187" fontId="119" fillId="0" borderId="0"/>
    <xf numFmtId="192" fontId="23" fillId="0" borderId="0">
      <protection locked="0"/>
    </xf>
    <xf numFmtId="192" fontId="23" fillId="0" borderId="0">
      <protection locked="0"/>
    </xf>
    <xf numFmtId="191" fontId="23" fillId="28" borderId="1">
      <alignment vertical="center"/>
      <protection locked="0"/>
    </xf>
    <xf numFmtId="193" fontId="23" fillId="28" borderId="1">
      <alignment vertical="center"/>
      <protection locked="0"/>
    </xf>
    <xf numFmtId="187" fontId="23" fillId="28" borderId="1">
      <alignment vertical="center"/>
      <protection locked="0"/>
    </xf>
    <xf numFmtId="187" fontId="23" fillId="28" borderId="1">
      <alignment vertical="center"/>
      <protection locked="0"/>
    </xf>
    <xf numFmtId="193" fontId="23" fillId="28" borderId="1">
      <alignment vertical="center"/>
      <protection locked="0"/>
    </xf>
    <xf numFmtId="193" fontId="23" fillId="28" borderId="1">
      <alignment vertical="center"/>
      <protection locked="0"/>
    </xf>
    <xf numFmtId="187" fontId="23" fillId="28" borderId="1">
      <alignment vertical="center"/>
      <protection locked="0"/>
    </xf>
    <xf numFmtId="187" fontId="23" fillId="28" borderId="1">
      <alignment vertical="center"/>
      <protection locked="0"/>
    </xf>
    <xf numFmtId="193" fontId="23" fillId="28" borderId="1">
      <alignment vertical="center"/>
      <protection locked="0"/>
    </xf>
    <xf numFmtId="191" fontId="23" fillId="28" borderId="1">
      <alignment vertical="center"/>
      <protection locked="0"/>
    </xf>
    <xf numFmtId="191" fontId="23" fillId="28" borderId="1">
      <alignment vertical="center"/>
      <protection locked="0"/>
    </xf>
    <xf numFmtId="169" fontId="23" fillId="28" borderId="1">
      <alignment vertical="center"/>
      <protection locked="0"/>
    </xf>
    <xf numFmtId="169" fontId="23" fillId="28" borderId="1">
      <alignment vertical="center"/>
      <protection locked="0"/>
    </xf>
    <xf numFmtId="169" fontId="23" fillId="28" borderId="1">
      <alignment vertical="center"/>
      <protection locked="0"/>
    </xf>
    <xf numFmtId="169" fontId="23" fillId="28" borderId="1">
      <alignment vertical="center"/>
      <protection locked="0"/>
    </xf>
    <xf numFmtId="191" fontId="23" fillId="28" borderId="1">
      <alignment vertical="center"/>
      <protection locked="0"/>
    </xf>
    <xf numFmtId="191" fontId="23" fillId="67" borderId="1">
      <alignment vertical="center"/>
    </xf>
    <xf numFmtId="191" fontId="23" fillId="67" borderId="1">
      <alignment vertical="center"/>
    </xf>
    <xf numFmtId="193" fontId="23" fillId="67" borderId="1">
      <alignment vertical="center"/>
    </xf>
    <xf numFmtId="193" fontId="23" fillId="67" borderId="1">
      <alignment vertical="center"/>
    </xf>
    <xf numFmtId="193" fontId="23" fillId="67" borderId="1">
      <alignment vertical="center"/>
    </xf>
    <xf numFmtId="193" fontId="23" fillId="67" borderId="1">
      <alignment vertical="center"/>
    </xf>
    <xf numFmtId="173" fontId="23" fillId="67" borderId="1">
      <alignment vertical="center"/>
    </xf>
    <xf numFmtId="190" fontId="23" fillId="67" borderId="1">
      <alignment vertical="center"/>
    </xf>
    <xf numFmtId="187" fontId="23" fillId="67" borderId="1">
      <alignment vertical="center"/>
    </xf>
    <xf numFmtId="187" fontId="23" fillId="67" borderId="1">
      <alignment vertical="center"/>
    </xf>
    <xf numFmtId="187" fontId="23" fillId="67" borderId="1">
      <alignment vertical="center"/>
    </xf>
    <xf numFmtId="187" fontId="23" fillId="67" borderId="1">
      <alignment vertical="center"/>
    </xf>
    <xf numFmtId="191" fontId="23" fillId="67" borderId="1">
      <alignment vertical="center"/>
    </xf>
    <xf numFmtId="191" fontId="23" fillId="67" borderId="1">
      <alignment vertical="center"/>
    </xf>
    <xf numFmtId="191" fontId="23" fillId="67" borderId="1">
      <alignment vertical="center"/>
    </xf>
    <xf numFmtId="191" fontId="23" fillId="67" borderId="1">
      <alignment vertical="center"/>
    </xf>
    <xf numFmtId="191" fontId="23" fillId="68" borderId="1">
      <alignment horizontal="right" vertical="center"/>
      <protection locked="0"/>
    </xf>
    <xf numFmtId="187" fontId="23" fillId="68" borderId="1">
      <alignment horizontal="right" vertical="center"/>
      <protection locked="0"/>
    </xf>
    <xf numFmtId="187" fontId="23" fillId="68" borderId="1">
      <alignment horizontal="right" vertical="center"/>
      <protection locked="0"/>
    </xf>
    <xf numFmtId="190" fontId="23" fillId="68" borderId="1">
      <alignment horizontal="right" vertical="center"/>
      <protection locked="0"/>
    </xf>
    <xf numFmtId="173" fontId="23" fillId="68" borderId="1">
      <alignment horizontal="right" vertical="center"/>
      <protection locked="0"/>
    </xf>
    <xf numFmtId="190" fontId="23" fillId="68" borderId="1">
      <alignment horizontal="right" vertical="center"/>
      <protection locked="0"/>
    </xf>
    <xf numFmtId="191" fontId="23" fillId="68" borderId="1">
      <alignment horizontal="right" vertical="center"/>
      <protection locked="0"/>
    </xf>
    <xf numFmtId="191" fontId="23" fillId="68" borderId="1">
      <alignment horizontal="right" vertical="center"/>
      <protection locked="0"/>
    </xf>
    <xf numFmtId="191" fontId="23" fillId="68" borderId="1">
      <alignment horizontal="right" vertical="center"/>
      <protection locked="0"/>
    </xf>
    <xf numFmtId="4" fontId="117" fillId="69" borderId="39" applyNumberFormat="0" applyProtection="0">
      <alignment vertical="center"/>
    </xf>
    <xf numFmtId="4" fontId="120" fillId="6" borderId="39" applyNumberFormat="0" applyProtection="0">
      <alignment vertical="center"/>
    </xf>
    <xf numFmtId="4" fontId="117" fillId="6" borderId="39" applyNumberFormat="0" applyProtection="0">
      <alignment horizontal="left" vertical="center" indent="1"/>
    </xf>
    <xf numFmtId="187" fontId="121" fillId="69" borderId="46" applyNumberFormat="0" applyProtection="0">
      <alignment horizontal="left" vertical="top" indent="1"/>
    </xf>
    <xf numFmtId="4" fontId="117" fillId="70" borderId="39" applyNumberFormat="0" applyProtection="0">
      <alignment horizontal="left" vertical="center" indent="1"/>
    </xf>
    <xf numFmtId="4" fontId="117" fillId="71" borderId="39" applyNumberFormat="0" applyProtection="0">
      <alignment horizontal="right" vertical="center"/>
    </xf>
    <xf numFmtId="4" fontId="117" fillId="72" borderId="39" applyNumberFormat="0" applyProtection="0">
      <alignment horizontal="right" vertical="center"/>
    </xf>
    <xf numFmtId="4" fontId="117" fillId="73" borderId="47" applyNumberFormat="0" applyProtection="0">
      <alignment horizontal="right" vertical="center"/>
    </xf>
    <xf numFmtId="4" fontId="117" fillId="40" borderId="39" applyNumberFormat="0" applyProtection="0">
      <alignment horizontal="right" vertical="center"/>
    </xf>
    <xf numFmtId="4" fontId="117" fillId="74" borderId="39" applyNumberFormat="0" applyProtection="0">
      <alignment horizontal="right" vertical="center"/>
    </xf>
    <xf numFmtId="4" fontId="117" fillId="75" borderId="39" applyNumberFormat="0" applyProtection="0">
      <alignment horizontal="right" vertical="center"/>
    </xf>
    <xf numFmtId="4" fontId="117" fillId="36" borderId="39" applyNumberFormat="0" applyProtection="0">
      <alignment horizontal="right" vertical="center"/>
    </xf>
    <xf numFmtId="4" fontId="117" fillId="33" borderId="39" applyNumberFormat="0" applyProtection="0">
      <alignment horizontal="right" vertical="center"/>
    </xf>
    <xf numFmtId="4" fontId="117" fillId="76" borderId="39" applyNumberFormat="0" applyProtection="0">
      <alignment horizontal="right" vertical="center"/>
    </xf>
    <xf numFmtId="4" fontId="117" fillId="77" borderId="47" applyNumberFormat="0" applyProtection="0">
      <alignment horizontal="left" vertical="center" indent="1"/>
    </xf>
    <xf numFmtId="4" fontId="78" fillId="38" borderId="47" applyNumberFormat="0" applyProtection="0">
      <alignment horizontal="left" vertical="center" indent="1"/>
    </xf>
    <xf numFmtId="4" fontId="78" fillId="38" borderId="47" applyNumberFormat="0" applyProtection="0">
      <alignment horizontal="left" vertical="center" indent="1"/>
    </xf>
    <xf numFmtId="4" fontId="117" fillId="32" borderId="39" applyNumberFormat="0" applyProtection="0">
      <alignment horizontal="right" vertical="center"/>
    </xf>
    <xf numFmtId="4" fontId="117" fillId="31" borderId="47" applyNumberFormat="0" applyProtection="0">
      <alignment horizontal="left" vertical="center" indent="1"/>
    </xf>
    <xf numFmtId="4" fontId="99" fillId="31" borderId="0" applyNumberFormat="0" applyProtection="0">
      <alignment horizontal="left" vertical="center" indent="1"/>
    </xf>
    <xf numFmtId="4" fontId="117" fillId="31" borderId="47" applyNumberFormat="0" applyProtection="0">
      <alignment horizontal="left" vertical="center" indent="1"/>
    </xf>
    <xf numFmtId="4" fontId="117" fillId="32" borderId="47" applyNumberFormat="0" applyProtection="0">
      <alignment horizontal="left" vertical="center" indent="1"/>
    </xf>
    <xf numFmtId="4" fontId="99" fillId="32" borderId="0" applyNumberFormat="0" applyProtection="0">
      <alignment horizontal="left" vertical="center" indent="1"/>
    </xf>
    <xf numFmtId="4" fontId="117" fillId="32" borderId="47" applyNumberFormat="0" applyProtection="0">
      <alignment horizontal="left" vertical="center" indent="1"/>
    </xf>
    <xf numFmtId="187" fontId="117" fillId="27" borderId="39" applyNumberFormat="0" applyProtection="0">
      <alignment horizontal="left" vertical="center" indent="1"/>
    </xf>
    <xf numFmtId="187" fontId="78" fillId="38" borderId="46" applyNumberFormat="0" applyProtection="0">
      <alignment horizontal="left" vertical="center" indent="1"/>
    </xf>
    <xf numFmtId="187" fontId="117" fillId="27" borderId="39" applyNumberFormat="0" applyProtection="0">
      <alignment horizontal="left" vertical="center" indent="1"/>
    </xf>
    <xf numFmtId="187" fontId="117" fillId="38" borderId="46" applyNumberFormat="0" applyProtection="0">
      <alignment horizontal="left" vertical="top" indent="1"/>
    </xf>
    <xf numFmtId="187" fontId="78" fillId="38" borderId="46" applyNumberFormat="0" applyProtection="0">
      <alignment horizontal="left" vertical="top" indent="1"/>
    </xf>
    <xf numFmtId="187" fontId="117" fillId="38" borderId="46" applyNumberFormat="0" applyProtection="0">
      <alignment horizontal="left" vertical="top" indent="1"/>
    </xf>
    <xf numFmtId="187" fontId="117" fillId="38" borderId="46" applyNumberFormat="0" applyProtection="0">
      <alignment horizontal="left" vertical="top" indent="1"/>
    </xf>
    <xf numFmtId="187" fontId="117" fillId="38" borderId="46" applyNumberFormat="0" applyProtection="0">
      <alignment horizontal="left" vertical="top" indent="1"/>
    </xf>
    <xf numFmtId="187" fontId="117" fillId="38" borderId="46" applyNumberFormat="0" applyProtection="0">
      <alignment horizontal="left" vertical="top" indent="1"/>
    </xf>
    <xf numFmtId="187" fontId="117" fillId="38" borderId="46" applyNumberFormat="0" applyProtection="0">
      <alignment horizontal="left" vertical="top" indent="1"/>
    </xf>
    <xf numFmtId="187" fontId="117" fillId="38" borderId="46" applyNumberFormat="0" applyProtection="0">
      <alignment horizontal="left" vertical="top" indent="1"/>
    </xf>
    <xf numFmtId="187" fontId="117" fillId="38" borderId="46" applyNumberFormat="0" applyProtection="0">
      <alignment horizontal="left" vertical="top" indent="1"/>
    </xf>
    <xf numFmtId="187" fontId="117" fillId="38" borderId="46" applyNumberFormat="0" applyProtection="0">
      <alignment horizontal="left" vertical="top" indent="1"/>
    </xf>
    <xf numFmtId="187" fontId="117" fillId="38" borderId="46" applyNumberFormat="0" applyProtection="0">
      <alignment horizontal="left" vertical="top" indent="1"/>
    </xf>
    <xf numFmtId="187" fontId="117" fillId="78" borderId="39" applyNumberFormat="0" applyProtection="0">
      <alignment horizontal="left" vertical="center" indent="1"/>
    </xf>
    <xf numFmtId="187" fontId="78" fillId="32" borderId="46" applyNumberFormat="0" applyProtection="0">
      <alignment horizontal="left" vertical="center" indent="1"/>
    </xf>
    <xf numFmtId="187" fontId="117" fillId="78" borderId="39" applyNumberFormat="0" applyProtection="0">
      <alignment horizontal="left" vertical="center" indent="1"/>
    </xf>
    <xf numFmtId="187" fontId="117" fillId="32" borderId="46" applyNumberFormat="0" applyProtection="0">
      <alignment horizontal="left" vertical="top" indent="1"/>
    </xf>
    <xf numFmtId="187" fontId="78" fillId="32" borderId="46" applyNumberFormat="0" applyProtection="0">
      <alignment horizontal="left" vertical="top" indent="1"/>
    </xf>
    <xf numFmtId="187" fontId="117" fillId="32" borderId="46" applyNumberFormat="0" applyProtection="0">
      <alignment horizontal="left" vertical="top" indent="1"/>
    </xf>
    <xf numFmtId="187" fontId="117" fillId="32" borderId="46" applyNumberFormat="0" applyProtection="0">
      <alignment horizontal="left" vertical="top" indent="1"/>
    </xf>
    <xf numFmtId="187" fontId="117" fillId="32" borderId="46" applyNumberFormat="0" applyProtection="0">
      <alignment horizontal="left" vertical="top" indent="1"/>
    </xf>
    <xf numFmtId="187" fontId="117" fillId="32" borderId="46" applyNumberFormat="0" applyProtection="0">
      <alignment horizontal="left" vertical="top" indent="1"/>
    </xf>
    <xf numFmtId="187" fontId="117" fillId="32" borderId="46" applyNumberFormat="0" applyProtection="0">
      <alignment horizontal="left" vertical="top" indent="1"/>
    </xf>
    <xf numFmtId="187" fontId="117" fillId="32" borderId="46" applyNumberFormat="0" applyProtection="0">
      <alignment horizontal="left" vertical="top" indent="1"/>
    </xf>
    <xf numFmtId="187" fontId="117" fillId="32" borderId="46" applyNumberFormat="0" applyProtection="0">
      <alignment horizontal="left" vertical="top" indent="1"/>
    </xf>
    <xf numFmtId="187" fontId="117" fillId="32" borderId="46" applyNumberFormat="0" applyProtection="0">
      <alignment horizontal="left" vertical="top" indent="1"/>
    </xf>
    <xf numFmtId="187" fontId="117" fillId="32" borderId="46" applyNumberFormat="0" applyProtection="0">
      <alignment horizontal="left" vertical="top" indent="1"/>
    </xf>
    <xf numFmtId="187" fontId="117" fillId="79" borderId="39" applyNumberFormat="0" applyProtection="0">
      <alignment horizontal="left" vertical="center" indent="1"/>
    </xf>
    <xf numFmtId="187" fontId="78" fillId="79" borderId="46" applyNumberFormat="0" applyProtection="0">
      <alignment horizontal="left" vertical="center" indent="1"/>
    </xf>
    <xf numFmtId="187" fontId="117" fillId="79" borderId="39" applyNumberFormat="0" applyProtection="0">
      <alignment horizontal="left" vertical="center" indent="1"/>
    </xf>
    <xf numFmtId="187" fontId="117" fillId="79" borderId="46" applyNumberFormat="0" applyProtection="0">
      <alignment horizontal="left" vertical="top" indent="1"/>
    </xf>
    <xf numFmtId="187" fontId="78" fillId="79" borderId="46" applyNumberFormat="0" applyProtection="0">
      <alignment horizontal="left" vertical="top" indent="1"/>
    </xf>
    <xf numFmtId="187" fontId="117" fillId="79" borderId="46" applyNumberFormat="0" applyProtection="0">
      <alignment horizontal="left" vertical="top" indent="1"/>
    </xf>
    <xf numFmtId="187" fontId="117" fillId="79" borderId="46" applyNumberFormat="0" applyProtection="0">
      <alignment horizontal="left" vertical="top" indent="1"/>
    </xf>
    <xf numFmtId="187" fontId="117" fillId="79" borderId="46" applyNumberFormat="0" applyProtection="0">
      <alignment horizontal="left" vertical="top" indent="1"/>
    </xf>
    <xf numFmtId="187" fontId="117" fillId="79" borderId="46" applyNumberFormat="0" applyProtection="0">
      <alignment horizontal="left" vertical="top" indent="1"/>
    </xf>
    <xf numFmtId="187" fontId="117" fillId="79" borderId="46" applyNumberFormat="0" applyProtection="0">
      <alignment horizontal="left" vertical="top" indent="1"/>
    </xf>
    <xf numFmtId="187" fontId="117" fillId="79" borderId="46" applyNumberFormat="0" applyProtection="0">
      <alignment horizontal="left" vertical="top" indent="1"/>
    </xf>
    <xf numFmtId="187" fontId="117" fillId="79" borderId="46" applyNumberFormat="0" applyProtection="0">
      <alignment horizontal="left" vertical="top" indent="1"/>
    </xf>
    <xf numFmtId="187" fontId="117" fillId="79" borderId="46" applyNumberFormat="0" applyProtection="0">
      <alignment horizontal="left" vertical="top" indent="1"/>
    </xf>
    <xf numFmtId="187" fontId="117" fillId="79" borderId="46" applyNumberFormat="0" applyProtection="0">
      <alignment horizontal="left" vertical="top" indent="1"/>
    </xf>
    <xf numFmtId="187" fontId="117" fillId="31" borderId="39" applyNumberFormat="0" applyProtection="0">
      <alignment horizontal="left" vertical="center" indent="1"/>
    </xf>
    <xf numFmtId="187" fontId="78" fillId="31" borderId="46" applyNumberFormat="0" applyProtection="0">
      <alignment horizontal="left" vertical="center" indent="1"/>
    </xf>
    <xf numFmtId="187" fontId="117" fillId="31" borderId="39" applyNumberFormat="0" applyProtection="0">
      <alignment horizontal="left" vertical="center" indent="1"/>
    </xf>
    <xf numFmtId="187" fontId="117" fillId="31" borderId="46" applyNumberFormat="0" applyProtection="0">
      <alignment horizontal="left" vertical="top" indent="1"/>
    </xf>
    <xf numFmtId="187" fontId="78" fillId="31" borderId="46" applyNumberFormat="0" applyProtection="0">
      <alignment horizontal="left" vertical="top" indent="1"/>
    </xf>
    <xf numFmtId="187" fontId="117" fillId="31" borderId="46" applyNumberFormat="0" applyProtection="0">
      <alignment horizontal="left" vertical="top" indent="1"/>
    </xf>
    <xf numFmtId="187" fontId="117" fillId="31" borderId="46" applyNumberFormat="0" applyProtection="0">
      <alignment horizontal="left" vertical="top" indent="1"/>
    </xf>
    <xf numFmtId="187" fontId="117" fillId="31" borderId="46" applyNumberFormat="0" applyProtection="0">
      <alignment horizontal="left" vertical="top" indent="1"/>
    </xf>
    <xf numFmtId="187" fontId="117" fillId="31" borderId="46" applyNumberFormat="0" applyProtection="0">
      <alignment horizontal="left" vertical="top" indent="1"/>
    </xf>
    <xf numFmtId="187" fontId="117" fillId="31" borderId="46" applyNumberFormat="0" applyProtection="0">
      <alignment horizontal="left" vertical="top" indent="1"/>
    </xf>
    <xf numFmtId="187" fontId="117" fillId="31" borderId="46" applyNumberFormat="0" applyProtection="0">
      <alignment horizontal="left" vertical="top" indent="1"/>
    </xf>
    <xf numFmtId="187" fontId="117" fillId="31" borderId="46" applyNumberFormat="0" applyProtection="0">
      <alignment horizontal="left" vertical="top" indent="1"/>
    </xf>
    <xf numFmtId="187" fontId="117" fillId="31" borderId="46" applyNumberFormat="0" applyProtection="0">
      <alignment horizontal="left" vertical="top" indent="1"/>
    </xf>
    <xf numFmtId="187" fontId="117" fillId="31" borderId="46" applyNumberFormat="0" applyProtection="0">
      <alignment horizontal="left" vertical="top" indent="1"/>
    </xf>
    <xf numFmtId="187" fontId="117" fillId="80" borderId="48" applyNumberFormat="0">
      <protection locked="0"/>
    </xf>
    <xf numFmtId="187" fontId="78" fillId="80" borderId="1" applyNumberFormat="0">
      <protection locked="0"/>
    </xf>
    <xf numFmtId="187" fontId="117" fillId="80" borderId="48" applyNumberFormat="0">
      <protection locked="0"/>
    </xf>
    <xf numFmtId="187" fontId="117" fillId="80" borderId="48" applyNumberFormat="0">
      <protection locked="0"/>
    </xf>
    <xf numFmtId="187" fontId="117" fillId="80" borderId="48" applyNumberFormat="0">
      <protection locked="0"/>
    </xf>
    <xf numFmtId="187" fontId="117" fillId="80" borderId="48" applyNumberFormat="0">
      <protection locked="0"/>
    </xf>
    <xf numFmtId="187" fontId="117" fillId="80" borderId="48" applyNumberFormat="0">
      <protection locked="0"/>
    </xf>
    <xf numFmtId="187" fontId="117" fillId="80" borderId="48" applyNumberFormat="0">
      <protection locked="0"/>
    </xf>
    <xf numFmtId="187" fontId="117" fillId="80" borderId="48" applyNumberFormat="0">
      <protection locked="0"/>
    </xf>
    <xf numFmtId="187" fontId="117" fillId="80" borderId="48" applyNumberFormat="0">
      <protection locked="0"/>
    </xf>
    <xf numFmtId="187" fontId="117" fillId="80" borderId="48" applyNumberFormat="0">
      <protection locked="0"/>
    </xf>
    <xf numFmtId="187" fontId="122" fillId="38" borderId="49" applyBorder="0"/>
    <xf numFmtId="4" fontId="123" fillId="65" borderId="46" applyNumberFormat="0" applyProtection="0">
      <alignment vertical="center"/>
    </xf>
    <xf numFmtId="4" fontId="120" fillId="28" borderId="1" applyNumberFormat="0" applyProtection="0">
      <alignment vertical="center"/>
    </xf>
    <xf numFmtId="4" fontId="123" fillId="27" borderId="46" applyNumberFormat="0" applyProtection="0">
      <alignment horizontal="left" vertical="center" indent="1"/>
    </xf>
    <xf numFmtId="187" fontId="123" fillId="65" borderId="46" applyNumberFormat="0" applyProtection="0">
      <alignment horizontal="left" vertical="top" indent="1"/>
    </xf>
    <xf numFmtId="4" fontId="117" fillId="0" borderId="39" applyNumberFormat="0" applyProtection="0">
      <alignment horizontal="right" vertical="center"/>
    </xf>
    <xf numFmtId="4" fontId="120" fillId="3" borderId="39" applyNumberFormat="0" applyProtection="0">
      <alignment horizontal="right" vertical="center"/>
    </xf>
    <xf numFmtId="4" fontId="117" fillId="70" borderId="39" applyNumberFormat="0" applyProtection="0">
      <alignment horizontal="left" vertical="center" indent="1"/>
    </xf>
    <xf numFmtId="187" fontId="123" fillId="32" borderId="46" applyNumberFormat="0" applyProtection="0">
      <alignment horizontal="left" vertical="top" indent="1"/>
    </xf>
    <xf numFmtId="4" fontId="124" fillId="81" borderId="47" applyNumberFormat="0" applyProtection="0">
      <alignment horizontal="left" vertical="center" indent="1"/>
    </xf>
    <xf numFmtId="187" fontId="117" fillId="82" borderId="1"/>
    <xf numFmtId="4" fontId="125" fillId="80" borderId="39" applyNumberFormat="0" applyProtection="0">
      <alignment horizontal="right" vertical="center"/>
    </xf>
    <xf numFmtId="187" fontId="126" fillId="0" borderId="0" applyNumberFormat="0" applyFill="0" applyBorder="0" applyAlignment="0" applyProtection="0"/>
    <xf numFmtId="187" fontId="78" fillId="83" borderId="0"/>
    <xf numFmtId="187" fontId="78" fillId="0" borderId="0" applyFont="0" applyFill="0" applyBorder="0" applyAlignment="0" applyProtection="0"/>
    <xf numFmtId="37" fontId="97" fillId="0" borderId="25" applyNumberFormat="0"/>
    <xf numFmtId="187" fontId="127" fillId="0" borderId="50" applyNumberFormat="0" applyAlignment="0" applyProtection="0"/>
    <xf numFmtId="187" fontId="126" fillId="0" borderId="0" applyNumberFormat="0" applyFill="0" applyBorder="0" applyAlignment="0" applyProtection="0"/>
    <xf numFmtId="187" fontId="126" fillId="0" borderId="0" applyNumberFormat="0" applyFill="0" applyBorder="0" applyAlignment="0" applyProtection="0"/>
    <xf numFmtId="188" fontId="97" fillId="0" borderId="31" applyFill="0"/>
    <xf numFmtId="187" fontId="106" fillId="0" borderId="51" applyNumberFormat="0" applyFill="0" applyAlignment="0" applyProtection="0"/>
    <xf numFmtId="187" fontId="106" fillId="0" borderId="51" applyNumberFormat="0" applyFill="0" applyAlignment="0" applyProtection="0"/>
    <xf numFmtId="37" fontId="97" fillId="0" borderId="33" applyNumberFormat="0" applyFill="0"/>
    <xf numFmtId="164" fontId="78" fillId="0" borderId="0" applyFont="0" applyFill="0" applyBorder="0" applyAlignment="0" applyProtection="0"/>
    <xf numFmtId="166" fontId="78" fillId="0" borderId="0" applyFont="0" applyFill="0" applyBorder="0" applyAlignment="0" applyProtection="0"/>
    <xf numFmtId="187" fontId="128" fillId="0" borderId="0" applyNumberFormat="0" applyFill="0" applyBorder="0" applyAlignment="0" applyProtection="0"/>
    <xf numFmtId="187" fontId="128" fillId="0" borderId="0" applyNumberFormat="0" applyFill="0" applyBorder="0" applyAlignment="0" applyProtection="0"/>
    <xf numFmtId="187" fontId="78" fillId="65" borderId="0" applyNumberFormat="0" applyFont="0" applyBorder="0" applyAlignment="0" applyProtection="0"/>
    <xf numFmtId="187" fontId="78" fillId="65" borderId="0" applyNumberFormat="0" applyFont="0" applyBorder="0" applyAlignment="0" applyProtection="0"/>
    <xf numFmtId="187" fontId="78" fillId="65" borderId="0" applyNumberFormat="0" applyFont="0" applyBorder="0" applyAlignment="0" applyProtection="0"/>
    <xf numFmtId="187" fontId="78" fillId="65" borderId="0" applyNumberFormat="0" applyFont="0" applyBorder="0" applyAlignment="0" applyProtection="0"/>
    <xf numFmtId="187" fontId="78" fillId="65" borderId="0" applyNumberFormat="0" applyFont="0" applyBorder="0" applyAlignment="0" applyProtection="0"/>
    <xf numFmtId="187" fontId="78" fillId="65" borderId="0" applyNumberFormat="0" applyFont="0" applyBorder="0" applyAlignment="0" applyProtection="0"/>
    <xf numFmtId="187" fontId="78" fillId="65" borderId="0" applyNumberFormat="0" applyFont="0" applyBorder="0" applyAlignment="0" applyProtection="0"/>
    <xf numFmtId="187" fontId="78" fillId="65" borderId="0" applyNumberFormat="0" applyFont="0" applyBorder="0" applyAlignment="0" applyProtection="0"/>
    <xf numFmtId="187" fontId="78" fillId="65" borderId="0" applyNumberFormat="0" applyFont="0" applyBorder="0" applyAlignment="0" applyProtection="0"/>
    <xf numFmtId="10" fontId="94" fillId="0" borderId="0" applyFont="0" applyFill="0" applyBorder="0" applyAlignment="0" applyProtection="0">
      <alignment vertical="center"/>
    </xf>
    <xf numFmtId="0" fontId="3" fillId="0" borderId="0"/>
    <xf numFmtId="0" fontId="11" fillId="0" borderId="0"/>
    <xf numFmtId="187" fontId="23" fillId="28" borderId="53">
      <alignment vertical="center"/>
      <protection locked="0"/>
    </xf>
    <xf numFmtId="191" fontId="23" fillId="68" borderId="53">
      <alignment horizontal="right" vertical="center"/>
      <protection locked="0"/>
    </xf>
    <xf numFmtId="4" fontId="117" fillId="6" borderId="55" applyNumberFormat="0" applyProtection="0">
      <alignment horizontal="left" vertical="center" indent="1"/>
    </xf>
    <xf numFmtId="169" fontId="23" fillId="28" borderId="53">
      <alignment vertical="center"/>
      <protection locked="0"/>
    </xf>
    <xf numFmtId="187" fontId="78" fillId="0" borderId="0">
      <alignment vertical="center"/>
    </xf>
    <xf numFmtId="187" fontId="118" fillId="61" borderId="67" applyNumberFormat="0" applyAlignment="0" applyProtection="0"/>
    <xf numFmtId="187" fontId="118" fillId="61" borderId="67" applyNumberFormat="0" applyAlignment="0" applyProtection="0"/>
    <xf numFmtId="187" fontId="117" fillId="57" borderId="66" applyNumberFormat="0" applyFont="0" applyAlignment="0" applyProtection="0"/>
    <xf numFmtId="187" fontId="117" fillId="57" borderId="66" applyNumberFormat="0" applyFont="0" applyAlignment="0" applyProtection="0"/>
    <xf numFmtId="187" fontId="117" fillId="57" borderId="66" applyNumberFormat="0" applyFont="0" applyAlignment="0" applyProtection="0"/>
    <xf numFmtId="187" fontId="117" fillId="57" borderId="66" applyNumberFormat="0" applyFont="0" applyAlignment="0" applyProtection="0"/>
    <xf numFmtId="187" fontId="117" fillId="57" borderId="66" applyNumberFormat="0" applyFont="0" applyAlignment="0" applyProtection="0"/>
    <xf numFmtId="187" fontId="117" fillId="57" borderId="66" applyNumberFormat="0" applyFont="0" applyAlignment="0" applyProtection="0"/>
    <xf numFmtId="187" fontId="117" fillId="57" borderId="66" applyNumberFormat="0" applyFont="0" applyAlignment="0" applyProtection="0"/>
    <xf numFmtId="187" fontId="117" fillId="57" borderId="66" applyNumberFormat="0" applyFont="0" applyAlignment="0" applyProtection="0"/>
    <xf numFmtId="187" fontId="117" fillId="57" borderId="66" applyNumberFormat="0" applyFont="0" applyAlignment="0" applyProtection="0"/>
    <xf numFmtId="187" fontId="118" fillId="61" borderId="83" applyNumberFormat="0" applyAlignment="0" applyProtection="0"/>
    <xf numFmtId="187" fontId="118" fillId="61" borderId="83" applyNumberFormat="0" applyAlignment="0" applyProtection="0"/>
    <xf numFmtId="187" fontId="117" fillId="57" borderId="82" applyNumberFormat="0" applyFont="0" applyAlignment="0" applyProtection="0"/>
    <xf numFmtId="187" fontId="117" fillId="57" borderId="82" applyNumberFormat="0" applyFont="0" applyAlignment="0" applyProtection="0"/>
    <xf numFmtId="187" fontId="117" fillId="57" borderId="82" applyNumberFormat="0" applyFont="0" applyAlignment="0" applyProtection="0"/>
    <xf numFmtId="187" fontId="117" fillId="57" borderId="82" applyNumberFormat="0" applyFont="0" applyAlignment="0" applyProtection="0"/>
    <xf numFmtId="187" fontId="117" fillId="57" borderId="82" applyNumberFormat="0" applyFont="0" applyAlignment="0" applyProtection="0"/>
    <xf numFmtId="187" fontId="117" fillId="57" borderId="82" applyNumberFormat="0" applyFont="0" applyAlignment="0" applyProtection="0"/>
    <xf numFmtId="187" fontId="117" fillId="57" borderId="82" applyNumberFormat="0" applyFont="0" applyAlignment="0" applyProtection="0"/>
    <xf numFmtId="187" fontId="117" fillId="57" borderId="82" applyNumberFormat="0" applyFont="0" applyAlignment="0" applyProtection="0"/>
    <xf numFmtId="172" fontId="3" fillId="0" borderId="0"/>
    <xf numFmtId="172" fontId="67" fillId="0" borderId="0" applyNumberFormat="0" applyFill="0" applyBorder="0" applyAlignment="0" applyProtection="0">
      <alignment vertical="top"/>
      <protection locked="0"/>
    </xf>
    <xf numFmtId="187" fontId="78" fillId="0" borderId="0">
      <alignment vertical="center"/>
    </xf>
    <xf numFmtId="187" fontId="78" fillId="0" borderId="0">
      <alignment vertical="center"/>
    </xf>
    <xf numFmtId="187" fontId="104" fillId="61" borderId="58" applyNumberFormat="0" applyAlignment="0" applyProtection="0"/>
    <xf numFmtId="187" fontId="104" fillId="61" borderId="58" applyNumberFormat="0" applyAlignment="0" applyProtection="0"/>
    <xf numFmtId="187" fontId="104" fillId="61" borderId="74" applyNumberFormat="0" applyAlignment="0" applyProtection="0"/>
    <xf numFmtId="187" fontId="104" fillId="61" borderId="55" applyNumberFormat="0" applyAlignment="0" applyProtection="0"/>
    <xf numFmtId="187" fontId="104" fillId="61" borderId="55" applyNumberFormat="0" applyAlignment="0" applyProtection="0"/>
    <xf numFmtId="187" fontId="104" fillId="61" borderId="52" applyNumberFormat="0" applyAlignment="0" applyProtection="0"/>
    <xf numFmtId="187" fontId="104" fillId="61" borderId="52" applyNumberFormat="0" applyAlignment="0" applyProtection="0"/>
    <xf numFmtId="187" fontId="112" fillId="58" borderId="58" applyNumberFormat="0" applyAlignment="0" applyProtection="0"/>
    <xf numFmtId="187" fontId="112" fillId="58" borderId="58" applyNumberFormat="0" applyAlignment="0" applyProtection="0"/>
    <xf numFmtId="187" fontId="112" fillId="58" borderId="74" applyNumberFormat="0" applyAlignment="0" applyProtection="0"/>
    <xf numFmtId="187" fontId="112" fillId="58" borderId="74" applyNumberFormat="0" applyAlignment="0" applyProtection="0"/>
    <xf numFmtId="187" fontId="112" fillId="58" borderId="55" applyNumberFormat="0" applyAlignment="0" applyProtection="0"/>
    <xf numFmtId="187" fontId="112" fillId="58" borderId="55" applyNumberFormat="0" applyAlignment="0" applyProtection="0"/>
    <xf numFmtId="187" fontId="112" fillId="58" borderId="52" applyNumberFormat="0" applyAlignment="0" applyProtection="0"/>
    <xf numFmtId="187" fontId="112" fillId="58" borderId="52" applyNumberFormat="0" applyAlignment="0" applyProtection="0"/>
    <xf numFmtId="187" fontId="112" fillId="58" borderId="82" applyNumberFormat="0" applyAlignment="0" applyProtection="0"/>
    <xf numFmtId="187" fontId="112" fillId="58" borderId="82" applyNumberFormat="0" applyAlignment="0" applyProtection="0"/>
    <xf numFmtId="187" fontId="112" fillId="58" borderId="66" applyNumberFormat="0" applyAlignment="0" applyProtection="0"/>
    <xf numFmtId="187" fontId="112" fillId="58" borderId="66" applyNumberFormat="0" applyAlignment="0" applyProtection="0"/>
    <xf numFmtId="187" fontId="104" fillId="61" borderId="82" applyNumberFormat="0" applyAlignment="0" applyProtection="0"/>
    <xf numFmtId="187" fontId="104" fillId="61" borderId="66" applyNumberFormat="0" applyAlignment="0" applyProtection="0"/>
    <xf numFmtId="187" fontId="104" fillId="61" borderId="66" applyNumberFormat="0" applyAlignment="0" applyProtection="0"/>
    <xf numFmtId="187" fontId="117" fillId="57" borderId="74" applyNumberFormat="0" applyFont="0" applyAlignment="0" applyProtection="0"/>
    <xf numFmtId="187" fontId="117" fillId="57" borderId="74" applyNumberFormat="0" applyFont="0" applyAlignment="0" applyProtection="0"/>
    <xf numFmtId="187" fontId="117" fillId="57" borderId="74" applyNumberFormat="0" applyFont="0" applyAlignment="0" applyProtection="0"/>
    <xf numFmtId="187" fontId="117" fillId="57" borderId="74" applyNumberFormat="0" applyFont="0" applyAlignment="0" applyProtection="0"/>
    <xf numFmtId="187" fontId="117" fillId="57" borderId="74" applyNumberFormat="0" applyFont="0" applyAlignment="0" applyProtection="0"/>
    <xf numFmtId="187" fontId="118" fillId="61" borderId="75" applyNumberFormat="0" applyAlignment="0" applyProtection="0"/>
    <xf numFmtId="187" fontId="118" fillId="61" borderId="75" applyNumberFormat="0" applyAlignment="0" applyProtection="0"/>
    <xf numFmtId="187" fontId="117" fillId="57" borderId="58" applyNumberFormat="0" applyFont="0" applyAlignment="0" applyProtection="0"/>
    <xf numFmtId="187" fontId="117" fillId="57" borderId="58" applyNumberFormat="0" applyFont="0" applyAlignment="0" applyProtection="0"/>
    <xf numFmtId="187" fontId="117" fillId="57" borderId="58" applyNumberFormat="0" applyFont="0" applyAlignment="0" applyProtection="0"/>
    <xf numFmtId="187" fontId="117" fillId="57" borderId="58" applyNumberFormat="0" applyFont="0" applyAlignment="0" applyProtection="0"/>
    <xf numFmtId="187" fontId="117" fillId="57" borderId="58" applyNumberFormat="0" applyFont="0" applyAlignment="0" applyProtection="0"/>
    <xf numFmtId="187" fontId="117" fillId="57" borderId="58" applyNumberFormat="0" applyFont="0" applyAlignment="0" applyProtection="0"/>
    <xf numFmtId="187" fontId="117" fillId="57" borderId="58" applyNumberFormat="0" applyFont="0" applyAlignment="0" applyProtection="0"/>
    <xf numFmtId="187" fontId="117" fillId="57" borderId="58" applyNumberFormat="0" applyFont="0" applyAlignment="0" applyProtection="0"/>
    <xf numFmtId="187" fontId="117" fillId="57" borderId="58" applyNumberFormat="0" applyFont="0" applyAlignment="0" applyProtection="0"/>
    <xf numFmtId="187" fontId="118" fillId="61" borderId="59" applyNumberFormat="0" applyAlignment="0" applyProtection="0"/>
    <xf numFmtId="187" fontId="118" fillId="61" borderId="59" applyNumberFormat="0" applyAlignment="0" applyProtection="0"/>
    <xf numFmtId="4" fontId="117" fillId="69" borderId="74" applyNumberFormat="0" applyProtection="0">
      <alignment vertical="center"/>
    </xf>
    <xf numFmtId="4" fontId="120" fillId="6" borderId="74" applyNumberFormat="0" applyProtection="0">
      <alignment vertical="center"/>
    </xf>
    <xf numFmtId="4" fontId="117" fillId="6" borderId="74" applyNumberFormat="0" applyProtection="0">
      <alignment horizontal="left" vertical="center" indent="1"/>
    </xf>
    <xf numFmtId="187" fontId="121" fillId="69" borderId="76" applyNumberFormat="0" applyProtection="0">
      <alignment horizontal="left" vertical="top" indent="1"/>
    </xf>
    <xf numFmtId="4" fontId="117" fillId="70" borderId="74" applyNumberFormat="0" applyProtection="0">
      <alignment horizontal="left" vertical="center" indent="1"/>
    </xf>
    <xf numFmtId="4" fontId="117" fillId="71" borderId="74" applyNumberFormat="0" applyProtection="0">
      <alignment horizontal="right" vertical="center"/>
    </xf>
    <xf numFmtId="4" fontId="117" fillId="72" borderId="74" applyNumberFormat="0" applyProtection="0">
      <alignment horizontal="right" vertical="center"/>
    </xf>
    <xf numFmtId="4" fontId="117" fillId="73" borderId="77" applyNumberFormat="0" applyProtection="0">
      <alignment horizontal="right" vertical="center"/>
    </xf>
    <xf numFmtId="4" fontId="117" fillId="40" borderId="74" applyNumberFormat="0" applyProtection="0">
      <alignment horizontal="right" vertical="center"/>
    </xf>
    <xf numFmtId="4" fontId="117" fillId="74" borderId="74" applyNumberFormat="0" applyProtection="0">
      <alignment horizontal="right" vertical="center"/>
    </xf>
    <xf numFmtId="4" fontId="117" fillId="75" borderId="74" applyNumberFormat="0" applyProtection="0">
      <alignment horizontal="right" vertical="center"/>
    </xf>
    <xf numFmtId="4" fontId="117" fillId="69" borderId="58" applyNumberFormat="0" applyProtection="0">
      <alignment vertical="center"/>
    </xf>
    <xf numFmtId="4" fontId="120" fillId="6" borderId="58" applyNumberFormat="0" applyProtection="0">
      <alignment vertical="center"/>
    </xf>
    <xf numFmtId="4" fontId="117" fillId="6" borderId="58" applyNumberFormat="0" applyProtection="0">
      <alignment horizontal="left" vertical="center" indent="1"/>
    </xf>
    <xf numFmtId="187" fontId="121" fillId="69" borderId="60" applyNumberFormat="0" applyProtection="0">
      <alignment horizontal="left" vertical="top" indent="1"/>
    </xf>
    <xf numFmtId="4" fontId="117" fillId="70" borderId="58" applyNumberFormat="0" applyProtection="0">
      <alignment horizontal="left" vertical="center" indent="1"/>
    </xf>
    <xf numFmtId="4" fontId="117" fillId="71" borderId="58" applyNumberFormat="0" applyProtection="0">
      <alignment horizontal="right" vertical="center"/>
    </xf>
    <xf numFmtId="4" fontId="117" fillId="72" borderId="58" applyNumberFormat="0" applyProtection="0">
      <alignment horizontal="right" vertical="center"/>
    </xf>
    <xf numFmtId="4" fontId="117" fillId="73" borderId="61" applyNumberFormat="0" applyProtection="0">
      <alignment horizontal="right" vertical="center"/>
    </xf>
    <xf numFmtId="4" fontId="117" fillId="40" borderId="58" applyNumberFormat="0" applyProtection="0">
      <alignment horizontal="right" vertical="center"/>
    </xf>
    <xf numFmtId="4" fontId="117" fillId="75" borderId="58" applyNumberFormat="0" applyProtection="0">
      <alignment horizontal="right" vertical="center"/>
    </xf>
    <xf numFmtId="4" fontId="117" fillId="36" borderId="58" applyNumberFormat="0" applyProtection="0">
      <alignment horizontal="right" vertical="center"/>
    </xf>
    <xf numFmtId="4" fontId="117" fillId="33" borderId="58" applyNumberFormat="0" applyProtection="0">
      <alignment horizontal="right" vertical="center"/>
    </xf>
    <xf numFmtId="4" fontId="117" fillId="76" borderId="58" applyNumberFormat="0" applyProtection="0">
      <alignment horizontal="right" vertical="center"/>
    </xf>
    <xf numFmtId="4" fontId="117" fillId="77" borderId="61" applyNumberFormat="0" applyProtection="0">
      <alignment horizontal="left" vertical="center" indent="1"/>
    </xf>
    <xf numFmtId="4" fontId="78" fillId="38" borderId="61" applyNumberFormat="0" applyProtection="0">
      <alignment horizontal="left" vertical="center" indent="1"/>
    </xf>
    <xf numFmtId="4" fontId="78" fillId="38" borderId="61" applyNumberFormat="0" applyProtection="0">
      <alignment horizontal="left" vertical="center" indent="1"/>
    </xf>
    <xf numFmtId="4" fontId="117" fillId="32" borderId="58" applyNumberFormat="0" applyProtection="0">
      <alignment horizontal="right" vertical="center"/>
    </xf>
    <xf numFmtId="4" fontId="117" fillId="31" borderId="61" applyNumberFormat="0" applyProtection="0">
      <alignment horizontal="left" vertical="center" indent="1"/>
    </xf>
    <xf numFmtId="187" fontId="117" fillId="57" borderId="55" applyNumberFormat="0" applyFont="0" applyAlignment="0" applyProtection="0"/>
    <xf numFmtId="187" fontId="117" fillId="57" borderId="55" applyNumberFormat="0" applyFont="0" applyAlignment="0" applyProtection="0"/>
    <xf numFmtId="187" fontId="117" fillId="57" borderId="55" applyNumberFormat="0" applyFont="0" applyAlignment="0" applyProtection="0"/>
    <xf numFmtId="187" fontId="117" fillId="57" borderId="55" applyNumberFormat="0" applyFont="0" applyAlignment="0" applyProtection="0"/>
    <xf numFmtId="187" fontId="117" fillId="57" borderId="55" applyNumberFormat="0" applyFont="0" applyAlignment="0" applyProtection="0"/>
    <xf numFmtId="187" fontId="117" fillId="57" borderId="55" applyNumberFormat="0" applyFont="0" applyAlignment="0" applyProtection="0"/>
    <xf numFmtId="187" fontId="117" fillId="57" borderId="55" applyNumberFormat="0" applyFont="0" applyAlignment="0" applyProtection="0"/>
    <xf numFmtId="187" fontId="117" fillId="57" borderId="55" applyNumberFormat="0" applyFont="0" applyAlignment="0" applyProtection="0"/>
    <xf numFmtId="187" fontId="117" fillId="57" borderId="55" applyNumberFormat="0" applyFont="0" applyAlignment="0" applyProtection="0"/>
    <xf numFmtId="4" fontId="117" fillId="32" borderId="61" applyNumberFormat="0" applyProtection="0">
      <alignment horizontal="left" vertical="center" indent="1"/>
    </xf>
    <xf numFmtId="4" fontId="117" fillId="33" borderId="74" applyNumberFormat="0" applyProtection="0">
      <alignment horizontal="right" vertical="center"/>
    </xf>
    <xf numFmtId="187" fontId="117" fillId="27" borderId="58" applyNumberFormat="0" applyProtection="0">
      <alignment horizontal="left" vertical="center" indent="1"/>
    </xf>
    <xf numFmtId="187" fontId="78" fillId="38" borderId="60" applyNumberFormat="0" applyProtection="0">
      <alignment horizontal="left" vertical="center" indent="1"/>
    </xf>
    <xf numFmtId="187" fontId="117" fillId="38" borderId="60" applyNumberFormat="0" applyProtection="0">
      <alignment horizontal="left" vertical="top" indent="1"/>
    </xf>
    <xf numFmtId="187" fontId="78" fillId="38" borderId="60" applyNumberFormat="0" applyProtection="0">
      <alignment horizontal="left" vertical="top" indent="1"/>
    </xf>
    <xf numFmtId="187" fontId="117" fillId="38" borderId="60" applyNumberFormat="0" applyProtection="0">
      <alignment horizontal="left" vertical="top" indent="1"/>
    </xf>
    <xf numFmtId="187" fontId="78" fillId="0" borderId="0">
      <alignment vertical="center"/>
    </xf>
    <xf numFmtId="187" fontId="117" fillId="38" borderId="60" applyNumberFormat="0" applyProtection="0">
      <alignment horizontal="left" vertical="top" indent="1"/>
    </xf>
    <xf numFmtId="187" fontId="117" fillId="38" borderId="60" applyNumberFormat="0" applyProtection="0">
      <alignment horizontal="left" vertical="top" indent="1"/>
    </xf>
    <xf numFmtId="187" fontId="117" fillId="38" borderId="60" applyNumberFormat="0" applyProtection="0">
      <alignment horizontal="left" vertical="top" indent="1"/>
    </xf>
    <xf numFmtId="187" fontId="117" fillId="38" borderId="60" applyNumberFormat="0" applyProtection="0">
      <alignment horizontal="left" vertical="top" indent="1"/>
    </xf>
    <xf numFmtId="187" fontId="117" fillId="78" borderId="58" applyNumberFormat="0" applyProtection="0">
      <alignment horizontal="left" vertical="center" indent="1"/>
    </xf>
    <xf numFmtId="187" fontId="78" fillId="32" borderId="60" applyNumberFormat="0" applyProtection="0">
      <alignment horizontal="left" vertical="center" indent="1"/>
    </xf>
    <xf numFmtId="187" fontId="117" fillId="32" borderId="60" applyNumberFormat="0" applyProtection="0">
      <alignment horizontal="left" vertical="top" indent="1"/>
    </xf>
    <xf numFmtId="187" fontId="117" fillId="32" borderId="60" applyNumberFormat="0" applyProtection="0">
      <alignment horizontal="left" vertical="top" indent="1"/>
    </xf>
    <xf numFmtId="187" fontId="117" fillId="32" borderId="60" applyNumberFormat="0" applyProtection="0">
      <alignment horizontal="left" vertical="top" indent="1"/>
    </xf>
    <xf numFmtId="187" fontId="117" fillId="32" borderId="60" applyNumberFormat="0" applyProtection="0">
      <alignment horizontal="left" vertical="top" indent="1"/>
    </xf>
    <xf numFmtId="187" fontId="117" fillId="32" borderId="60" applyNumberFormat="0" applyProtection="0">
      <alignment horizontal="left" vertical="top" indent="1"/>
    </xf>
    <xf numFmtId="187" fontId="117" fillId="32" borderId="60" applyNumberFormat="0" applyProtection="0">
      <alignment horizontal="left" vertical="top" indent="1"/>
    </xf>
    <xf numFmtId="187" fontId="117" fillId="32" borderId="60" applyNumberFormat="0" applyProtection="0">
      <alignment horizontal="left" vertical="top" indent="1"/>
    </xf>
    <xf numFmtId="190" fontId="23" fillId="66" borderId="53">
      <alignment vertical="center"/>
    </xf>
    <xf numFmtId="191" fontId="23" fillId="66" borderId="53">
      <alignment vertical="center"/>
    </xf>
    <xf numFmtId="191" fontId="23" fillId="66" borderId="53">
      <alignment vertical="center"/>
    </xf>
    <xf numFmtId="187" fontId="23" fillId="66" borderId="53">
      <alignment vertical="center"/>
    </xf>
    <xf numFmtId="187" fontId="23" fillId="66" borderId="53">
      <alignment vertical="center"/>
    </xf>
    <xf numFmtId="187" fontId="23" fillId="66" borderId="53">
      <alignment vertical="center"/>
    </xf>
    <xf numFmtId="187" fontId="23" fillId="66" borderId="53">
      <alignment vertical="center"/>
    </xf>
    <xf numFmtId="173" fontId="23" fillId="66" borderId="53">
      <alignment vertical="center"/>
    </xf>
    <xf numFmtId="173" fontId="23" fillId="66" borderId="53">
      <alignment vertical="center"/>
    </xf>
    <xf numFmtId="190" fontId="23" fillId="66" borderId="53">
      <alignment vertical="center"/>
    </xf>
    <xf numFmtId="187" fontId="117" fillId="79" borderId="58" applyNumberFormat="0" applyProtection="0">
      <alignment horizontal="left" vertical="center" indent="1"/>
    </xf>
    <xf numFmtId="187" fontId="78" fillId="79" borderId="60" applyNumberFormat="0" applyProtection="0">
      <alignment horizontal="left" vertical="center" indent="1"/>
    </xf>
    <xf numFmtId="191" fontId="23" fillId="28" borderId="53">
      <alignment vertical="center"/>
      <protection locked="0"/>
    </xf>
    <xf numFmtId="193" fontId="23" fillId="28" borderId="53">
      <alignment vertical="center"/>
      <protection locked="0"/>
    </xf>
    <xf numFmtId="187" fontId="23" fillId="28" borderId="53">
      <alignment vertical="center"/>
      <protection locked="0"/>
    </xf>
    <xf numFmtId="187" fontId="23" fillId="28" borderId="53">
      <alignment vertical="center"/>
      <protection locked="0"/>
    </xf>
    <xf numFmtId="193" fontId="23" fillId="28" borderId="53">
      <alignment vertical="center"/>
      <protection locked="0"/>
    </xf>
    <xf numFmtId="187" fontId="117" fillId="57" borderId="52" applyNumberFormat="0" applyFont="0" applyAlignment="0" applyProtection="0"/>
    <xf numFmtId="187" fontId="117" fillId="57" borderId="52" applyNumberFormat="0" applyFont="0" applyAlignment="0" applyProtection="0"/>
    <xf numFmtId="187" fontId="117" fillId="57" borderId="52" applyNumberFormat="0" applyFont="0" applyAlignment="0" applyProtection="0"/>
    <xf numFmtId="187" fontId="117" fillId="57" borderId="52" applyNumberFormat="0" applyFont="0" applyAlignment="0" applyProtection="0"/>
    <xf numFmtId="187" fontId="117" fillId="57" borderId="52" applyNumberFormat="0" applyFont="0" applyAlignment="0" applyProtection="0"/>
    <xf numFmtId="187" fontId="117" fillId="57" borderId="52" applyNumberFormat="0" applyFont="0" applyAlignment="0" applyProtection="0"/>
    <xf numFmtId="187" fontId="117" fillId="57" borderId="52" applyNumberFormat="0" applyFont="0" applyAlignment="0" applyProtection="0"/>
    <xf numFmtId="187" fontId="117" fillId="57" borderId="52" applyNumberFormat="0" applyFont="0" applyAlignment="0" applyProtection="0"/>
    <xf numFmtId="187" fontId="117" fillId="57" borderId="52" applyNumberFormat="0" applyFont="0" applyAlignment="0" applyProtection="0"/>
    <xf numFmtId="193" fontId="23" fillId="28" borderId="53">
      <alignment vertical="center"/>
      <protection locked="0"/>
    </xf>
    <xf numFmtId="187" fontId="23" fillId="28" borderId="53">
      <alignment vertical="center"/>
      <protection locked="0"/>
    </xf>
    <xf numFmtId="193" fontId="23" fillId="28" borderId="53">
      <alignment vertical="center"/>
      <protection locked="0"/>
    </xf>
    <xf numFmtId="191" fontId="23" fillId="28" borderId="53">
      <alignment vertical="center"/>
      <protection locked="0"/>
    </xf>
    <xf numFmtId="191" fontId="23" fillId="28" borderId="53">
      <alignment vertical="center"/>
      <protection locked="0"/>
    </xf>
    <xf numFmtId="169" fontId="23" fillId="28" borderId="53">
      <alignment vertical="center"/>
      <protection locked="0"/>
    </xf>
    <xf numFmtId="169" fontId="23" fillId="28" borderId="53">
      <alignment vertical="center"/>
      <protection locked="0"/>
    </xf>
    <xf numFmtId="169" fontId="23" fillId="28" borderId="53">
      <alignment vertical="center"/>
      <protection locked="0"/>
    </xf>
    <xf numFmtId="191" fontId="23" fillId="28" borderId="53">
      <alignment vertical="center"/>
      <protection locked="0"/>
    </xf>
    <xf numFmtId="191" fontId="23" fillId="67" borderId="53">
      <alignment vertical="center"/>
    </xf>
    <xf numFmtId="191" fontId="23" fillId="67" borderId="53">
      <alignment vertical="center"/>
    </xf>
    <xf numFmtId="193" fontId="23" fillId="67" borderId="53">
      <alignment vertical="center"/>
    </xf>
    <xf numFmtId="193" fontId="23" fillId="67" borderId="53">
      <alignment vertical="center"/>
    </xf>
    <xf numFmtId="193" fontId="23" fillId="67" borderId="53">
      <alignment vertical="center"/>
    </xf>
    <xf numFmtId="173" fontId="23" fillId="67" borderId="53">
      <alignment vertical="center"/>
    </xf>
    <xf numFmtId="190" fontId="23" fillId="67" borderId="53">
      <alignment vertical="center"/>
    </xf>
    <xf numFmtId="187" fontId="23" fillId="67" borderId="53">
      <alignment vertical="center"/>
    </xf>
    <xf numFmtId="187" fontId="23" fillId="67" borderId="53">
      <alignment vertical="center"/>
    </xf>
    <xf numFmtId="187" fontId="23" fillId="67" borderId="53">
      <alignment vertical="center"/>
    </xf>
    <xf numFmtId="187" fontId="23" fillId="67" borderId="53">
      <alignment vertical="center"/>
    </xf>
    <xf numFmtId="191" fontId="23" fillId="67" borderId="53">
      <alignment vertical="center"/>
    </xf>
    <xf numFmtId="191" fontId="23" fillId="67" borderId="53">
      <alignment vertical="center"/>
    </xf>
    <xf numFmtId="191" fontId="23" fillId="67" borderId="53">
      <alignment vertical="center"/>
    </xf>
    <xf numFmtId="191" fontId="23" fillId="67" borderId="53">
      <alignment vertical="center"/>
    </xf>
    <xf numFmtId="187" fontId="23" fillId="68" borderId="53">
      <alignment horizontal="right" vertical="center"/>
      <protection locked="0"/>
    </xf>
    <xf numFmtId="187" fontId="23" fillId="68" borderId="53">
      <alignment horizontal="right" vertical="center"/>
      <protection locked="0"/>
    </xf>
    <xf numFmtId="190" fontId="23" fillId="68" borderId="53">
      <alignment horizontal="right" vertical="center"/>
      <protection locked="0"/>
    </xf>
    <xf numFmtId="173" fontId="23" fillId="68" borderId="53">
      <alignment horizontal="right" vertical="center"/>
      <protection locked="0"/>
    </xf>
    <xf numFmtId="190" fontId="23" fillId="68" borderId="53">
      <alignment horizontal="right" vertical="center"/>
      <protection locked="0"/>
    </xf>
    <xf numFmtId="191" fontId="23" fillId="68" borderId="53">
      <alignment horizontal="right" vertical="center"/>
      <protection locked="0"/>
    </xf>
    <xf numFmtId="191" fontId="23" fillId="68" borderId="53">
      <alignment horizontal="right" vertical="center"/>
      <protection locked="0"/>
    </xf>
    <xf numFmtId="191" fontId="23" fillId="68" borderId="53">
      <alignment horizontal="right" vertical="center"/>
      <protection locked="0"/>
    </xf>
    <xf numFmtId="4" fontId="117" fillId="69" borderId="55" applyNumberFormat="0" applyProtection="0">
      <alignment vertical="center"/>
    </xf>
    <xf numFmtId="4" fontId="120" fillId="6" borderId="55" applyNumberFormat="0" applyProtection="0">
      <alignment vertical="center"/>
    </xf>
    <xf numFmtId="187" fontId="117" fillId="79" borderId="60" applyNumberFormat="0" applyProtection="0">
      <alignment horizontal="left" vertical="top" indent="1"/>
    </xf>
    <xf numFmtId="4" fontId="117" fillId="70" borderId="55" applyNumberFormat="0" applyProtection="0">
      <alignment horizontal="left" vertical="center" indent="1"/>
    </xf>
    <xf numFmtId="4" fontId="117" fillId="71" borderId="55" applyNumberFormat="0" applyProtection="0">
      <alignment horizontal="right" vertical="center"/>
    </xf>
    <xf numFmtId="4" fontId="117" fillId="72" borderId="55" applyNumberFormat="0" applyProtection="0">
      <alignment horizontal="right" vertical="center"/>
    </xf>
    <xf numFmtId="187" fontId="78" fillId="79" borderId="60" applyNumberFormat="0" applyProtection="0">
      <alignment horizontal="left" vertical="top" indent="1"/>
    </xf>
    <xf numFmtId="4" fontId="117" fillId="40" borderId="55" applyNumberFormat="0" applyProtection="0">
      <alignment horizontal="right" vertical="center"/>
    </xf>
    <xf numFmtId="4" fontId="117" fillId="74" borderId="55" applyNumberFormat="0" applyProtection="0">
      <alignment horizontal="right" vertical="center"/>
    </xf>
    <xf numFmtId="4" fontId="117" fillId="36" borderId="55" applyNumberFormat="0" applyProtection="0">
      <alignment horizontal="right" vertical="center"/>
    </xf>
    <xf numFmtId="4" fontId="117" fillId="33" borderId="55" applyNumberFormat="0" applyProtection="0">
      <alignment horizontal="right" vertical="center"/>
    </xf>
    <xf numFmtId="4" fontId="117" fillId="76" borderId="55" applyNumberFormat="0" applyProtection="0">
      <alignment horizontal="right" vertical="center"/>
    </xf>
    <xf numFmtId="187" fontId="117" fillId="79" borderId="60" applyNumberFormat="0" applyProtection="0">
      <alignment horizontal="left" vertical="top" indent="1"/>
    </xf>
    <xf numFmtId="187" fontId="117" fillId="79" borderId="60" applyNumberFormat="0" applyProtection="0">
      <alignment horizontal="left" vertical="top" indent="1"/>
    </xf>
    <xf numFmtId="187" fontId="117" fillId="79" borderId="60" applyNumberFormat="0" applyProtection="0">
      <alignment horizontal="left" vertical="top" indent="1"/>
    </xf>
    <xf numFmtId="4" fontId="117" fillId="32" borderId="55" applyNumberFormat="0" applyProtection="0">
      <alignment horizontal="right" vertical="center"/>
    </xf>
    <xf numFmtId="187" fontId="117" fillId="79" borderId="60" applyNumberFormat="0" applyProtection="0">
      <alignment horizontal="left" vertical="top" indent="1"/>
    </xf>
    <xf numFmtId="187" fontId="117" fillId="79" borderId="60" applyNumberFormat="0" applyProtection="0">
      <alignment horizontal="left" vertical="top" indent="1"/>
    </xf>
    <xf numFmtId="187" fontId="117" fillId="79" borderId="60" applyNumberFormat="0" applyProtection="0">
      <alignment horizontal="left" vertical="top" indent="1"/>
    </xf>
    <xf numFmtId="187" fontId="117" fillId="79" borderId="60" applyNumberFormat="0" applyProtection="0">
      <alignment horizontal="left" vertical="top" indent="1"/>
    </xf>
    <xf numFmtId="187" fontId="117" fillId="79" borderId="60" applyNumberFormat="0" applyProtection="0">
      <alignment horizontal="left" vertical="top" indent="1"/>
    </xf>
    <xf numFmtId="187" fontId="117" fillId="27" borderId="55" applyNumberFormat="0" applyProtection="0">
      <alignment horizontal="left" vertical="center" indent="1"/>
    </xf>
    <xf numFmtId="187" fontId="117" fillId="31" borderId="58" applyNumberFormat="0" applyProtection="0">
      <alignment horizontal="left" vertical="center" indent="1"/>
    </xf>
    <xf numFmtId="187" fontId="78" fillId="31" borderId="60" applyNumberFormat="0" applyProtection="0">
      <alignment horizontal="left" vertical="center" indent="1"/>
    </xf>
    <xf numFmtId="187" fontId="117" fillId="31" borderId="60" applyNumberFormat="0" applyProtection="0">
      <alignment horizontal="left" vertical="top" indent="1"/>
    </xf>
    <xf numFmtId="187" fontId="78" fillId="31" borderId="60" applyNumberFormat="0" applyProtection="0">
      <alignment horizontal="left" vertical="top" indent="1"/>
    </xf>
    <xf numFmtId="187" fontId="117" fillId="31" borderId="60" applyNumberFormat="0" applyProtection="0">
      <alignment horizontal="left" vertical="top" indent="1"/>
    </xf>
    <xf numFmtId="187" fontId="78" fillId="0" borderId="0">
      <alignment vertical="center"/>
    </xf>
    <xf numFmtId="187" fontId="117" fillId="31" borderId="60" applyNumberFormat="0" applyProtection="0">
      <alignment horizontal="left" vertical="top" indent="1"/>
    </xf>
    <xf numFmtId="187" fontId="117" fillId="31" borderId="60" applyNumberFormat="0" applyProtection="0">
      <alignment horizontal="left" vertical="top" indent="1"/>
    </xf>
    <xf numFmtId="187" fontId="117" fillId="31" borderId="60" applyNumberFormat="0" applyProtection="0">
      <alignment horizontal="left" vertical="top" indent="1"/>
    </xf>
    <xf numFmtId="187" fontId="117" fillId="31" borderId="60" applyNumberFormat="0" applyProtection="0">
      <alignment horizontal="left" vertical="top" indent="1"/>
    </xf>
    <xf numFmtId="187" fontId="117" fillId="31" borderId="60" applyNumberFormat="0" applyProtection="0">
      <alignment horizontal="left" vertical="top" indent="1"/>
    </xf>
    <xf numFmtId="187" fontId="117" fillId="78" borderId="55" applyNumberFormat="0" applyProtection="0">
      <alignment horizontal="left" vertical="center" indent="1"/>
    </xf>
    <xf numFmtId="187" fontId="117" fillId="31" borderId="60" applyNumberFormat="0" applyProtection="0">
      <alignment horizontal="left" vertical="top" indent="1"/>
    </xf>
    <xf numFmtId="4" fontId="78" fillId="38" borderId="77" applyNumberFormat="0" applyProtection="0">
      <alignment horizontal="left" vertical="center" indent="1"/>
    </xf>
    <xf numFmtId="4" fontId="78" fillId="38" borderId="77" applyNumberFormat="0" applyProtection="0">
      <alignment horizontal="left" vertical="center" indent="1"/>
    </xf>
    <xf numFmtId="4" fontId="117" fillId="32" borderId="74" applyNumberFormat="0" applyProtection="0">
      <alignment horizontal="right" vertical="center"/>
    </xf>
    <xf numFmtId="4" fontId="117" fillId="31" borderId="77" applyNumberFormat="0" applyProtection="0">
      <alignment horizontal="left" vertical="center" indent="1"/>
    </xf>
    <xf numFmtId="4" fontId="117" fillId="32" borderId="77" applyNumberFormat="0" applyProtection="0">
      <alignment horizontal="left" vertical="center" indent="1"/>
    </xf>
    <xf numFmtId="4" fontId="117" fillId="69" borderId="52" applyNumberFormat="0" applyProtection="0">
      <alignment vertical="center"/>
    </xf>
    <xf numFmtId="4" fontId="120" fillId="6" borderId="52" applyNumberFormat="0" applyProtection="0">
      <alignment vertical="center"/>
    </xf>
    <xf numFmtId="4" fontId="117" fillId="6" borderId="52" applyNumberFormat="0" applyProtection="0">
      <alignment horizontal="left" vertical="center" indent="1"/>
    </xf>
    <xf numFmtId="4" fontId="117" fillId="70" borderId="52" applyNumberFormat="0" applyProtection="0">
      <alignment horizontal="left" vertical="center" indent="1"/>
    </xf>
    <xf numFmtId="4" fontId="117" fillId="71" borderId="52" applyNumberFormat="0" applyProtection="0">
      <alignment horizontal="right" vertical="center"/>
    </xf>
    <xf numFmtId="4" fontId="117" fillId="72" borderId="52" applyNumberFormat="0" applyProtection="0">
      <alignment horizontal="right" vertical="center"/>
    </xf>
    <xf numFmtId="187" fontId="117" fillId="79" borderId="55" applyNumberFormat="0" applyProtection="0">
      <alignment horizontal="left" vertical="center" indent="1"/>
    </xf>
    <xf numFmtId="4" fontId="117" fillId="40" borderId="52" applyNumberFormat="0" applyProtection="0">
      <alignment horizontal="right" vertical="center"/>
    </xf>
    <xf numFmtId="4" fontId="117" fillId="74" borderId="52" applyNumberFormat="0" applyProtection="0">
      <alignment horizontal="right" vertical="center"/>
    </xf>
    <xf numFmtId="4" fontId="117" fillId="75" borderId="52" applyNumberFormat="0" applyProtection="0">
      <alignment horizontal="right" vertical="center"/>
    </xf>
    <xf numFmtId="4" fontId="117" fillId="36" borderId="52" applyNumberFormat="0" applyProtection="0">
      <alignment horizontal="right" vertical="center"/>
    </xf>
    <xf numFmtId="4" fontId="117" fillId="33" borderId="52" applyNumberFormat="0" applyProtection="0">
      <alignment horizontal="right" vertical="center"/>
    </xf>
    <xf numFmtId="4" fontId="117" fillId="76" borderId="52" applyNumberFormat="0" applyProtection="0">
      <alignment horizontal="right" vertical="center"/>
    </xf>
    <xf numFmtId="187" fontId="122" fillId="38" borderId="62" applyBorder="0"/>
    <xf numFmtId="4" fontId="117" fillId="32" borderId="52" applyNumberFormat="0" applyProtection="0">
      <alignment horizontal="right" vertical="center"/>
    </xf>
    <xf numFmtId="4" fontId="123" fillId="65" borderId="60" applyNumberFormat="0" applyProtection="0">
      <alignment vertical="center"/>
    </xf>
    <xf numFmtId="4" fontId="123" fillId="27" borderId="60" applyNumberFormat="0" applyProtection="0">
      <alignment horizontal="left" vertical="center" indent="1"/>
    </xf>
    <xf numFmtId="187" fontId="123" fillId="65" borderId="60" applyNumberFormat="0" applyProtection="0">
      <alignment horizontal="left" vertical="top" indent="1"/>
    </xf>
    <xf numFmtId="4" fontId="117" fillId="0" borderId="58" applyNumberFormat="0" applyProtection="0">
      <alignment horizontal="right" vertical="center"/>
    </xf>
    <xf numFmtId="4" fontId="120" fillId="3" borderId="58" applyNumberFormat="0" applyProtection="0">
      <alignment horizontal="right" vertical="center"/>
    </xf>
    <xf numFmtId="187" fontId="117" fillId="27" borderId="52" applyNumberFormat="0" applyProtection="0">
      <alignment horizontal="left" vertical="center" indent="1"/>
    </xf>
    <xf numFmtId="4" fontId="117" fillId="70" borderId="58" applyNumberFormat="0" applyProtection="0">
      <alignment horizontal="left" vertical="center" indent="1"/>
    </xf>
    <xf numFmtId="187" fontId="123" fillId="32" borderId="60" applyNumberFormat="0" applyProtection="0">
      <alignment horizontal="left" vertical="top" indent="1"/>
    </xf>
    <xf numFmtId="4" fontId="124" fillId="81" borderId="61" applyNumberFormat="0" applyProtection="0">
      <alignment horizontal="left" vertical="center" indent="1"/>
    </xf>
    <xf numFmtId="187" fontId="117" fillId="31" borderId="55" applyNumberFormat="0" applyProtection="0">
      <alignment horizontal="left" vertical="center" indent="1"/>
    </xf>
    <xf numFmtId="4" fontId="125" fillId="80" borderId="58" applyNumberFormat="0" applyProtection="0">
      <alignment horizontal="right" vertical="center"/>
    </xf>
    <xf numFmtId="37" fontId="97" fillId="0" borderId="63" applyNumberFormat="0"/>
    <xf numFmtId="187" fontId="117" fillId="78" borderId="52" applyNumberFormat="0" applyProtection="0">
      <alignment horizontal="left" vertical="center" indent="1"/>
    </xf>
    <xf numFmtId="188" fontId="97" fillId="0" borderId="57" applyFill="0"/>
    <xf numFmtId="187" fontId="106" fillId="0" borderId="64" applyNumberFormat="0" applyFill="0" applyAlignment="0" applyProtection="0"/>
    <xf numFmtId="187" fontId="106" fillId="0" borderId="64" applyNumberFormat="0" applyFill="0" applyAlignment="0" applyProtection="0"/>
    <xf numFmtId="187" fontId="78" fillId="80" borderId="53" applyNumberFormat="0">
      <protection locked="0"/>
    </xf>
    <xf numFmtId="187" fontId="104" fillId="61" borderId="82" applyNumberFormat="0" applyAlignment="0" applyProtection="0"/>
    <xf numFmtId="187" fontId="117" fillId="79" borderId="52" applyNumberFormat="0" applyProtection="0">
      <alignment horizontal="left" vertical="center" indent="1"/>
    </xf>
    <xf numFmtId="4" fontId="120" fillId="28" borderId="53" applyNumberFormat="0" applyProtection="0">
      <alignment vertical="center"/>
    </xf>
    <xf numFmtId="4" fontId="117" fillId="0" borderId="55" applyNumberFormat="0" applyProtection="0">
      <alignment horizontal="right" vertical="center"/>
    </xf>
    <xf numFmtId="4" fontId="120" fillId="3" borderId="55" applyNumberFormat="0" applyProtection="0">
      <alignment horizontal="right" vertical="center"/>
    </xf>
    <xf numFmtId="187" fontId="117" fillId="31" borderId="52" applyNumberFormat="0" applyProtection="0">
      <alignment horizontal="left" vertical="center" indent="1"/>
    </xf>
    <xf numFmtId="4" fontId="117" fillId="70" borderId="55" applyNumberFormat="0" applyProtection="0">
      <alignment horizontal="left" vertical="center" indent="1"/>
    </xf>
    <xf numFmtId="187" fontId="117" fillId="82" borderId="53"/>
    <xf numFmtId="4" fontId="125" fillId="80" borderId="55" applyNumberFormat="0" applyProtection="0">
      <alignment horizontal="right" vertical="center"/>
    </xf>
    <xf numFmtId="187" fontId="78" fillId="32" borderId="60" applyNumberFormat="0" applyProtection="0">
      <alignment horizontal="left" vertical="top" indent="1"/>
    </xf>
    <xf numFmtId="187" fontId="117" fillId="32" borderId="60" applyNumberFormat="0" applyProtection="0">
      <alignment horizontal="left" vertical="top" indent="1"/>
    </xf>
    <xf numFmtId="4" fontId="117" fillId="74" borderId="58" applyNumberFormat="0" applyProtection="0">
      <alignment horizontal="right" vertical="center"/>
    </xf>
    <xf numFmtId="188" fontId="97" fillId="0" borderId="54" applyFill="0"/>
    <xf numFmtId="187" fontId="117" fillId="38" borderId="60" applyNumberFormat="0" applyProtection="0">
      <alignment horizontal="left" vertical="top" indent="1"/>
    </xf>
    <xf numFmtId="4" fontId="117" fillId="0" borderId="52" applyNumberFormat="0" applyProtection="0">
      <alignment horizontal="right" vertical="center"/>
    </xf>
    <xf numFmtId="4" fontId="120" fillId="3" borderId="52" applyNumberFormat="0" applyProtection="0">
      <alignment horizontal="right" vertical="center"/>
    </xf>
    <xf numFmtId="4" fontId="117" fillId="70" borderId="52" applyNumberFormat="0" applyProtection="0">
      <alignment horizontal="left" vertical="center" indent="1"/>
    </xf>
    <xf numFmtId="187" fontId="117" fillId="38" borderId="60" applyNumberFormat="0" applyProtection="0">
      <alignment horizontal="left" vertical="top" indent="1"/>
    </xf>
    <xf numFmtId="4" fontId="125" fillId="80" borderId="52" applyNumberFormat="0" applyProtection="0">
      <alignment horizontal="right" vertical="center"/>
    </xf>
    <xf numFmtId="4" fontId="117" fillId="77" borderId="77" applyNumberFormat="0" applyProtection="0">
      <alignment horizontal="left" vertical="center" indent="1"/>
    </xf>
    <xf numFmtId="4" fontId="117" fillId="76" borderId="74" applyNumberFormat="0" applyProtection="0">
      <alignment horizontal="right" vertical="center"/>
    </xf>
    <xf numFmtId="4" fontId="117" fillId="75" borderId="55" applyNumberFormat="0" applyProtection="0">
      <alignment horizontal="right" vertical="center"/>
    </xf>
    <xf numFmtId="187" fontId="117" fillId="31" borderId="60" applyNumberFormat="0" applyProtection="0">
      <alignment horizontal="left" vertical="top" indent="1"/>
    </xf>
    <xf numFmtId="187" fontId="117" fillId="57" borderId="74" applyNumberFormat="0" applyFont="0" applyAlignment="0" applyProtection="0"/>
    <xf numFmtId="187" fontId="78" fillId="0" borderId="0">
      <alignment vertical="center"/>
    </xf>
    <xf numFmtId="4" fontId="117" fillId="36" borderId="74" applyNumberFormat="0" applyProtection="0">
      <alignment horizontal="right" vertical="center"/>
    </xf>
    <xf numFmtId="193" fontId="23" fillId="67" borderId="53">
      <alignment vertical="center"/>
    </xf>
    <xf numFmtId="187" fontId="117" fillId="38" borderId="60" applyNumberFormat="0" applyProtection="0">
      <alignment horizontal="left" vertical="top" indent="1"/>
    </xf>
    <xf numFmtId="187" fontId="117" fillId="57" borderId="74" applyNumberFormat="0" applyFont="0" applyAlignment="0" applyProtection="0"/>
    <xf numFmtId="187" fontId="117" fillId="57" borderId="74" applyNumberFormat="0" applyFont="0" applyAlignment="0" applyProtection="0"/>
    <xf numFmtId="173" fontId="3" fillId="20" borderId="53">
      <alignment vertical="center"/>
    </xf>
    <xf numFmtId="187" fontId="117" fillId="32" borderId="60" applyNumberFormat="0" applyProtection="0">
      <alignment horizontal="left" vertical="top" indent="1"/>
    </xf>
    <xf numFmtId="4" fontId="117" fillId="69" borderId="82" applyNumberFormat="0" applyProtection="0">
      <alignment vertical="center"/>
    </xf>
    <xf numFmtId="4" fontId="120" fillId="6" borderId="82" applyNumberFormat="0" applyProtection="0">
      <alignment vertical="center"/>
    </xf>
    <xf numFmtId="4" fontId="117" fillId="6" borderId="82" applyNumberFormat="0" applyProtection="0">
      <alignment horizontal="left" vertical="center" indent="1"/>
    </xf>
    <xf numFmtId="187" fontId="121" fillId="69" borderId="84" applyNumberFormat="0" applyProtection="0">
      <alignment horizontal="left" vertical="top" indent="1"/>
    </xf>
    <xf numFmtId="4" fontId="117" fillId="70" borderId="82" applyNumberFormat="0" applyProtection="0">
      <alignment horizontal="left" vertical="center" indent="1"/>
    </xf>
    <xf numFmtId="4" fontId="117" fillId="71" borderId="82" applyNumberFormat="0" applyProtection="0">
      <alignment horizontal="right" vertical="center"/>
    </xf>
    <xf numFmtId="4" fontId="117" fillId="72" borderId="82" applyNumberFormat="0" applyProtection="0">
      <alignment horizontal="right" vertical="center"/>
    </xf>
    <xf numFmtId="4" fontId="117" fillId="40" borderId="82" applyNumberFormat="0" applyProtection="0">
      <alignment horizontal="right" vertical="center"/>
    </xf>
    <xf numFmtId="4" fontId="117" fillId="74" borderId="82" applyNumberFormat="0" applyProtection="0">
      <alignment horizontal="right" vertical="center"/>
    </xf>
    <xf numFmtId="4" fontId="117" fillId="75" borderId="82" applyNumberFormat="0" applyProtection="0">
      <alignment horizontal="right" vertical="center"/>
    </xf>
    <xf numFmtId="4" fontId="117" fillId="36" borderId="82" applyNumberFormat="0" applyProtection="0">
      <alignment horizontal="right" vertical="center"/>
    </xf>
    <xf numFmtId="4" fontId="117" fillId="69" borderId="66" applyNumberFormat="0" applyProtection="0">
      <alignment vertical="center"/>
    </xf>
    <xf numFmtId="4" fontId="120" fillId="6" borderId="66" applyNumberFormat="0" applyProtection="0">
      <alignment vertical="center"/>
    </xf>
    <xf numFmtId="4" fontId="117" fillId="6" borderId="66" applyNumberFormat="0" applyProtection="0">
      <alignment horizontal="left" vertical="center" indent="1"/>
    </xf>
    <xf numFmtId="187" fontId="121" fillId="69" borderId="68" applyNumberFormat="0" applyProtection="0">
      <alignment horizontal="left" vertical="top" indent="1"/>
    </xf>
    <xf numFmtId="4" fontId="117" fillId="70" borderId="66" applyNumberFormat="0" applyProtection="0">
      <alignment horizontal="left" vertical="center" indent="1"/>
    </xf>
    <xf numFmtId="4" fontId="117" fillId="71" borderId="66" applyNumberFormat="0" applyProtection="0">
      <alignment horizontal="right" vertical="center"/>
    </xf>
    <xf numFmtId="4" fontId="117" fillId="72" borderId="66" applyNumberFormat="0" applyProtection="0">
      <alignment horizontal="right" vertical="center"/>
    </xf>
    <xf numFmtId="4" fontId="117" fillId="73" borderId="69" applyNumberFormat="0" applyProtection="0">
      <alignment horizontal="right" vertical="center"/>
    </xf>
    <xf numFmtId="4" fontId="117" fillId="40" borderId="66" applyNumberFormat="0" applyProtection="0">
      <alignment horizontal="right" vertical="center"/>
    </xf>
    <xf numFmtId="4" fontId="117" fillId="74" borderId="66" applyNumberFormat="0" applyProtection="0">
      <alignment horizontal="right" vertical="center"/>
    </xf>
    <xf numFmtId="4" fontId="117" fillId="75" borderId="66" applyNumberFormat="0" applyProtection="0">
      <alignment horizontal="right" vertical="center"/>
    </xf>
    <xf numFmtId="4" fontId="117" fillId="36" borderId="66" applyNumberFormat="0" applyProtection="0">
      <alignment horizontal="right" vertical="center"/>
    </xf>
    <xf numFmtId="4" fontId="117" fillId="33" borderId="66" applyNumberFormat="0" applyProtection="0">
      <alignment horizontal="right" vertical="center"/>
    </xf>
    <xf numFmtId="4" fontId="117" fillId="76" borderId="66" applyNumberFormat="0" applyProtection="0">
      <alignment horizontal="right" vertical="center"/>
    </xf>
    <xf numFmtId="4" fontId="117" fillId="77" borderId="69" applyNumberFormat="0" applyProtection="0">
      <alignment horizontal="left" vertical="center" indent="1"/>
    </xf>
    <xf numFmtId="4" fontId="78" fillId="38" borderId="69" applyNumberFormat="0" applyProtection="0">
      <alignment horizontal="left" vertical="center" indent="1"/>
    </xf>
    <xf numFmtId="4" fontId="78" fillId="38" borderId="69" applyNumberFormat="0" applyProtection="0">
      <alignment horizontal="left" vertical="center" indent="1"/>
    </xf>
    <xf numFmtId="4" fontId="117" fillId="32" borderId="66" applyNumberFormat="0" applyProtection="0">
      <alignment horizontal="right" vertical="center"/>
    </xf>
    <xf numFmtId="4" fontId="117" fillId="31" borderId="69" applyNumberFormat="0" applyProtection="0">
      <alignment horizontal="left" vertical="center" indent="1"/>
    </xf>
    <xf numFmtId="4" fontId="117" fillId="33" borderId="82" applyNumberFormat="0" applyProtection="0">
      <alignment horizontal="right" vertical="center"/>
    </xf>
    <xf numFmtId="4" fontId="117" fillId="32" borderId="69" applyNumberFormat="0" applyProtection="0">
      <alignment horizontal="left" vertical="center" indent="1"/>
    </xf>
    <xf numFmtId="37" fontId="97" fillId="0" borderId="56" applyNumberFormat="0"/>
    <xf numFmtId="187" fontId="117" fillId="57" borderId="82" applyNumberFormat="0" applyFont="0" applyAlignment="0" applyProtection="0"/>
    <xf numFmtId="187" fontId="104" fillId="61" borderId="74" applyNumberFormat="0" applyAlignment="0" applyProtection="0"/>
    <xf numFmtId="4" fontId="117" fillId="76" borderId="82" applyNumberFormat="0" applyProtection="0">
      <alignment horizontal="right" vertical="center"/>
    </xf>
    <xf numFmtId="187" fontId="117" fillId="27" borderId="66" applyNumberFormat="0" applyProtection="0">
      <alignment horizontal="left" vertical="center" indent="1"/>
    </xf>
    <xf numFmtId="187" fontId="78" fillId="38" borderId="68" applyNumberFormat="0" applyProtection="0">
      <alignment horizontal="left" vertical="center" indent="1"/>
    </xf>
    <xf numFmtId="187" fontId="117" fillId="38" borderId="68" applyNumberFormat="0" applyProtection="0">
      <alignment horizontal="left" vertical="top" indent="1"/>
    </xf>
    <xf numFmtId="187" fontId="78" fillId="38" borderId="68" applyNumberFormat="0" applyProtection="0">
      <alignment horizontal="left" vertical="top" indent="1"/>
    </xf>
    <xf numFmtId="187" fontId="117" fillId="38" borderId="68" applyNumberFormat="0" applyProtection="0">
      <alignment horizontal="left" vertical="top" indent="1"/>
    </xf>
    <xf numFmtId="187" fontId="117" fillId="38" borderId="68" applyNumberFormat="0" applyProtection="0">
      <alignment horizontal="left" vertical="top" indent="1"/>
    </xf>
    <xf numFmtId="187" fontId="117" fillId="38" borderId="68" applyNumberFormat="0" applyProtection="0">
      <alignment horizontal="left" vertical="top" indent="1"/>
    </xf>
    <xf numFmtId="187" fontId="117" fillId="38" borderId="68" applyNumberFormat="0" applyProtection="0">
      <alignment horizontal="left" vertical="top" indent="1"/>
    </xf>
    <xf numFmtId="187" fontId="117" fillId="38" borderId="68" applyNumberFormat="0" applyProtection="0">
      <alignment horizontal="left" vertical="top" indent="1"/>
    </xf>
    <xf numFmtId="187" fontId="117" fillId="38" borderId="68" applyNumberFormat="0" applyProtection="0">
      <alignment horizontal="left" vertical="top" indent="1"/>
    </xf>
    <xf numFmtId="187" fontId="117" fillId="38" borderId="68" applyNumberFormat="0" applyProtection="0">
      <alignment horizontal="left" vertical="top" indent="1"/>
    </xf>
    <xf numFmtId="187" fontId="117" fillId="38" borderId="68" applyNumberFormat="0" applyProtection="0">
      <alignment horizontal="left" vertical="top" indent="1"/>
    </xf>
    <xf numFmtId="187" fontId="117" fillId="78" borderId="66" applyNumberFormat="0" applyProtection="0">
      <alignment horizontal="left" vertical="center" indent="1"/>
    </xf>
    <xf numFmtId="187" fontId="78" fillId="32" borderId="68" applyNumberFormat="0" applyProtection="0">
      <alignment horizontal="left" vertical="center" indent="1"/>
    </xf>
    <xf numFmtId="187" fontId="117" fillId="32" borderId="68" applyNumberFormat="0" applyProtection="0">
      <alignment horizontal="left" vertical="top" indent="1"/>
    </xf>
    <xf numFmtId="187" fontId="78" fillId="32" borderId="68" applyNumberFormat="0" applyProtection="0">
      <alignment horizontal="left" vertical="top" indent="1"/>
    </xf>
    <xf numFmtId="187" fontId="117" fillId="32" borderId="68" applyNumberFormat="0" applyProtection="0">
      <alignment horizontal="left" vertical="top" indent="1"/>
    </xf>
    <xf numFmtId="187" fontId="117" fillId="32" borderId="68" applyNumberFormat="0" applyProtection="0">
      <alignment horizontal="left" vertical="top" indent="1"/>
    </xf>
    <xf numFmtId="187" fontId="117" fillId="32" borderId="68" applyNumberFormat="0" applyProtection="0">
      <alignment horizontal="left" vertical="top" indent="1"/>
    </xf>
    <xf numFmtId="187" fontId="117" fillId="32" borderId="68" applyNumberFormat="0" applyProtection="0">
      <alignment horizontal="left" vertical="top" indent="1"/>
    </xf>
    <xf numFmtId="187" fontId="117" fillId="32" borderId="68" applyNumberFormat="0" applyProtection="0">
      <alignment horizontal="left" vertical="top" indent="1"/>
    </xf>
    <xf numFmtId="187" fontId="117" fillId="32" borderId="68" applyNumberFormat="0" applyProtection="0">
      <alignment horizontal="left" vertical="top" indent="1"/>
    </xf>
    <xf numFmtId="187" fontId="117" fillId="32" borderId="68" applyNumberFormat="0" applyProtection="0">
      <alignment horizontal="left" vertical="top" indent="1"/>
    </xf>
    <xf numFmtId="187" fontId="117" fillId="32" borderId="68" applyNumberFormat="0" applyProtection="0">
      <alignment horizontal="left" vertical="top" indent="1"/>
    </xf>
    <xf numFmtId="187" fontId="117" fillId="79" borderId="66" applyNumberFormat="0" applyProtection="0">
      <alignment horizontal="left" vertical="center" indent="1"/>
    </xf>
    <xf numFmtId="187" fontId="78" fillId="79" borderId="68" applyNumberFormat="0" applyProtection="0">
      <alignment horizontal="left" vertical="center" indent="1"/>
    </xf>
    <xf numFmtId="187" fontId="117" fillId="79" borderId="68" applyNumberFormat="0" applyProtection="0">
      <alignment horizontal="left" vertical="top" indent="1"/>
    </xf>
    <xf numFmtId="187" fontId="78" fillId="79" borderId="68" applyNumberFormat="0" applyProtection="0">
      <alignment horizontal="left" vertical="top" indent="1"/>
    </xf>
    <xf numFmtId="187" fontId="117" fillId="79" borderId="68" applyNumberFormat="0" applyProtection="0">
      <alignment horizontal="left" vertical="top" indent="1"/>
    </xf>
    <xf numFmtId="187" fontId="117" fillId="79" borderId="68" applyNumberFormat="0" applyProtection="0">
      <alignment horizontal="left" vertical="top" indent="1"/>
    </xf>
    <xf numFmtId="187" fontId="117" fillId="79" borderId="68" applyNumberFormat="0" applyProtection="0">
      <alignment horizontal="left" vertical="top" indent="1"/>
    </xf>
    <xf numFmtId="187" fontId="117" fillId="79" borderId="68" applyNumberFormat="0" applyProtection="0">
      <alignment horizontal="left" vertical="top" indent="1"/>
    </xf>
    <xf numFmtId="187" fontId="117" fillId="79" borderId="68" applyNumberFormat="0" applyProtection="0">
      <alignment horizontal="left" vertical="top" indent="1"/>
    </xf>
    <xf numFmtId="187" fontId="117" fillId="79" borderId="68" applyNumberFormat="0" applyProtection="0">
      <alignment horizontal="left" vertical="top" indent="1"/>
    </xf>
    <xf numFmtId="187" fontId="117" fillId="79" borderId="68" applyNumberFormat="0" applyProtection="0">
      <alignment horizontal="left" vertical="top" indent="1"/>
    </xf>
    <xf numFmtId="187" fontId="117" fillId="79" borderId="68" applyNumberFormat="0" applyProtection="0">
      <alignment horizontal="left" vertical="top" indent="1"/>
    </xf>
    <xf numFmtId="187" fontId="117" fillId="31" borderId="66" applyNumberFormat="0" applyProtection="0">
      <alignment horizontal="left" vertical="center" indent="1"/>
    </xf>
    <xf numFmtId="187" fontId="78" fillId="31" borderId="68" applyNumberFormat="0" applyProtection="0">
      <alignment horizontal="left" vertical="center" indent="1"/>
    </xf>
    <xf numFmtId="187" fontId="117" fillId="31" borderId="68" applyNumberFormat="0" applyProtection="0">
      <alignment horizontal="left" vertical="top" indent="1"/>
    </xf>
    <xf numFmtId="187" fontId="78" fillId="31" borderId="68" applyNumberFormat="0" applyProtection="0">
      <alignment horizontal="left" vertical="top" indent="1"/>
    </xf>
    <xf numFmtId="187" fontId="117" fillId="31" borderId="68" applyNumberFormat="0" applyProtection="0">
      <alignment horizontal="left" vertical="top" indent="1"/>
    </xf>
    <xf numFmtId="187" fontId="117" fillId="31" borderId="68" applyNumberFormat="0" applyProtection="0">
      <alignment horizontal="left" vertical="top" indent="1"/>
    </xf>
    <xf numFmtId="187" fontId="117" fillId="31" borderId="68" applyNumberFormat="0" applyProtection="0">
      <alignment horizontal="left" vertical="top" indent="1"/>
    </xf>
    <xf numFmtId="187" fontId="117" fillId="31" borderId="68" applyNumberFormat="0" applyProtection="0">
      <alignment horizontal="left" vertical="top" indent="1"/>
    </xf>
    <xf numFmtId="187" fontId="117" fillId="31" borderId="68" applyNumberFormat="0" applyProtection="0">
      <alignment horizontal="left" vertical="top" indent="1"/>
    </xf>
    <xf numFmtId="187" fontId="117" fillId="31" borderId="68" applyNumberFormat="0" applyProtection="0">
      <alignment horizontal="left" vertical="top" indent="1"/>
    </xf>
    <xf numFmtId="187" fontId="117" fillId="31" borderId="68" applyNumberFormat="0" applyProtection="0">
      <alignment horizontal="left" vertical="top" indent="1"/>
    </xf>
    <xf numFmtId="187" fontId="117" fillId="31" borderId="68" applyNumberFormat="0" applyProtection="0">
      <alignment horizontal="left" vertical="top" indent="1"/>
    </xf>
    <xf numFmtId="4" fontId="117" fillId="32" borderId="82" applyNumberFormat="0" applyProtection="0">
      <alignment horizontal="right" vertical="center"/>
    </xf>
    <xf numFmtId="187" fontId="122" fillId="38" borderId="70" applyBorder="0"/>
    <xf numFmtId="4" fontId="123" fillId="65" borderId="68" applyNumberFormat="0" applyProtection="0">
      <alignment vertical="center"/>
    </xf>
    <xf numFmtId="4" fontId="123" fillId="27" borderId="68" applyNumberFormat="0" applyProtection="0">
      <alignment horizontal="left" vertical="center" indent="1"/>
    </xf>
    <xf numFmtId="187" fontId="123" fillId="65" borderId="68" applyNumberFormat="0" applyProtection="0">
      <alignment horizontal="left" vertical="top" indent="1"/>
    </xf>
    <xf numFmtId="4" fontId="117" fillId="0" borderId="66" applyNumberFormat="0" applyProtection="0">
      <alignment horizontal="right" vertical="center"/>
    </xf>
    <xf numFmtId="4" fontId="120" fillId="3" borderId="66" applyNumberFormat="0" applyProtection="0">
      <alignment horizontal="right" vertical="center"/>
    </xf>
    <xf numFmtId="4" fontId="117" fillId="70" borderId="66" applyNumberFormat="0" applyProtection="0">
      <alignment horizontal="left" vertical="center" indent="1"/>
    </xf>
    <xf numFmtId="187" fontId="123" fillId="32" borderId="68" applyNumberFormat="0" applyProtection="0">
      <alignment horizontal="left" vertical="top" indent="1"/>
    </xf>
    <xf numFmtId="4" fontId="124" fillId="81" borderId="69" applyNumberFormat="0" applyProtection="0">
      <alignment horizontal="left" vertical="center" indent="1"/>
    </xf>
    <xf numFmtId="4" fontId="125" fillId="80" borderId="66" applyNumberFormat="0" applyProtection="0">
      <alignment horizontal="right" vertical="center"/>
    </xf>
    <xf numFmtId="37" fontId="97" fillId="0" borderId="71" applyNumberFormat="0"/>
    <xf numFmtId="188" fontId="97" fillId="0" borderId="65" applyFill="0"/>
    <xf numFmtId="187" fontId="106" fillId="0" borderId="72" applyNumberFormat="0" applyFill="0" applyAlignment="0" applyProtection="0"/>
    <xf numFmtId="187" fontId="106" fillId="0" borderId="72" applyNumberFormat="0" applyFill="0" applyAlignment="0" applyProtection="0"/>
    <xf numFmtId="187" fontId="117" fillId="27" borderId="74" applyNumberFormat="0" applyProtection="0">
      <alignment horizontal="left" vertical="center" indent="1"/>
    </xf>
    <xf numFmtId="187" fontId="78" fillId="38" borderId="76" applyNumberFormat="0" applyProtection="0">
      <alignment horizontal="left" vertical="center" indent="1"/>
    </xf>
    <xf numFmtId="187" fontId="117" fillId="38" borderId="76" applyNumberFormat="0" applyProtection="0">
      <alignment horizontal="left" vertical="top" indent="1"/>
    </xf>
    <xf numFmtId="187" fontId="78" fillId="38" borderId="76" applyNumberFormat="0" applyProtection="0">
      <alignment horizontal="left" vertical="top" indent="1"/>
    </xf>
    <xf numFmtId="187" fontId="117" fillId="38" borderId="76" applyNumberFormat="0" applyProtection="0">
      <alignment horizontal="left" vertical="top" indent="1"/>
    </xf>
    <xf numFmtId="187" fontId="117" fillId="38" borderId="76" applyNumberFormat="0" applyProtection="0">
      <alignment horizontal="left" vertical="top" indent="1"/>
    </xf>
    <xf numFmtId="187" fontId="117" fillId="38" borderId="76" applyNumberFormat="0" applyProtection="0">
      <alignment horizontal="left" vertical="top" indent="1"/>
    </xf>
    <xf numFmtId="187" fontId="117" fillId="38" borderId="76" applyNumberFormat="0" applyProtection="0">
      <alignment horizontal="left" vertical="top" indent="1"/>
    </xf>
    <xf numFmtId="187" fontId="117" fillId="38" borderId="76" applyNumberFormat="0" applyProtection="0">
      <alignment horizontal="left" vertical="top" indent="1"/>
    </xf>
    <xf numFmtId="187" fontId="117" fillId="38" borderId="76" applyNumberFormat="0" applyProtection="0">
      <alignment horizontal="left" vertical="top" indent="1"/>
    </xf>
    <xf numFmtId="187" fontId="117" fillId="38" borderId="76" applyNumberFormat="0" applyProtection="0">
      <alignment horizontal="left" vertical="top" indent="1"/>
    </xf>
    <xf numFmtId="187" fontId="117" fillId="38" borderId="76" applyNumberFormat="0" applyProtection="0">
      <alignment horizontal="left" vertical="top" indent="1"/>
    </xf>
    <xf numFmtId="187" fontId="117" fillId="78" borderId="74" applyNumberFormat="0" applyProtection="0">
      <alignment horizontal="left" vertical="center" indent="1"/>
    </xf>
    <xf numFmtId="187" fontId="78" fillId="32" borderId="76" applyNumberFormat="0" applyProtection="0">
      <alignment horizontal="left" vertical="center" indent="1"/>
    </xf>
    <xf numFmtId="187" fontId="117" fillId="32" borderId="76" applyNumberFormat="0" applyProtection="0">
      <alignment horizontal="left" vertical="top" indent="1"/>
    </xf>
    <xf numFmtId="187" fontId="78" fillId="32" borderId="76" applyNumberFormat="0" applyProtection="0">
      <alignment horizontal="left" vertical="top" indent="1"/>
    </xf>
    <xf numFmtId="187" fontId="117" fillId="32" borderId="76" applyNumberFormat="0" applyProtection="0">
      <alignment horizontal="left" vertical="top" indent="1"/>
    </xf>
    <xf numFmtId="187" fontId="117" fillId="32" borderId="76" applyNumberFormat="0" applyProtection="0">
      <alignment horizontal="left" vertical="top" indent="1"/>
    </xf>
    <xf numFmtId="187" fontId="117" fillId="32" borderId="76" applyNumberFormat="0" applyProtection="0">
      <alignment horizontal="left" vertical="top" indent="1"/>
    </xf>
    <xf numFmtId="187" fontId="117" fillId="32" borderId="76" applyNumberFormat="0" applyProtection="0">
      <alignment horizontal="left" vertical="top" indent="1"/>
    </xf>
    <xf numFmtId="187" fontId="117" fillId="32" borderId="76" applyNumberFormat="0" applyProtection="0">
      <alignment horizontal="left" vertical="top" indent="1"/>
    </xf>
    <xf numFmtId="187" fontId="117" fillId="32" borderId="76" applyNumberFormat="0" applyProtection="0">
      <alignment horizontal="left" vertical="top" indent="1"/>
    </xf>
    <xf numFmtId="187" fontId="117" fillId="32" borderId="76" applyNumberFormat="0" applyProtection="0">
      <alignment horizontal="left" vertical="top" indent="1"/>
    </xf>
    <xf numFmtId="187" fontId="117" fillId="32" borderId="76" applyNumberFormat="0" applyProtection="0">
      <alignment horizontal="left" vertical="top" indent="1"/>
    </xf>
    <xf numFmtId="187" fontId="117" fillId="79" borderId="74" applyNumberFormat="0" applyProtection="0">
      <alignment horizontal="left" vertical="center" indent="1"/>
    </xf>
    <xf numFmtId="187" fontId="78" fillId="79" borderId="76" applyNumberFormat="0" applyProtection="0">
      <alignment horizontal="left" vertical="center" indent="1"/>
    </xf>
    <xf numFmtId="187" fontId="117" fillId="79" borderId="76" applyNumberFormat="0" applyProtection="0">
      <alignment horizontal="left" vertical="top" indent="1"/>
    </xf>
    <xf numFmtId="187" fontId="78" fillId="79" borderId="76" applyNumberFormat="0" applyProtection="0">
      <alignment horizontal="left" vertical="top" indent="1"/>
    </xf>
    <xf numFmtId="187" fontId="117" fillId="79" borderId="76" applyNumberFormat="0" applyProtection="0">
      <alignment horizontal="left" vertical="top" indent="1"/>
    </xf>
    <xf numFmtId="187" fontId="117" fillId="79" borderId="76" applyNumberFormat="0" applyProtection="0">
      <alignment horizontal="left" vertical="top" indent="1"/>
    </xf>
    <xf numFmtId="187" fontId="117" fillId="79" borderId="76" applyNumberFormat="0" applyProtection="0">
      <alignment horizontal="left" vertical="top" indent="1"/>
    </xf>
    <xf numFmtId="187" fontId="117" fillId="79" borderId="76" applyNumberFormat="0" applyProtection="0">
      <alignment horizontal="left" vertical="top" indent="1"/>
    </xf>
    <xf numFmtId="187" fontId="117" fillId="79" borderId="76" applyNumberFormat="0" applyProtection="0">
      <alignment horizontal="left" vertical="top" indent="1"/>
    </xf>
    <xf numFmtId="187" fontId="117" fillId="79" borderId="76" applyNumberFormat="0" applyProtection="0">
      <alignment horizontal="left" vertical="top" indent="1"/>
    </xf>
    <xf numFmtId="187" fontId="117" fillId="79" borderId="76" applyNumberFormat="0" applyProtection="0">
      <alignment horizontal="left" vertical="top" indent="1"/>
    </xf>
    <xf numFmtId="187" fontId="117" fillId="79" borderId="76" applyNumberFormat="0" applyProtection="0">
      <alignment horizontal="left" vertical="top" indent="1"/>
    </xf>
    <xf numFmtId="187" fontId="117" fillId="31" borderId="74" applyNumberFormat="0" applyProtection="0">
      <alignment horizontal="left" vertical="center" indent="1"/>
    </xf>
    <xf numFmtId="187" fontId="78" fillId="31" borderId="76" applyNumberFormat="0" applyProtection="0">
      <alignment horizontal="left" vertical="center" indent="1"/>
    </xf>
    <xf numFmtId="187" fontId="117" fillId="31" borderId="76" applyNumberFormat="0" applyProtection="0">
      <alignment horizontal="left" vertical="top" indent="1"/>
    </xf>
    <xf numFmtId="187" fontId="78" fillId="31" borderId="76" applyNumberFormat="0" applyProtection="0">
      <alignment horizontal="left" vertical="top" indent="1"/>
    </xf>
    <xf numFmtId="187" fontId="117" fillId="31" borderId="76" applyNumberFormat="0" applyProtection="0">
      <alignment horizontal="left" vertical="top" indent="1"/>
    </xf>
    <xf numFmtId="187" fontId="117" fillId="31" borderId="76" applyNumberFormat="0" applyProtection="0">
      <alignment horizontal="left" vertical="top" indent="1"/>
    </xf>
    <xf numFmtId="187" fontId="117" fillId="31" borderId="76" applyNumberFormat="0" applyProtection="0">
      <alignment horizontal="left" vertical="top" indent="1"/>
    </xf>
    <xf numFmtId="187" fontId="117" fillId="31" borderId="76" applyNumberFormat="0" applyProtection="0">
      <alignment horizontal="left" vertical="top" indent="1"/>
    </xf>
    <xf numFmtId="187" fontId="117" fillId="31" borderId="76" applyNumberFormat="0" applyProtection="0">
      <alignment horizontal="left" vertical="top" indent="1"/>
    </xf>
    <xf numFmtId="187" fontId="117" fillId="31" borderId="76" applyNumberFormat="0" applyProtection="0">
      <alignment horizontal="left" vertical="top" indent="1"/>
    </xf>
    <xf numFmtId="187" fontId="117" fillId="31" borderId="76" applyNumberFormat="0" applyProtection="0">
      <alignment horizontal="left" vertical="top" indent="1"/>
    </xf>
    <xf numFmtId="187" fontId="117" fillId="31" borderId="76" applyNumberFormat="0" applyProtection="0">
      <alignment horizontal="left" vertical="top" indent="1"/>
    </xf>
    <xf numFmtId="187" fontId="122" fillId="38" borderId="78" applyBorder="0"/>
    <xf numFmtId="4" fontId="123" fillId="65" borderId="76" applyNumberFormat="0" applyProtection="0">
      <alignment vertical="center"/>
    </xf>
    <xf numFmtId="4" fontId="123" fillId="27" borderId="76" applyNumberFormat="0" applyProtection="0">
      <alignment horizontal="left" vertical="center" indent="1"/>
    </xf>
    <xf numFmtId="187" fontId="123" fillId="65" borderId="76" applyNumberFormat="0" applyProtection="0">
      <alignment horizontal="left" vertical="top" indent="1"/>
    </xf>
    <xf numFmtId="4" fontId="117" fillId="0" borderId="74" applyNumberFormat="0" applyProtection="0">
      <alignment horizontal="right" vertical="center"/>
    </xf>
    <xf numFmtId="4" fontId="120" fillId="3" borderId="74" applyNumberFormat="0" applyProtection="0">
      <alignment horizontal="right" vertical="center"/>
    </xf>
    <xf numFmtId="4" fontId="117" fillId="70" borderId="74" applyNumberFormat="0" applyProtection="0">
      <alignment horizontal="left" vertical="center" indent="1"/>
    </xf>
    <xf numFmtId="187" fontId="123" fillId="32" borderId="76" applyNumberFormat="0" applyProtection="0">
      <alignment horizontal="left" vertical="top" indent="1"/>
    </xf>
    <xf numFmtId="4" fontId="124" fillId="81" borderId="77" applyNumberFormat="0" applyProtection="0">
      <alignment horizontal="left" vertical="center" indent="1"/>
    </xf>
    <xf numFmtId="4" fontId="125" fillId="80" borderId="74" applyNumberFormat="0" applyProtection="0">
      <alignment horizontal="right" vertical="center"/>
    </xf>
    <xf numFmtId="37" fontId="97" fillId="0" borderId="79" applyNumberFormat="0"/>
    <xf numFmtId="188" fontId="97" fillId="0" borderId="73" applyFill="0"/>
    <xf numFmtId="187" fontId="106" fillId="0" borderId="80" applyNumberFormat="0" applyFill="0" applyAlignment="0" applyProtection="0"/>
    <xf numFmtId="187" fontId="106" fillId="0" borderId="80" applyNumberFormat="0" applyFill="0" applyAlignment="0" applyProtection="0"/>
    <xf numFmtId="187" fontId="117" fillId="27" borderId="82" applyNumberFormat="0" applyProtection="0">
      <alignment horizontal="left" vertical="center" indent="1"/>
    </xf>
    <xf numFmtId="187" fontId="78" fillId="38" borderId="84" applyNumberFormat="0" applyProtection="0">
      <alignment horizontal="left" vertical="center" indent="1"/>
    </xf>
    <xf numFmtId="187" fontId="117" fillId="38" borderId="84" applyNumberFormat="0" applyProtection="0">
      <alignment horizontal="left" vertical="top" indent="1"/>
    </xf>
    <xf numFmtId="187" fontId="78" fillId="38" borderId="84" applyNumberFormat="0" applyProtection="0">
      <alignment horizontal="left" vertical="top" indent="1"/>
    </xf>
    <xf numFmtId="187" fontId="117" fillId="38" borderId="84" applyNumberFormat="0" applyProtection="0">
      <alignment horizontal="left" vertical="top" indent="1"/>
    </xf>
    <xf numFmtId="187" fontId="117" fillId="38" borderId="84" applyNumberFormat="0" applyProtection="0">
      <alignment horizontal="left" vertical="top" indent="1"/>
    </xf>
    <xf numFmtId="187" fontId="117" fillId="38" borderId="84" applyNumberFormat="0" applyProtection="0">
      <alignment horizontal="left" vertical="top" indent="1"/>
    </xf>
    <xf numFmtId="187" fontId="117" fillId="38" borderId="84" applyNumberFormat="0" applyProtection="0">
      <alignment horizontal="left" vertical="top" indent="1"/>
    </xf>
    <xf numFmtId="187" fontId="117" fillId="38" borderId="84" applyNumberFormat="0" applyProtection="0">
      <alignment horizontal="left" vertical="top" indent="1"/>
    </xf>
    <xf numFmtId="187" fontId="117" fillId="38" borderId="84" applyNumberFormat="0" applyProtection="0">
      <alignment horizontal="left" vertical="top" indent="1"/>
    </xf>
    <xf numFmtId="187" fontId="117" fillId="38" borderId="84" applyNumberFormat="0" applyProtection="0">
      <alignment horizontal="left" vertical="top" indent="1"/>
    </xf>
    <xf numFmtId="187" fontId="117" fillId="38" borderId="84" applyNumberFormat="0" applyProtection="0">
      <alignment horizontal="left" vertical="top" indent="1"/>
    </xf>
    <xf numFmtId="187" fontId="117" fillId="78" borderId="82" applyNumberFormat="0" applyProtection="0">
      <alignment horizontal="left" vertical="center" indent="1"/>
    </xf>
    <xf numFmtId="187" fontId="78" fillId="32" borderId="84" applyNumberFormat="0" applyProtection="0">
      <alignment horizontal="left" vertical="center" indent="1"/>
    </xf>
    <xf numFmtId="187" fontId="117" fillId="32" borderId="84" applyNumberFormat="0" applyProtection="0">
      <alignment horizontal="left" vertical="top" indent="1"/>
    </xf>
    <xf numFmtId="187" fontId="78" fillId="32" borderId="84" applyNumberFormat="0" applyProtection="0">
      <alignment horizontal="left" vertical="top" indent="1"/>
    </xf>
    <xf numFmtId="187" fontId="117" fillId="32" borderId="84" applyNumberFormat="0" applyProtection="0">
      <alignment horizontal="left" vertical="top" indent="1"/>
    </xf>
    <xf numFmtId="187" fontId="117" fillId="32" borderId="84" applyNumberFormat="0" applyProtection="0">
      <alignment horizontal="left" vertical="top" indent="1"/>
    </xf>
    <xf numFmtId="187" fontId="117" fillId="32" borderId="84" applyNumberFormat="0" applyProtection="0">
      <alignment horizontal="left" vertical="top" indent="1"/>
    </xf>
    <xf numFmtId="187" fontId="117" fillId="32" borderId="84" applyNumberFormat="0" applyProtection="0">
      <alignment horizontal="left" vertical="top" indent="1"/>
    </xf>
    <xf numFmtId="187" fontId="117" fillId="32" borderId="84" applyNumberFormat="0" applyProtection="0">
      <alignment horizontal="left" vertical="top" indent="1"/>
    </xf>
    <xf numFmtId="187" fontId="117" fillId="32" borderId="84" applyNumberFormat="0" applyProtection="0">
      <alignment horizontal="left" vertical="top" indent="1"/>
    </xf>
    <xf numFmtId="187" fontId="117" fillId="32" borderId="84" applyNumberFormat="0" applyProtection="0">
      <alignment horizontal="left" vertical="top" indent="1"/>
    </xf>
    <xf numFmtId="187" fontId="117" fillId="32" borderId="84" applyNumberFormat="0" applyProtection="0">
      <alignment horizontal="left" vertical="top" indent="1"/>
    </xf>
    <xf numFmtId="187" fontId="117" fillId="79" borderId="82" applyNumberFormat="0" applyProtection="0">
      <alignment horizontal="left" vertical="center" indent="1"/>
    </xf>
    <xf numFmtId="187" fontId="78" fillId="79" borderId="84" applyNumberFormat="0" applyProtection="0">
      <alignment horizontal="left" vertical="center" indent="1"/>
    </xf>
    <xf numFmtId="187" fontId="117" fillId="79" borderId="84" applyNumberFormat="0" applyProtection="0">
      <alignment horizontal="left" vertical="top" indent="1"/>
    </xf>
    <xf numFmtId="187" fontId="78" fillId="79" borderId="84" applyNumberFormat="0" applyProtection="0">
      <alignment horizontal="left" vertical="top" indent="1"/>
    </xf>
    <xf numFmtId="187" fontId="117" fillId="79" borderId="84" applyNumberFormat="0" applyProtection="0">
      <alignment horizontal="left" vertical="top" indent="1"/>
    </xf>
    <xf numFmtId="187" fontId="117" fillId="79" borderId="84" applyNumberFormat="0" applyProtection="0">
      <alignment horizontal="left" vertical="top" indent="1"/>
    </xf>
    <xf numFmtId="187" fontId="117" fillId="79" borderId="84" applyNumberFormat="0" applyProtection="0">
      <alignment horizontal="left" vertical="top" indent="1"/>
    </xf>
    <xf numFmtId="187" fontId="117" fillId="79" borderId="84" applyNumberFormat="0" applyProtection="0">
      <alignment horizontal="left" vertical="top" indent="1"/>
    </xf>
    <xf numFmtId="187" fontId="117" fillId="79" borderId="84" applyNumberFormat="0" applyProtection="0">
      <alignment horizontal="left" vertical="top" indent="1"/>
    </xf>
    <xf numFmtId="187" fontId="117" fillId="79" borderId="84" applyNumberFormat="0" applyProtection="0">
      <alignment horizontal="left" vertical="top" indent="1"/>
    </xf>
    <xf numFmtId="187" fontId="117" fillId="79" borderId="84" applyNumberFormat="0" applyProtection="0">
      <alignment horizontal="left" vertical="top" indent="1"/>
    </xf>
    <xf numFmtId="187" fontId="117" fillId="79" borderId="84" applyNumberFormat="0" applyProtection="0">
      <alignment horizontal="left" vertical="top" indent="1"/>
    </xf>
    <xf numFmtId="187" fontId="117" fillId="31" borderId="82" applyNumberFormat="0" applyProtection="0">
      <alignment horizontal="left" vertical="center" indent="1"/>
    </xf>
    <xf numFmtId="187" fontId="78" fillId="31" borderId="84" applyNumberFormat="0" applyProtection="0">
      <alignment horizontal="left" vertical="center" indent="1"/>
    </xf>
    <xf numFmtId="187" fontId="117" fillId="31" borderId="84" applyNumberFormat="0" applyProtection="0">
      <alignment horizontal="left" vertical="top" indent="1"/>
    </xf>
    <xf numFmtId="187" fontId="78" fillId="31" borderId="84" applyNumberFormat="0" applyProtection="0">
      <alignment horizontal="left" vertical="top" indent="1"/>
    </xf>
    <xf numFmtId="187" fontId="117" fillId="31" borderId="84" applyNumberFormat="0" applyProtection="0">
      <alignment horizontal="left" vertical="top" indent="1"/>
    </xf>
    <xf numFmtId="187" fontId="117" fillId="31" borderId="84" applyNumberFormat="0" applyProtection="0">
      <alignment horizontal="left" vertical="top" indent="1"/>
    </xf>
    <xf numFmtId="187" fontId="117" fillId="31" borderId="84" applyNumberFormat="0" applyProtection="0">
      <alignment horizontal="left" vertical="top" indent="1"/>
    </xf>
    <xf numFmtId="187" fontId="117" fillId="31" borderId="84" applyNumberFormat="0" applyProtection="0">
      <alignment horizontal="left" vertical="top" indent="1"/>
    </xf>
    <xf numFmtId="187" fontId="117" fillId="31" borderId="84" applyNumberFormat="0" applyProtection="0">
      <alignment horizontal="left" vertical="top" indent="1"/>
    </xf>
    <xf numFmtId="187" fontId="117" fillId="31" borderId="84" applyNumberFormat="0" applyProtection="0">
      <alignment horizontal="left" vertical="top" indent="1"/>
    </xf>
    <xf numFmtId="187" fontId="117" fillId="31" borderId="84" applyNumberFormat="0" applyProtection="0">
      <alignment horizontal="left" vertical="top" indent="1"/>
    </xf>
    <xf numFmtId="187" fontId="117" fillId="31" borderId="84" applyNumberFormat="0" applyProtection="0">
      <alignment horizontal="left" vertical="top" indent="1"/>
    </xf>
    <xf numFmtId="187" fontId="122" fillId="38" borderId="85" applyBorder="0"/>
    <xf numFmtId="4" fontId="123" fillId="65" borderId="84" applyNumberFormat="0" applyProtection="0">
      <alignment vertical="center"/>
    </xf>
    <xf numFmtId="4" fontId="123" fillId="27" borderId="84" applyNumberFormat="0" applyProtection="0">
      <alignment horizontal="left" vertical="center" indent="1"/>
    </xf>
    <xf numFmtId="187" fontId="123" fillId="65" borderId="84" applyNumberFormat="0" applyProtection="0">
      <alignment horizontal="left" vertical="top" indent="1"/>
    </xf>
    <xf numFmtId="4" fontId="117" fillId="0" borderId="82" applyNumberFormat="0" applyProtection="0">
      <alignment horizontal="right" vertical="center"/>
    </xf>
    <xf numFmtId="4" fontId="120" fillId="3" borderId="82" applyNumberFormat="0" applyProtection="0">
      <alignment horizontal="right" vertical="center"/>
    </xf>
    <xf numFmtId="4" fontId="117" fillId="70" borderId="82" applyNumberFormat="0" applyProtection="0">
      <alignment horizontal="left" vertical="center" indent="1"/>
    </xf>
    <xf numFmtId="187" fontId="123" fillId="32" borderId="84" applyNumberFormat="0" applyProtection="0">
      <alignment horizontal="left" vertical="top" indent="1"/>
    </xf>
    <xf numFmtId="4" fontId="125" fillId="80" borderId="82" applyNumberFormat="0" applyProtection="0">
      <alignment horizontal="right" vertical="center"/>
    </xf>
    <xf numFmtId="37" fontId="97" fillId="0" borderId="86" applyNumberFormat="0"/>
    <xf numFmtId="188" fontId="97" fillId="0" borderId="81" applyFill="0"/>
    <xf numFmtId="187" fontId="106" fillId="0" borderId="87" applyNumberFormat="0" applyFill="0" applyAlignment="0" applyProtection="0"/>
    <xf numFmtId="187" fontId="106" fillId="0" borderId="87" applyNumberFormat="0" applyFill="0" applyAlignment="0" applyProtection="0"/>
    <xf numFmtId="0" fontId="66" fillId="0" borderId="0"/>
    <xf numFmtId="187" fontId="117" fillId="38" borderId="92" applyNumberFormat="0" applyProtection="0">
      <alignment horizontal="left" vertical="top" indent="1"/>
    </xf>
    <xf numFmtId="187" fontId="117" fillId="38" borderId="92" applyNumberFormat="0" applyProtection="0">
      <alignment horizontal="left" vertical="top" indent="1"/>
    </xf>
    <xf numFmtId="187" fontId="106" fillId="0" borderId="95" applyNumberFormat="0" applyFill="0" applyAlignment="0" applyProtection="0"/>
    <xf numFmtId="187" fontId="106" fillId="0" borderId="95" applyNumberFormat="0" applyFill="0" applyAlignment="0" applyProtection="0"/>
    <xf numFmtId="188" fontId="97" fillId="0" borderId="89" applyFill="0"/>
    <xf numFmtId="37" fontId="97" fillId="0" borderId="88" applyNumberFormat="0"/>
    <xf numFmtId="4" fontId="125" fillId="80" borderId="90" applyNumberFormat="0" applyProtection="0">
      <alignment horizontal="right" vertical="center"/>
    </xf>
    <xf numFmtId="4" fontId="124" fillId="81" borderId="93" applyNumberFormat="0" applyProtection="0">
      <alignment horizontal="left" vertical="center" indent="1"/>
    </xf>
    <xf numFmtId="187" fontId="123" fillId="32" borderId="92" applyNumberFormat="0" applyProtection="0">
      <alignment horizontal="left" vertical="top" indent="1"/>
    </xf>
    <xf numFmtId="4" fontId="117" fillId="70" borderId="90" applyNumberFormat="0" applyProtection="0">
      <alignment horizontal="left" vertical="center" indent="1"/>
    </xf>
    <xf numFmtId="4" fontId="120" fillId="3" borderId="90" applyNumberFormat="0" applyProtection="0">
      <alignment horizontal="right" vertical="center"/>
    </xf>
    <xf numFmtId="4" fontId="117" fillId="0" borderId="90" applyNumberFormat="0" applyProtection="0">
      <alignment horizontal="right" vertical="center"/>
    </xf>
    <xf numFmtId="187" fontId="123" fillId="65" borderId="92" applyNumberFormat="0" applyProtection="0">
      <alignment horizontal="left" vertical="top" indent="1"/>
    </xf>
    <xf numFmtId="4" fontId="123" fillId="27" borderId="92" applyNumberFormat="0" applyProtection="0">
      <alignment horizontal="left" vertical="center" indent="1"/>
    </xf>
    <xf numFmtId="4" fontId="123" fillId="65" borderId="92" applyNumberFormat="0" applyProtection="0">
      <alignment vertical="center"/>
    </xf>
    <xf numFmtId="187" fontId="122" fillId="38" borderId="94" applyBorder="0"/>
    <xf numFmtId="187" fontId="117" fillId="31" borderId="92" applyNumberFormat="0" applyProtection="0">
      <alignment horizontal="left" vertical="top" indent="1"/>
    </xf>
    <xf numFmtId="187" fontId="117" fillId="31" borderId="92" applyNumberFormat="0" applyProtection="0">
      <alignment horizontal="left" vertical="top" indent="1"/>
    </xf>
    <xf numFmtId="187" fontId="117" fillId="31" borderId="92" applyNumberFormat="0" applyProtection="0">
      <alignment horizontal="left" vertical="top" indent="1"/>
    </xf>
    <xf numFmtId="187" fontId="117" fillId="31" borderId="92" applyNumberFormat="0" applyProtection="0">
      <alignment horizontal="left" vertical="top" indent="1"/>
    </xf>
    <xf numFmtId="187" fontId="117" fillId="31" borderId="92" applyNumberFormat="0" applyProtection="0">
      <alignment horizontal="left" vertical="top" indent="1"/>
    </xf>
    <xf numFmtId="187" fontId="117" fillId="31" borderId="92" applyNumberFormat="0" applyProtection="0">
      <alignment horizontal="left" vertical="top" indent="1"/>
    </xf>
    <xf numFmtId="187" fontId="117" fillId="31" borderId="92" applyNumberFormat="0" applyProtection="0">
      <alignment horizontal="left" vertical="top" indent="1"/>
    </xf>
    <xf numFmtId="187" fontId="117" fillId="31" borderId="92" applyNumberFormat="0" applyProtection="0">
      <alignment horizontal="left" vertical="top" indent="1"/>
    </xf>
    <xf numFmtId="187" fontId="78" fillId="31" borderId="92" applyNumberFormat="0" applyProtection="0">
      <alignment horizontal="left" vertical="top" indent="1"/>
    </xf>
    <xf numFmtId="187" fontId="117" fillId="31" borderId="92" applyNumberFormat="0" applyProtection="0">
      <alignment horizontal="left" vertical="top" indent="1"/>
    </xf>
    <xf numFmtId="187" fontId="78" fillId="31" borderId="92" applyNumberFormat="0" applyProtection="0">
      <alignment horizontal="left" vertical="center" indent="1"/>
    </xf>
    <xf numFmtId="187" fontId="117" fillId="31" borderId="90" applyNumberFormat="0" applyProtection="0">
      <alignment horizontal="left" vertical="center" indent="1"/>
    </xf>
    <xf numFmtId="187" fontId="117" fillId="79" borderId="92" applyNumberFormat="0" applyProtection="0">
      <alignment horizontal="left" vertical="top" indent="1"/>
    </xf>
    <xf numFmtId="187" fontId="117" fillId="79" borderId="92" applyNumberFormat="0" applyProtection="0">
      <alignment horizontal="left" vertical="top" indent="1"/>
    </xf>
    <xf numFmtId="187" fontId="117" fillId="79" borderId="92" applyNumberFormat="0" applyProtection="0">
      <alignment horizontal="left" vertical="top" indent="1"/>
    </xf>
    <xf numFmtId="187" fontId="117" fillId="79" borderId="92" applyNumberFormat="0" applyProtection="0">
      <alignment horizontal="left" vertical="top" indent="1"/>
    </xf>
    <xf numFmtId="187" fontId="117" fillId="79" borderId="92" applyNumberFormat="0" applyProtection="0">
      <alignment horizontal="left" vertical="top" indent="1"/>
    </xf>
    <xf numFmtId="187" fontId="117" fillId="79" borderId="92" applyNumberFormat="0" applyProtection="0">
      <alignment horizontal="left" vertical="top" indent="1"/>
    </xf>
    <xf numFmtId="187" fontId="117" fillId="79" borderId="92" applyNumberFormat="0" applyProtection="0">
      <alignment horizontal="left" vertical="top" indent="1"/>
    </xf>
    <xf numFmtId="187" fontId="117" fillId="79" borderId="92" applyNumberFormat="0" applyProtection="0">
      <alignment horizontal="left" vertical="top" indent="1"/>
    </xf>
    <xf numFmtId="187" fontId="78" fillId="79" borderId="92" applyNumberFormat="0" applyProtection="0">
      <alignment horizontal="left" vertical="top" indent="1"/>
    </xf>
    <xf numFmtId="187" fontId="117" fillId="79" borderId="92" applyNumberFormat="0" applyProtection="0">
      <alignment horizontal="left" vertical="top" indent="1"/>
    </xf>
    <xf numFmtId="187" fontId="78" fillId="79" borderId="92" applyNumberFormat="0" applyProtection="0">
      <alignment horizontal="left" vertical="center" indent="1"/>
    </xf>
    <xf numFmtId="187" fontId="117" fillId="79" borderId="90" applyNumberFormat="0" applyProtection="0">
      <alignment horizontal="left" vertical="center" indent="1"/>
    </xf>
    <xf numFmtId="187" fontId="117" fillId="32" borderId="92" applyNumberFormat="0" applyProtection="0">
      <alignment horizontal="left" vertical="top" indent="1"/>
    </xf>
    <xf numFmtId="187" fontId="117" fillId="32" borderId="92" applyNumberFormat="0" applyProtection="0">
      <alignment horizontal="left" vertical="top" indent="1"/>
    </xf>
    <xf numFmtId="187" fontId="117" fillId="32" borderId="92" applyNumberFormat="0" applyProtection="0">
      <alignment horizontal="left" vertical="top" indent="1"/>
    </xf>
    <xf numFmtId="187" fontId="117" fillId="32" borderId="92" applyNumberFormat="0" applyProtection="0">
      <alignment horizontal="left" vertical="top" indent="1"/>
    </xf>
    <xf numFmtId="187" fontId="117" fillId="32" borderId="92" applyNumberFormat="0" applyProtection="0">
      <alignment horizontal="left" vertical="top" indent="1"/>
    </xf>
    <xf numFmtId="187" fontId="117" fillId="32" borderId="92" applyNumberFormat="0" applyProtection="0">
      <alignment horizontal="left" vertical="top" indent="1"/>
    </xf>
    <xf numFmtId="187" fontId="117" fillId="32" borderId="92" applyNumberFormat="0" applyProtection="0">
      <alignment horizontal="left" vertical="top" indent="1"/>
    </xf>
    <xf numFmtId="187" fontId="117" fillId="32" borderId="92" applyNumberFormat="0" applyProtection="0">
      <alignment horizontal="left" vertical="top" indent="1"/>
    </xf>
    <xf numFmtId="187" fontId="78" fillId="32" borderId="92" applyNumberFormat="0" applyProtection="0">
      <alignment horizontal="left" vertical="top" indent="1"/>
    </xf>
    <xf numFmtId="187" fontId="117" fillId="32" borderId="92" applyNumberFormat="0" applyProtection="0">
      <alignment horizontal="left" vertical="top" indent="1"/>
    </xf>
    <xf numFmtId="187" fontId="78" fillId="32" borderId="92" applyNumberFormat="0" applyProtection="0">
      <alignment horizontal="left" vertical="center" indent="1"/>
    </xf>
    <xf numFmtId="187" fontId="117" fillId="78" borderId="90" applyNumberFormat="0" applyProtection="0">
      <alignment horizontal="left" vertical="center" indent="1"/>
    </xf>
    <xf numFmtId="187" fontId="117" fillId="38" borderId="92" applyNumberFormat="0" applyProtection="0">
      <alignment horizontal="left" vertical="top" indent="1"/>
    </xf>
    <xf numFmtId="187" fontId="117" fillId="38" borderId="92" applyNumberFormat="0" applyProtection="0">
      <alignment horizontal="left" vertical="top" indent="1"/>
    </xf>
    <xf numFmtId="187" fontId="117" fillId="38" borderId="92" applyNumberFormat="0" applyProtection="0">
      <alignment horizontal="left" vertical="top" indent="1"/>
    </xf>
    <xf numFmtId="187" fontId="117" fillId="38" borderId="92" applyNumberFormat="0" applyProtection="0">
      <alignment horizontal="left" vertical="top" indent="1"/>
    </xf>
    <xf numFmtId="187" fontId="117" fillId="38" borderId="92" applyNumberFormat="0" applyProtection="0">
      <alignment horizontal="left" vertical="top" indent="1"/>
    </xf>
    <xf numFmtId="187" fontId="117" fillId="38" borderId="92" applyNumberFormat="0" applyProtection="0">
      <alignment horizontal="left" vertical="top" indent="1"/>
    </xf>
    <xf numFmtId="187" fontId="78" fillId="38" borderId="92" applyNumberFormat="0" applyProtection="0">
      <alignment horizontal="left" vertical="top" indent="1"/>
    </xf>
    <xf numFmtId="187" fontId="117" fillId="38" borderId="92" applyNumberFormat="0" applyProtection="0">
      <alignment horizontal="left" vertical="top" indent="1"/>
    </xf>
    <xf numFmtId="187" fontId="78" fillId="38" borderId="92" applyNumberFormat="0" applyProtection="0">
      <alignment horizontal="left" vertical="center" indent="1"/>
    </xf>
    <xf numFmtId="187" fontId="117" fillId="27" borderId="90" applyNumberFormat="0" applyProtection="0">
      <alignment horizontal="left" vertical="center" indent="1"/>
    </xf>
    <xf numFmtId="4" fontId="117" fillId="32" borderId="93" applyNumberFormat="0" applyProtection="0">
      <alignment horizontal="left" vertical="center" indent="1"/>
    </xf>
    <xf numFmtId="4" fontId="117" fillId="31" borderId="93" applyNumberFormat="0" applyProtection="0">
      <alignment horizontal="left" vertical="center" indent="1"/>
    </xf>
    <xf numFmtId="4" fontId="117" fillId="32" borderId="90" applyNumberFormat="0" applyProtection="0">
      <alignment horizontal="right" vertical="center"/>
    </xf>
    <xf numFmtId="4" fontId="78" fillId="38" borderId="93" applyNumberFormat="0" applyProtection="0">
      <alignment horizontal="left" vertical="center" indent="1"/>
    </xf>
    <xf numFmtId="4" fontId="78" fillId="38" borderId="93" applyNumberFormat="0" applyProtection="0">
      <alignment horizontal="left" vertical="center" indent="1"/>
    </xf>
    <xf numFmtId="4" fontId="117" fillId="77" borderId="93" applyNumberFormat="0" applyProtection="0">
      <alignment horizontal="left" vertical="center" indent="1"/>
    </xf>
    <xf numFmtId="4" fontId="117" fillId="76" borderId="90" applyNumberFormat="0" applyProtection="0">
      <alignment horizontal="right" vertical="center"/>
    </xf>
    <xf numFmtId="4" fontId="117" fillId="33" borderId="90" applyNumberFormat="0" applyProtection="0">
      <alignment horizontal="right" vertical="center"/>
    </xf>
    <xf numFmtId="4" fontId="117" fillId="36" borderId="90" applyNumberFormat="0" applyProtection="0">
      <alignment horizontal="right" vertical="center"/>
    </xf>
    <xf numFmtId="4" fontId="117" fillId="75" borderId="90" applyNumberFormat="0" applyProtection="0">
      <alignment horizontal="right" vertical="center"/>
    </xf>
    <xf numFmtId="4" fontId="117" fillId="74" borderId="90" applyNumberFormat="0" applyProtection="0">
      <alignment horizontal="right" vertical="center"/>
    </xf>
    <xf numFmtId="4" fontId="117" fillId="40" borderId="90" applyNumberFormat="0" applyProtection="0">
      <alignment horizontal="right" vertical="center"/>
    </xf>
    <xf numFmtId="4" fontId="117" fillId="73" borderId="93" applyNumberFormat="0" applyProtection="0">
      <alignment horizontal="right" vertical="center"/>
    </xf>
    <xf numFmtId="4" fontId="117" fillId="72" borderId="90" applyNumberFormat="0" applyProtection="0">
      <alignment horizontal="right" vertical="center"/>
    </xf>
    <xf numFmtId="4" fontId="117" fillId="71" borderId="90" applyNumberFormat="0" applyProtection="0">
      <alignment horizontal="right" vertical="center"/>
    </xf>
    <xf numFmtId="4" fontId="117" fillId="70" borderId="90" applyNumberFormat="0" applyProtection="0">
      <alignment horizontal="left" vertical="center" indent="1"/>
    </xf>
    <xf numFmtId="187" fontId="121" fillId="69" borderId="92" applyNumberFormat="0" applyProtection="0">
      <alignment horizontal="left" vertical="top" indent="1"/>
    </xf>
    <xf numFmtId="4" fontId="117" fillId="6" borderId="90" applyNumberFormat="0" applyProtection="0">
      <alignment horizontal="left" vertical="center" indent="1"/>
    </xf>
    <xf numFmtId="4" fontId="120" fillId="6" borderId="90" applyNumberFormat="0" applyProtection="0">
      <alignment vertical="center"/>
    </xf>
    <xf numFmtId="4" fontId="117" fillId="69" borderId="90" applyNumberFormat="0" applyProtection="0">
      <alignment vertical="center"/>
    </xf>
    <xf numFmtId="187" fontId="118" fillId="61" borderId="91" applyNumberFormat="0" applyAlignment="0" applyProtection="0"/>
    <xf numFmtId="187" fontId="118" fillId="61" borderId="91" applyNumberFormat="0" applyAlignment="0" applyProtection="0"/>
    <xf numFmtId="187" fontId="117" fillId="57" borderId="90" applyNumberFormat="0" applyFont="0" applyAlignment="0" applyProtection="0"/>
    <xf numFmtId="187" fontId="117" fillId="57" borderId="90" applyNumberFormat="0" applyFont="0" applyAlignment="0" applyProtection="0"/>
    <xf numFmtId="187" fontId="117" fillId="57" borderId="90" applyNumberFormat="0" applyFont="0" applyAlignment="0" applyProtection="0"/>
    <xf numFmtId="187" fontId="117" fillId="57" borderId="90" applyNumberFormat="0" applyFont="0" applyAlignment="0" applyProtection="0"/>
    <xf numFmtId="187" fontId="117" fillId="57" borderId="90" applyNumberFormat="0" applyFont="0" applyAlignment="0" applyProtection="0"/>
    <xf numFmtId="187" fontId="117" fillId="57" borderId="90" applyNumberFormat="0" applyFont="0" applyAlignment="0" applyProtection="0"/>
    <xf numFmtId="187" fontId="117" fillId="57" borderId="90" applyNumberFormat="0" applyFont="0" applyAlignment="0" applyProtection="0"/>
    <xf numFmtId="187" fontId="117" fillId="57" borderId="90" applyNumberFormat="0" applyFont="0" applyAlignment="0" applyProtection="0"/>
    <xf numFmtId="187" fontId="117" fillId="57" borderId="90" applyNumberFormat="0" applyFont="0" applyAlignment="0" applyProtection="0"/>
    <xf numFmtId="187" fontId="104" fillId="61" borderId="96" applyNumberFormat="0" applyAlignment="0" applyProtection="0"/>
    <xf numFmtId="187" fontId="104" fillId="61" borderId="96" applyNumberFormat="0" applyAlignment="0" applyProtection="0"/>
    <xf numFmtId="187" fontId="112" fillId="58" borderId="96" applyNumberFormat="0" applyAlignment="0" applyProtection="0"/>
    <xf numFmtId="187" fontId="112" fillId="58" borderId="96" applyNumberFormat="0" applyAlignment="0" applyProtection="0"/>
    <xf numFmtId="187" fontId="112" fillId="58" borderId="90" applyNumberFormat="0" applyAlignment="0" applyProtection="0"/>
    <xf numFmtId="187" fontId="112" fillId="58" borderId="90" applyNumberFormat="0" applyAlignment="0" applyProtection="0"/>
    <xf numFmtId="187" fontId="104" fillId="61" borderId="90" applyNumberFormat="0" applyAlignment="0" applyProtection="0"/>
    <xf numFmtId="187" fontId="104" fillId="61" borderId="90" applyNumberFormat="0" applyAlignment="0" applyProtection="0"/>
    <xf numFmtId="187" fontId="117" fillId="57" borderId="96" applyNumberFormat="0" applyFont="0" applyAlignment="0" applyProtection="0"/>
    <xf numFmtId="187" fontId="117" fillId="57" borderId="96" applyNumberFormat="0" applyFont="0" applyAlignment="0" applyProtection="0"/>
    <xf numFmtId="187" fontId="117" fillId="57" borderId="96" applyNumberFormat="0" applyFont="0" applyAlignment="0" applyProtection="0"/>
    <xf numFmtId="187" fontId="117" fillId="57" borderId="96" applyNumberFormat="0" applyFont="0" applyAlignment="0" applyProtection="0"/>
    <xf numFmtId="187" fontId="117" fillId="57" borderId="96" applyNumberFormat="0" applyFont="0" applyAlignment="0" applyProtection="0"/>
    <xf numFmtId="187" fontId="117" fillId="57" borderId="96" applyNumberFormat="0" applyFont="0" applyAlignment="0" applyProtection="0"/>
    <xf numFmtId="187" fontId="117" fillId="57" borderId="96" applyNumberFormat="0" applyFont="0" applyAlignment="0" applyProtection="0"/>
    <xf numFmtId="187" fontId="117" fillId="57" borderId="96" applyNumberFormat="0" applyFont="0" applyAlignment="0" applyProtection="0"/>
    <xf numFmtId="187" fontId="117" fillId="57" borderId="96" applyNumberFormat="0" applyFont="0" applyAlignment="0" applyProtection="0"/>
    <xf numFmtId="4" fontId="117" fillId="69" borderId="96" applyNumberFormat="0" applyProtection="0">
      <alignment vertical="center"/>
    </xf>
    <xf numFmtId="4" fontId="120" fillId="6" borderId="96" applyNumberFormat="0" applyProtection="0">
      <alignment vertical="center"/>
    </xf>
    <xf numFmtId="4" fontId="117" fillId="6" borderId="96" applyNumberFormat="0" applyProtection="0">
      <alignment horizontal="left" vertical="center" indent="1"/>
    </xf>
    <xf numFmtId="4" fontId="117" fillId="70" borderId="96" applyNumberFormat="0" applyProtection="0">
      <alignment horizontal="left" vertical="center" indent="1"/>
    </xf>
    <xf numFmtId="4" fontId="117" fillId="71" borderId="96" applyNumberFormat="0" applyProtection="0">
      <alignment horizontal="right" vertical="center"/>
    </xf>
    <xf numFmtId="4" fontId="117" fillId="72" borderId="96" applyNumberFormat="0" applyProtection="0">
      <alignment horizontal="right" vertical="center"/>
    </xf>
    <xf numFmtId="4" fontId="117" fillId="40" borderId="96" applyNumberFormat="0" applyProtection="0">
      <alignment horizontal="right" vertical="center"/>
    </xf>
    <xf numFmtId="4" fontId="117" fillId="74" borderId="96" applyNumberFormat="0" applyProtection="0">
      <alignment horizontal="right" vertical="center"/>
    </xf>
    <xf numFmtId="4" fontId="117" fillId="75" borderId="96" applyNumberFormat="0" applyProtection="0">
      <alignment horizontal="right" vertical="center"/>
    </xf>
    <xf numFmtId="4" fontId="117" fillId="36" borderId="96" applyNumberFormat="0" applyProtection="0">
      <alignment horizontal="right" vertical="center"/>
    </xf>
    <xf numFmtId="4" fontId="117" fillId="33" borderId="96" applyNumberFormat="0" applyProtection="0">
      <alignment horizontal="right" vertical="center"/>
    </xf>
    <xf numFmtId="4" fontId="117" fillId="76" borderId="96" applyNumberFormat="0" applyProtection="0">
      <alignment horizontal="right" vertical="center"/>
    </xf>
    <xf numFmtId="4" fontId="117" fillId="32" borderId="96" applyNumberFormat="0" applyProtection="0">
      <alignment horizontal="right" vertical="center"/>
    </xf>
    <xf numFmtId="187" fontId="117" fillId="27" borderId="96" applyNumberFormat="0" applyProtection="0">
      <alignment horizontal="left" vertical="center" indent="1"/>
    </xf>
    <xf numFmtId="187" fontId="117" fillId="78" borderId="96" applyNumberFormat="0" applyProtection="0">
      <alignment horizontal="left" vertical="center" indent="1"/>
    </xf>
    <xf numFmtId="187" fontId="117" fillId="79" borderId="96" applyNumberFormat="0" applyProtection="0">
      <alignment horizontal="left" vertical="center" indent="1"/>
    </xf>
    <xf numFmtId="187" fontId="117" fillId="31" borderId="96" applyNumberFormat="0" applyProtection="0">
      <alignment horizontal="left" vertical="center" indent="1"/>
    </xf>
    <xf numFmtId="4" fontId="117" fillId="0" borderId="96" applyNumberFormat="0" applyProtection="0">
      <alignment horizontal="right" vertical="center"/>
    </xf>
    <xf numFmtId="4" fontId="120" fillId="3" borderId="96" applyNumberFormat="0" applyProtection="0">
      <alignment horizontal="right" vertical="center"/>
    </xf>
    <xf numFmtId="4" fontId="117" fillId="70" borderId="96" applyNumberFormat="0" applyProtection="0">
      <alignment horizontal="left" vertical="center" indent="1"/>
    </xf>
    <xf numFmtId="4" fontId="125" fillId="80" borderId="96" applyNumberFormat="0" applyProtection="0">
      <alignment horizontal="right" vertical="center"/>
    </xf>
    <xf numFmtId="43" fontId="3" fillId="0" borderId="0" applyFont="0" applyFill="0" applyBorder="0" applyAlignment="0" applyProtection="0"/>
    <xf numFmtId="187" fontId="117" fillId="57" borderId="108" applyNumberFormat="0" applyFont="0" applyAlignment="0" applyProtection="0"/>
    <xf numFmtId="43" fontId="3" fillId="0" borderId="0" applyFont="0" applyFill="0" applyBorder="0" applyAlignment="0" applyProtection="0"/>
    <xf numFmtId="43" fontId="86" fillId="0" borderId="0" applyFont="0" applyFill="0" applyBorder="0" applyAlignment="0" applyProtection="0"/>
    <xf numFmtId="187" fontId="104" fillId="61" borderId="101" applyNumberFormat="0" applyAlignment="0" applyProtection="0"/>
    <xf numFmtId="187" fontId="104" fillId="61" borderId="101" applyNumberFormat="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78"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78"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01"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101" fillId="0" borderId="0" applyFont="0" applyFill="0" applyBorder="0" applyAlignment="0" applyProtection="0"/>
    <xf numFmtId="43" fontId="11" fillId="0" borderId="0" applyFont="0" applyFill="0" applyBorder="0" applyAlignment="0" applyProtection="0"/>
    <xf numFmtId="43" fontId="9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187" fontId="112" fillId="58" borderId="101" applyNumberFormat="0" applyAlignment="0" applyProtection="0"/>
    <xf numFmtId="187" fontId="112" fillId="58" borderId="101" applyNumberFormat="0" applyAlignment="0" applyProtection="0"/>
    <xf numFmtId="187" fontId="117" fillId="57" borderId="101" applyNumberFormat="0" applyFont="0" applyAlignment="0" applyProtection="0"/>
    <xf numFmtId="187" fontId="117" fillId="57" borderId="101" applyNumberFormat="0" applyFont="0" applyAlignment="0" applyProtection="0"/>
    <xf numFmtId="187" fontId="117" fillId="57" borderId="101" applyNumberFormat="0" applyFont="0" applyAlignment="0" applyProtection="0"/>
    <xf numFmtId="187" fontId="117" fillId="57" borderId="101" applyNumberFormat="0" applyFont="0" applyAlignment="0" applyProtection="0"/>
    <xf numFmtId="187" fontId="117" fillId="57" borderId="101" applyNumberFormat="0" applyFont="0" applyAlignment="0" applyProtection="0"/>
    <xf numFmtId="187" fontId="117" fillId="57" borderId="101" applyNumberFormat="0" applyFont="0" applyAlignment="0" applyProtection="0"/>
    <xf numFmtId="187" fontId="117" fillId="57" borderId="101" applyNumberFormat="0" applyFont="0" applyAlignment="0" applyProtection="0"/>
    <xf numFmtId="187" fontId="117" fillId="57" borderId="101" applyNumberFormat="0" applyFont="0" applyAlignment="0" applyProtection="0"/>
    <xf numFmtId="187" fontId="117" fillId="57" borderId="101" applyNumberFormat="0" applyFont="0" applyAlignment="0" applyProtection="0"/>
    <xf numFmtId="187" fontId="118" fillId="61" borderId="102" applyNumberFormat="0" applyAlignment="0" applyProtection="0"/>
    <xf numFmtId="187" fontId="118" fillId="61" borderId="102" applyNumberFormat="0" applyAlignment="0" applyProtection="0"/>
    <xf numFmtId="4" fontId="117" fillId="69" borderId="101" applyNumberFormat="0" applyProtection="0">
      <alignment vertical="center"/>
    </xf>
    <xf numFmtId="4" fontId="120" fillId="6" borderId="101" applyNumberFormat="0" applyProtection="0">
      <alignment vertical="center"/>
    </xf>
    <xf numFmtId="4" fontId="117" fillId="6" borderId="101" applyNumberFormat="0" applyProtection="0">
      <alignment horizontal="left" vertical="center" indent="1"/>
    </xf>
    <xf numFmtId="187" fontId="121" fillId="69" borderId="103" applyNumberFormat="0" applyProtection="0">
      <alignment horizontal="left" vertical="top" indent="1"/>
    </xf>
    <xf numFmtId="4" fontId="117" fillId="70" borderId="101" applyNumberFormat="0" applyProtection="0">
      <alignment horizontal="left" vertical="center" indent="1"/>
    </xf>
    <xf numFmtId="4" fontId="117" fillId="71" borderId="101" applyNumberFormat="0" applyProtection="0">
      <alignment horizontal="right" vertical="center"/>
    </xf>
    <xf numFmtId="4" fontId="117" fillId="72" borderId="101" applyNumberFormat="0" applyProtection="0">
      <alignment horizontal="right" vertical="center"/>
    </xf>
    <xf numFmtId="4" fontId="117" fillId="73" borderId="104" applyNumberFormat="0" applyProtection="0">
      <alignment horizontal="right" vertical="center"/>
    </xf>
    <xf numFmtId="4" fontId="117" fillId="40" borderId="101" applyNumberFormat="0" applyProtection="0">
      <alignment horizontal="right" vertical="center"/>
    </xf>
    <xf numFmtId="4" fontId="117" fillId="74" borderId="101" applyNumberFormat="0" applyProtection="0">
      <alignment horizontal="right" vertical="center"/>
    </xf>
    <xf numFmtId="4" fontId="117" fillId="75" borderId="101" applyNumberFormat="0" applyProtection="0">
      <alignment horizontal="right" vertical="center"/>
    </xf>
    <xf numFmtId="4" fontId="117" fillId="36" borderId="101" applyNumberFormat="0" applyProtection="0">
      <alignment horizontal="right" vertical="center"/>
    </xf>
    <xf numFmtId="4" fontId="117" fillId="33" borderId="101" applyNumberFormat="0" applyProtection="0">
      <alignment horizontal="right" vertical="center"/>
    </xf>
    <xf numFmtId="4" fontId="117" fillId="76" borderId="101" applyNumberFormat="0" applyProtection="0">
      <alignment horizontal="right" vertical="center"/>
    </xf>
    <xf numFmtId="4" fontId="117" fillId="77" borderId="104" applyNumberFormat="0" applyProtection="0">
      <alignment horizontal="left" vertical="center" indent="1"/>
    </xf>
    <xf numFmtId="4" fontId="78" fillId="38" borderId="104" applyNumberFormat="0" applyProtection="0">
      <alignment horizontal="left" vertical="center" indent="1"/>
    </xf>
    <xf numFmtId="4" fontId="78" fillId="38" borderId="104" applyNumberFormat="0" applyProtection="0">
      <alignment horizontal="left" vertical="center" indent="1"/>
    </xf>
    <xf numFmtId="4" fontId="117" fillId="32" borderId="101" applyNumberFormat="0" applyProtection="0">
      <alignment horizontal="right" vertical="center"/>
    </xf>
    <xf numFmtId="4" fontId="117" fillId="31" borderId="104" applyNumberFormat="0" applyProtection="0">
      <alignment horizontal="left" vertical="center" indent="1"/>
    </xf>
    <xf numFmtId="4" fontId="117" fillId="32" borderId="104" applyNumberFormat="0" applyProtection="0">
      <alignment horizontal="left" vertical="center" indent="1"/>
    </xf>
    <xf numFmtId="187" fontId="117" fillId="27" borderId="101" applyNumberFormat="0" applyProtection="0">
      <alignment horizontal="left" vertical="center" indent="1"/>
    </xf>
    <xf numFmtId="187" fontId="78" fillId="38" borderId="103" applyNumberFormat="0" applyProtection="0">
      <alignment horizontal="left" vertical="center" indent="1"/>
    </xf>
    <xf numFmtId="187" fontId="117" fillId="38" borderId="103" applyNumberFormat="0" applyProtection="0">
      <alignment horizontal="left" vertical="top" indent="1"/>
    </xf>
    <xf numFmtId="187" fontId="78" fillId="38" borderId="103" applyNumberFormat="0" applyProtection="0">
      <alignment horizontal="left" vertical="top" indent="1"/>
    </xf>
    <xf numFmtId="187" fontId="117" fillId="38" borderId="103" applyNumberFormat="0" applyProtection="0">
      <alignment horizontal="left" vertical="top" indent="1"/>
    </xf>
    <xf numFmtId="187" fontId="117" fillId="38" borderId="103" applyNumberFormat="0" applyProtection="0">
      <alignment horizontal="left" vertical="top" indent="1"/>
    </xf>
    <xf numFmtId="187" fontId="117" fillId="38" borderId="103" applyNumberFormat="0" applyProtection="0">
      <alignment horizontal="left" vertical="top" indent="1"/>
    </xf>
    <xf numFmtId="187" fontId="117" fillId="38" borderId="103" applyNumberFormat="0" applyProtection="0">
      <alignment horizontal="left" vertical="top" indent="1"/>
    </xf>
    <xf numFmtId="187" fontId="117" fillId="38" borderId="103" applyNumberFormat="0" applyProtection="0">
      <alignment horizontal="left" vertical="top" indent="1"/>
    </xf>
    <xf numFmtId="187" fontId="117" fillId="38" borderId="103" applyNumberFormat="0" applyProtection="0">
      <alignment horizontal="left" vertical="top" indent="1"/>
    </xf>
    <xf numFmtId="187" fontId="117" fillId="38" borderId="103" applyNumberFormat="0" applyProtection="0">
      <alignment horizontal="left" vertical="top" indent="1"/>
    </xf>
    <xf numFmtId="187" fontId="117" fillId="38" borderId="103" applyNumberFormat="0" applyProtection="0">
      <alignment horizontal="left" vertical="top" indent="1"/>
    </xf>
    <xf numFmtId="187" fontId="117" fillId="78" borderId="101" applyNumberFormat="0" applyProtection="0">
      <alignment horizontal="left" vertical="center" indent="1"/>
    </xf>
    <xf numFmtId="187" fontId="78" fillId="32" borderId="103" applyNumberFormat="0" applyProtection="0">
      <alignment horizontal="left" vertical="center" indent="1"/>
    </xf>
    <xf numFmtId="187" fontId="117" fillId="32" borderId="103" applyNumberFormat="0" applyProtection="0">
      <alignment horizontal="left" vertical="top" indent="1"/>
    </xf>
    <xf numFmtId="187" fontId="78" fillId="32" borderId="103" applyNumberFormat="0" applyProtection="0">
      <alignment horizontal="left" vertical="top" indent="1"/>
    </xf>
    <xf numFmtId="187" fontId="117" fillId="32" borderId="103" applyNumberFormat="0" applyProtection="0">
      <alignment horizontal="left" vertical="top" indent="1"/>
    </xf>
    <xf numFmtId="187" fontId="117" fillId="32" borderId="103" applyNumberFormat="0" applyProtection="0">
      <alignment horizontal="left" vertical="top" indent="1"/>
    </xf>
    <xf numFmtId="187" fontId="117" fillId="32" borderId="103" applyNumberFormat="0" applyProtection="0">
      <alignment horizontal="left" vertical="top" indent="1"/>
    </xf>
    <xf numFmtId="187" fontId="117" fillId="32" borderId="103" applyNumberFormat="0" applyProtection="0">
      <alignment horizontal="left" vertical="top" indent="1"/>
    </xf>
    <xf numFmtId="187" fontId="117" fillId="32" borderId="103" applyNumberFormat="0" applyProtection="0">
      <alignment horizontal="left" vertical="top" indent="1"/>
    </xf>
    <xf numFmtId="187" fontId="117" fillId="32" borderId="103" applyNumberFormat="0" applyProtection="0">
      <alignment horizontal="left" vertical="top" indent="1"/>
    </xf>
    <xf numFmtId="187" fontId="117" fillId="32" borderId="103" applyNumberFormat="0" applyProtection="0">
      <alignment horizontal="left" vertical="top" indent="1"/>
    </xf>
    <xf numFmtId="187" fontId="117" fillId="32" borderId="103" applyNumberFormat="0" applyProtection="0">
      <alignment horizontal="left" vertical="top" indent="1"/>
    </xf>
    <xf numFmtId="187" fontId="117" fillId="79" borderId="101" applyNumberFormat="0" applyProtection="0">
      <alignment horizontal="left" vertical="center" indent="1"/>
    </xf>
    <xf numFmtId="187" fontId="78" fillId="79" borderId="103" applyNumberFormat="0" applyProtection="0">
      <alignment horizontal="left" vertical="center" indent="1"/>
    </xf>
    <xf numFmtId="187" fontId="117" fillId="79" borderId="103" applyNumberFormat="0" applyProtection="0">
      <alignment horizontal="left" vertical="top" indent="1"/>
    </xf>
    <xf numFmtId="187" fontId="78" fillId="79" borderId="103" applyNumberFormat="0" applyProtection="0">
      <alignment horizontal="left" vertical="top" indent="1"/>
    </xf>
    <xf numFmtId="187" fontId="117" fillId="79" borderId="103" applyNumberFormat="0" applyProtection="0">
      <alignment horizontal="left" vertical="top" indent="1"/>
    </xf>
    <xf numFmtId="187" fontId="117" fillId="79" borderId="103" applyNumberFormat="0" applyProtection="0">
      <alignment horizontal="left" vertical="top" indent="1"/>
    </xf>
    <xf numFmtId="187" fontId="117" fillId="79" borderId="103" applyNumberFormat="0" applyProtection="0">
      <alignment horizontal="left" vertical="top" indent="1"/>
    </xf>
    <xf numFmtId="187" fontId="117" fillId="79" borderId="103" applyNumberFormat="0" applyProtection="0">
      <alignment horizontal="left" vertical="top" indent="1"/>
    </xf>
    <xf numFmtId="187" fontId="117" fillId="79" borderId="103" applyNumberFormat="0" applyProtection="0">
      <alignment horizontal="left" vertical="top" indent="1"/>
    </xf>
    <xf numFmtId="187" fontId="117" fillId="79" borderId="103" applyNumberFormat="0" applyProtection="0">
      <alignment horizontal="left" vertical="top" indent="1"/>
    </xf>
    <xf numFmtId="187" fontId="117" fillId="79" borderId="103" applyNumberFormat="0" applyProtection="0">
      <alignment horizontal="left" vertical="top" indent="1"/>
    </xf>
    <xf numFmtId="187" fontId="117" fillId="79" borderId="103" applyNumberFormat="0" applyProtection="0">
      <alignment horizontal="left" vertical="top" indent="1"/>
    </xf>
    <xf numFmtId="187" fontId="117" fillId="31" borderId="101" applyNumberFormat="0" applyProtection="0">
      <alignment horizontal="left" vertical="center" indent="1"/>
    </xf>
    <xf numFmtId="187" fontId="78" fillId="31" borderId="103" applyNumberFormat="0" applyProtection="0">
      <alignment horizontal="left" vertical="center" indent="1"/>
    </xf>
    <xf numFmtId="187" fontId="117" fillId="31" borderId="103" applyNumberFormat="0" applyProtection="0">
      <alignment horizontal="left" vertical="top" indent="1"/>
    </xf>
    <xf numFmtId="187" fontId="78" fillId="31" borderId="103" applyNumberFormat="0" applyProtection="0">
      <alignment horizontal="left" vertical="top" indent="1"/>
    </xf>
    <xf numFmtId="187" fontId="117" fillId="31" borderId="103" applyNumberFormat="0" applyProtection="0">
      <alignment horizontal="left" vertical="top" indent="1"/>
    </xf>
    <xf numFmtId="187" fontId="117" fillId="31" borderId="103" applyNumberFormat="0" applyProtection="0">
      <alignment horizontal="left" vertical="top" indent="1"/>
    </xf>
    <xf numFmtId="187" fontId="117" fillId="31" borderId="103" applyNumberFormat="0" applyProtection="0">
      <alignment horizontal="left" vertical="top" indent="1"/>
    </xf>
    <xf numFmtId="187" fontId="117" fillId="31" borderId="103" applyNumberFormat="0" applyProtection="0">
      <alignment horizontal="left" vertical="top" indent="1"/>
    </xf>
    <xf numFmtId="187" fontId="117" fillId="31" borderId="103" applyNumberFormat="0" applyProtection="0">
      <alignment horizontal="left" vertical="top" indent="1"/>
    </xf>
    <xf numFmtId="187" fontId="117" fillId="31" borderId="103" applyNumberFormat="0" applyProtection="0">
      <alignment horizontal="left" vertical="top" indent="1"/>
    </xf>
    <xf numFmtId="187" fontId="117" fillId="31" borderId="103" applyNumberFormat="0" applyProtection="0">
      <alignment horizontal="left" vertical="top" indent="1"/>
    </xf>
    <xf numFmtId="187" fontId="117" fillId="31" borderId="103" applyNumberFormat="0" applyProtection="0">
      <alignment horizontal="left" vertical="top" indent="1"/>
    </xf>
    <xf numFmtId="187" fontId="122" fillId="38" borderId="105" applyBorder="0"/>
    <xf numFmtId="4" fontId="123" fillId="65" borderId="103" applyNumberFormat="0" applyProtection="0">
      <alignment vertical="center"/>
    </xf>
    <xf numFmtId="4" fontId="123" fillId="27" borderId="103" applyNumberFormat="0" applyProtection="0">
      <alignment horizontal="left" vertical="center" indent="1"/>
    </xf>
    <xf numFmtId="187" fontId="123" fillId="65" borderId="103" applyNumberFormat="0" applyProtection="0">
      <alignment horizontal="left" vertical="top" indent="1"/>
    </xf>
    <xf numFmtId="4" fontId="117" fillId="0" borderId="101" applyNumberFormat="0" applyProtection="0">
      <alignment horizontal="right" vertical="center"/>
    </xf>
    <xf numFmtId="4" fontId="120" fillId="3" borderId="101" applyNumberFormat="0" applyProtection="0">
      <alignment horizontal="right" vertical="center"/>
    </xf>
    <xf numFmtId="4" fontId="117" fillId="70" borderId="101" applyNumberFormat="0" applyProtection="0">
      <alignment horizontal="left" vertical="center" indent="1"/>
    </xf>
    <xf numFmtId="187" fontId="123" fillId="32" borderId="103" applyNumberFormat="0" applyProtection="0">
      <alignment horizontal="left" vertical="top" indent="1"/>
    </xf>
    <xf numFmtId="4" fontId="124" fillId="81" borderId="104" applyNumberFormat="0" applyProtection="0">
      <alignment horizontal="left" vertical="center" indent="1"/>
    </xf>
    <xf numFmtId="4" fontId="125" fillId="80" borderId="101" applyNumberFormat="0" applyProtection="0">
      <alignment horizontal="right" vertical="center"/>
    </xf>
    <xf numFmtId="37" fontId="97" fillId="0" borderId="100" applyNumberFormat="0"/>
    <xf numFmtId="187" fontId="106" fillId="0" borderId="106" applyNumberFormat="0" applyFill="0" applyAlignment="0" applyProtection="0"/>
    <xf numFmtId="187" fontId="106" fillId="0" borderId="106" applyNumberFormat="0" applyFill="0" applyAlignment="0" applyProtection="0"/>
    <xf numFmtId="4" fontId="117" fillId="6" borderId="101" applyNumberFormat="0" applyProtection="0">
      <alignment horizontal="left" vertical="center" indent="1"/>
    </xf>
    <xf numFmtId="187" fontId="118" fillId="61" borderId="109" applyNumberFormat="0" applyAlignment="0" applyProtection="0"/>
    <xf numFmtId="187" fontId="118" fillId="61" borderId="109" applyNumberFormat="0" applyAlignment="0" applyProtection="0"/>
    <xf numFmtId="187" fontId="117" fillId="57" borderId="108" applyNumberFormat="0" applyFont="0" applyAlignment="0" applyProtection="0"/>
    <xf numFmtId="187" fontId="117" fillId="57" borderId="108" applyNumberFormat="0" applyFont="0" applyAlignment="0" applyProtection="0"/>
    <xf numFmtId="187" fontId="117" fillId="57" borderId="108" applyNumberFormat="0" applyFont="0" applyAlignment="0" applyProtection="0"/>
    <xf numFmtId="187" fontId="117" fillId="57" borderId="108" applyNumberFormat="0" applyFont="0" applyAlignment="0" applyProtection="0"/>
    <xf numFmtId="187" fontId="117" fillId="57" borderId="108" applyNumberFormat="0" applyFont="0" applyAlignment="0" applyProtection="0"/>
    <xf numFmtId="187" fontId="117" fillId="57" borderId="108" applyNumberFormat="0" applyFont="0" applyAlignment="0" applyProtection="0"/>
    <xf numFmtId="187" fontId="117" fillId="57" borderId="108" applyNumberFormat="0" applyFont="0" applyAlignment="0" applyProtection="0"/>
    <xf numFmtId="187" fontId="117" fillId="57" borderId="108" applyNumberFormat="0" applyFont="0" applyAlignment="0" applyProtection="0"/>
    <xf numFmtId="187" fontId="117" fillId="57" borderId="108" applyNumberFormat="0" applyFont="0" applyAlignment="0" applyProtection="0"/>
    <xf numFmtId="187" fontId="118" fillId="61" borderId="109" applyNumberFormat="0" applyAlignment="0" applyProtection="0"/>
    <xf numFmtId="187" fontId="118" fillId="61" borderId="109" applyNumberFormat="0" applyAlignment="0" applyProtection="0"/>
    <xf numFmtId="187" fontId="117" fillId="57" borderId="108" applyNumberFormat="0" applyFont="0" applyAlignment="0" applyProtection="0"/>
    <xf numFmtId="187" fontId="117" fillId="57" borderId="108" applyNumberFormat="0" applyFont="0" applyAlignment="0" applyProtection="0"/>
    <xf numFmtId="187" fontId="117" fillId="57" borderId="108" applyNumberFormat="0" applyFont="0" applyAlignment="0" applyProtection="0"/>
    <xf numFmtId="187" fontId="117" fillId="57" borderId="108" applyNumberFormat="0" applyFont="0" applyAlignment="0" applyProtection="0"/>
    <xf numFmtId="187" fontId="117" fillId="57" borderId="108" applyNumberFormat="0" applyFont="0" applyAlignment="0" applyProtection="0"/>
    <xf numFmtId="187" fontId="117" fillId="57" borderId="108" applyNumberFormat="0" applyFont="0" applyAlignment="0" applyProtection="0"/>
    <xf numFmtId="187" fontId="117" fillId="57" borderId="108" applyNumberFormat="0" applyFont="0" applyAlignment="0" applyProtection="0"/>
    <xf numFmtId="187" fontId="117" fillId="57" borderId="108" applyNumberFormat="0" applyFont="0" applyAlignment="0" applyProtection="0"/>
    <xf numFmtId="187" fontId="104" fillId="61" borderId="108" applyNumberFormat="0" applyAlignment="0" applyProtection="0"/>
    <xf numFmtId="187" fontId="104" fillId="61" borderId="108" applyNumberFormat="0" applyAlignment="0" applyProtection="0"/>
    <xf numFmtId="187" fontId="104" fillId="61" borderId="108" applyNumberFormat="0" applyAlignment="0" applyProtection="0"/>
    <xf numFmtId="187" fontId="104" fillId="61" borderId="101" applyNumberFormat="0" applyAlignment="0" applyProtection="0"/>
    <xf numFmtId="187" fontId="104" fillId="61" borderId="101" applyNumberFormat="0" applyAlignment="0" applyProtection="0"/>
    <xf numFmtId="187" fontId="104" fillId="61" borderId="101" applyNumberFormat="0" applyAlignment="0" applyProtection="0"/>
    <xf numFmtId="187" fontId="104" fillId="61" borderId="101" applyNumberFormat="0" applyAlignment="0" applyProtection="0"/>
    <xf numFmtId="187" fontId="112" fillId="58" borderId="108" applyNumberFormat="0" applyAlignment="0" applyProtection="0"/>
    <xf numFmtId="187" fontId="112" fillId="58" borderId="108" applyNumberFormat="0" applyAlignment="0" applyProtection="0"/>
    <xf numFmtId="187" fontId="112" fillId="58" borderId="108" applyNumberFormat="0" applyAlignment="0" applyProtection="0"/>
    <xf numFmtId="187" fontId="112" fillId="58" borderId="108" applyNumberFormat="0" applyAlignment="0" applyProtection="0"/>
    <xf numFmtId="187" fontId="112" fillId="58" borderId="101" applyNumberFormat="0" applyAlignment="0" applyProtection="0"/>
    <xf numFmtId="187" fontId="112" fillId="58" borderId="101" applyNumberFormat="0" applyAlignment="0" applyProtection="0"/>
    <xf numFmtId="187" fontId="112" fillId="58" borderId="101" applyNumberFormat="0" applyAlignment="0" applyProtection="0"/>
    <xf numFmtId="187" fontId="112" fillId="58" borderId="101" applyNumberFormat="0" applyAlignment="0" applyProtection="0"/>
    <xf numFmtId="187" fontId="112" fillId="58" borderId="108" applyNumberFormat="0" applyAlignment="0" applyProtection="0"/>
    <xf numFmtId="187" fontId="112" fillId="58" borderId="108" applyNumberFormat="0" applyAlignment="0" applyProtection="0"/>
    <xf numFmtId="187" fontId="112" fillId="58" borderId="108" applyNumberFormat="0" applyAlignment="0" applyProtection="0"/>
    <xf numFmtId="187" fontId="112" fillId="58" borderId="108" applyNumberFormat="0" applyAlignment="0" applyProtection="0"/>
    <xf numFmtId="187" fontId="104" fillId="61" borderId="108" applyNumberFormat="0" applyAlignment="0" applyProtection="0"/>
    <xf numFmtId="187" fontId="104" fillId="61" borderId="108" applyNumberFormat="0" applyAlignment="0" applyProtection="0"/>
    <xf numFmtId="187" fontId="104" fillId="61" borderId="108" applyNumberFormat="0" applyAlignment="0" applyProtection="0"/>
    <xf numFmtId="187" fontId="117" fillId="57" borderId="108" applyNumberFormat="0" applyFont="0" applyAlignment="0" applyProtection="0"/>
    <xf numFmtId="187" fontId="117" fillId="57" borderId="108" applyNumberFormat="0" applyFont="0" applyAlignment="0" applyProtection="0"/>
    <xf numFmtId="187" fontId="117" fillId="57" borderId="108" applyNumberFormat="0" applyFont="0" applyAlignment="0" applyProtection="0"/>
    <xf numFmtId="187" fontId="117" fillId="57" borderId="108" applyNumberFormat="0" applyFont="0" applyAlignment="0" applyProtection="0"/>
    <xf numFmtId="187" fontId="117" fillId="57" borderId="108" applyNumberFormat="0" applyFont="0" applyAlignment="0" applyProtection="0"/>
    <xf numFmtId="187" fontId="118" fillId="61" borderId="109" applyNumberFormat="0" applyAlignment="0" applyProtection="0"/>
    <xf numFmtId="187" fontId="118" fillId="61" borderId="109" applyNumberFormat="0" applyAlignment="0" applyProtection="0"/>
    <xf numFmtId="187" fontId="117" fillId="57" borderId="108" applyNumberFormat="0" applyFont="0" applyAlignment="0" applyProtection="0"/>
    <xf numFmtId="187" fontId="117" fillId="57" borderId="108" applyNumberFormat="0" applyFont="0" applyAlignment="0" applyProtection="0"/>
    <xf numFmtId="187" fontId="117" fillId="57" borderId="108" applyNumberFormat="0" applyFont="0" applyAlignment="0" applyProtection="0"/>
    <xf numFmtId="187" fontId="117" fillId="57" borderId="108" applyNumberFormat="0" applyFont="0" applyAlignment="0" applyProtection="0"/>
    <xf numFmtId="187" fontId="117" fillId="57" borderId="108" applyNumberFormat="0" applyFont="0" applyAlignment="0" applyProtection="0"/>
    <xf numFmtId="187" fontId="117" fillId="57" borderId="108" applyNumberFormat="0" applyFont="0" applyAlignment="0" applyProtection="0"/>
    <xf numFmtId="187" fontId="117" fillId="57" borderId="108" applyNumberFormat="0" applyFont="0" applyAlignment="0" applyProtection="0"/>
    <xf numFmtId="187" fontId="117" fillId="57" borderId="108" applyNumberFormat="0" applyFont="0" applyAlignment="0" applyProtection="0"/>
    <xf numFmtId="187" fontId="117" fillId="57" borderId="108" applyNumberFormat="0" applyFont="0" applyAlignment="0" applyProtection="0"/>
    <xf numFmtId="187" fontId="118" fillId="61" borderId="109" applyNumberFormat="0" applyAlignment="0" applyProtection="0"/>
    <xf numFmtId="187" fontId="118" fillId="61" borderId="109" applyNumberFormat="0" applyAlignment="0" applyProtection="0"/>
    <xf numFmtId="4" fontId="117" fillId="69" borderId="108" applyNumberFormat="0" applyProtection="0">
      <alignment vertical="center"/>
    </xf>
    <xf numFmtId="4" fontId="120" fillId="6" borderId="108" applyNumberFormat="0" applyProtection="0">
      <alignment vertical="center"/>
    </xf>
    <xf numFmtId="4" fontId="117" fillId="6" borderId="108" applyNumberFormat="0" applyProtection="0">
      <alignment horizontal="left" vertical="center" indent="1"/>
    </xf>
    <xf numFmtId="187" fontId="121" fillId="69" borderId="110" applyNumberFormat="0" applyProtection="0">
      <alignment horizontal="left" vertical="top" indent="1"/>
    </xf>
    <xf numFmtId="4" fontId="117" fillId="70" borderId="108" applyNumberFormat="0" applyProtection="0">
      <alignment horizontal="left" vertical="center" indent="1"/>
    </xf>
    <xf numFmtId="4" fontId="117" fillId="71" borderId="108" applyNumberFormat="0" applyProtection="0">
      <alignment horizontal="right" vertical="center"/>
    </xf>
    <xf numFmtId="4" fontId="117" fillId="72" borderId="108" applyNumberFormat="0" applyProtection="0">
      <alignment horizontal="right" vertical="center"/>
    </xf>
    <xf numFmtId="4" fontId="117" fillId="73" borderId="111" applyNumberFormat="0" applyProtection="0">
      <alignment horizontal="right" vertical="center"/>
    </xf>
    <xf numFmtId="4" fontId="117" fillId="40" borderId="108" applyNumberFormat="0" applyProtection="0">
      <alignment horizontal="right" vertical="center"/>
    </xf>
    <xf numFmtId="4" fontId="117" fillId="74" borderId="108" applyNumberFormat="0" applyProtection="0">
      <alignment horizontal="right" vertical="center"/>
    </xf>
    <xf numFmtId="4" fontId="117" fillId="75" borderId="108" applyNumberFormat="0" applyProtection="0">
      <alignment horizontal="right" vertical="center"/>
    </xf>
    <xf numFmtId="4" fontId="117" fillId="69" borderId="108" applyNumberFormat="0" applyProtection="0">
      <alignment vertical="center"/>
    </xf>
    <xf numFmtId="4" fontId="120" fillId="6" borderId="108" applyNumberFormat="0" applyProtection="0">
      <alignment vertical="center"/>
    </xf>
    <xf numFmtId="4" fontId="117" fillId="6" borderId="108" applyNumberFormat="0" applyProtection="0">
      <alignment horizontal="left" vertical="center" indent="1"/>
    </xf>
    <xf numFmtId="187" fontId="121" fillId="69" borderId="110" applyNumberFormat="0" applyProtection="0">
      <alignment horizontal="left" vertical="top" indent="1"/>
    </xf>
    <xf numFmtId="4" fontId="117" fillId="70" borderId="108" applyNumberFormat="0" applyProtection="0">
      <alignment horizontal="left" vertical="center" indent="1"/>
    </xf>
    <xf numFmtId="4" fontId="117" fillId="71" borderId="108" applyNumberFormat="0" applyProtection="0">
      <alignment horizontal="right" vertical="center"/>
    </xf>
    <xf numFmtId="4" fontId="117" fillId="72" borderId="108" applyNumberFormat="0" applyProtection="0">
      <alignment horizontal="right" vertical="center"/>
    </xf>
    <xf numFmtId="4" fontId="117" fillId="73" borderId="111" applyNumberFormat="0" applyProtection="0">
      <alignment horizontal="right" vertical="center"/>
    </xf>
    <xf numFmtId="4" fontId="117" fillId="40" borderId="108" applyNumberFormat="0" applyProtection="0">
      <alignment horizontal="right" vertical="center"/>
    </xf>
    <xf numFmtId="4" fontId="117" fillId="75" borderId="108" applyNumberFormat="0" applyProtection="0">
      <alignment horizontal="right" vertical="center"/>
    </xf>
    <xf numFmtId="4" fontId="117" fillId="36" borderId="108" applyNumberFormat="0" applyProtection="0">
      <alignment horizontal="right" vertical="center"/>
    </xf>
    <xf numFmtId="4" fontId="117" fillId="33" borderId="108" applyNumberFormat="0" applyProtection="0">
      <alignment horizontal="right" vertical="center"/>
    </xf>
    <xf numFmtId="4" fontId="117" fillId="76" borderId="108" applyNumberFormat="0" applyProtection="0">
      <alignment horizontal="right" vertical="center"/>
    </xf>
    <xf numFmtId="4" fontId="117" fillId="77" borderId="111" applyNumberFormat="0" applyProtection="0">
      <alignment horizontal="left" vertical="center" indent="1"/>
    </xf>
    <xf numFmtId="4" fontId="78" fillId="38" borderId="111" applyNumberFormat="0" applyProtection="0">
      <alignment horizontal="left" vertical="center" indent="1"/>
    </xf>
    <xf numFmtId="4" fontId="78" fillId="38" borderId="111" applyNumberFormat="0" applyProtection="0">
      <alignment horizontal="left" vertical="center" indent="1"/>
    </xf>
    <xf numFmtId="4" fontId="117" fillId="32" borderId="108" applyNumberFormat="0" applyProtection="0">
      <alignment horizontal="right" vertical="center"/>
    </xf>
    <xf numFmtId="4" fontId="117" fillId="31" borderId="111" applyNumberFormat="0" applyProtection="0">
      <alignment horizontal="left" vertical="center" indent="1"/>
    </xf>
    <xf numFmtId="187" fontId="117" fillId="57" borderId="101" applyNumberFormat="0" applyFont="0" applyAlignment="0" applyProtection="0"/>
    <xf numFmtId="187" fontId="117" fillId="57" borderId="101" applyNumberFormat="0" applyFont="0" applyAlignment="0" applyProtection="0"/>
    <xf numFmtId="187" fontId="117" fillId="57" borderId="101" applyNumberFormat="0" applyFont="0" applyAlignment="0" applyProtection="0"/>
    <xf numFmtId="187" fontId="117" fillId="57" borderId="101" applyNumberFormat="0" applyFont="0" applyAlignment="0" applyProtection="0"/>
    <xf numFmtId="187" fontId="117" fillId="57" borderId="101" applyNumberFormat="0" applyFont="0" applyAlignment="0" applyProtection="0"/>
    <xf numFmtId="187" fontId="117" fillId="57" borderId="101" applyNumberFormat="0" applyFont="0" applyAlignment="0" applyProtection="0"/>
    <xf numFmtId="187" fontId="117" fillId="57" borderId="101" applyNumberFormat="0" applyFont="0" applyAlignment="0" applyProtection="0"/>
    <xf numFmtId="187" fontId="117" fillId="57" borderId="101" applyNumberFormat="0" applyFont="0" applyAlignment="0" applyProtection="0"/>
    <xf numFmtId="187" fontId="117" fillId="57" borderId="101" applyNumberFormat="0" applyFont="0" applyAlignment="0" applyProtection="0"/>
    <xf numFmtId="4" fontId="117" fillId="32" borderId="111" applyNumberFormat="0" applyProtection="0">
      <alignment horizontal="left" vertical="center" indent="1"/>
    </xf>
    <xf numFmtId="4" fontId="117" fillId="33" borderId="108" applyNumberFormat="0" applyProtection="0">
      <alignment horizontal="right" vertical="center"/>
    </xf>
    <xf numFmtId="187" fontId="117" fillId="27" borderId="108" applyNumberFormat="0" applyProtection="0">
      <alignment horizontal="left" vertical="center" indent="1"/>
    </xf>
    <xf numFmtId="187" fontId="78" fillId="38" borderId="110" applyNumberFormat="0" applyProtection="0">
      <alignment horizontal="left" vertical="center" indent="1"/>
    </xf>
    <xf numFmtId="187" fontId="117" fillId="38" borderId="110" applyNumberFormat="0" applyProtection="0">
      <alignment horizontal="left" vertical="top" indent="1"/>
    </xf>
    <xf numFmtId="187" fontId="78" fillId="38" borderId="110" applyNumberFormat="0" applyProtection="0">
      <alignment horizontal="left" vertical="top" indent="1"/>
    </xf>
    <xf numFmtId="187" fontId="117" fillId="38" borderId="110" applyNumberFormat="0" applyProtection="0">
      <alignment horizontal="left" vertical="top" indent="1"/>
    </xf>
    <xf numFmtId="187" fontId="117" fillId="38" borderId="110" applyNumberFormat="0" applyProtection="0">
      <alignment horizontal="left" vertical="top" indent="1"/>
    </xf>
    <xf numFmtId="187" fontId="117" fillId="38" borderId="110" applyNumberFormat="0" applyProtection="0">
      <alignment horizontal="left" vertical="top" indent="1"/>
    </xf>
    <xf numFmtId="187" fontId="117" fillId="38" borderId="110" applyNumberFormat="0" applyProtection="0">
      <alignment horizontal="left" vertical="top" indent="1"/>
    </xf>
    <xf numFmtId="187" fontId="117" fillId="38" borderId="110" applyNumberFormat="0" applyProtection="0">
      <alignment horizontal="left" vertical="top" indent="1"/>
    </xf>
    <xf numFmtId="187" fontId="117" fillId="78" borderId="108" applyNumberFormat="0" applyProtection="0">
      <alignment horizontal="left" vertical="center" indent="1"/>
    </xf>
    <xf numFmtId="187" fontId="78" fillId="32" borderId="110" applyNumberFormat="0" applyProtection="0">
      <alignment horizontal="left" vertical="center" indent="1"/>
    </xf>
    <xf numFmtId="187" fontId="117" fillId="32" borderId="110" applyNumberFormat="0" applyProtection="0">
      <alignment horizontal="left" vertical="top" indent="1"/>
    </xf>
    <xf numFmtId="187" fontId="117" fillId="32" borderId="110" applyNumberFormat="0" applyProtection="0">
      <alignment horizontal="left" vertical="top" indent="1"/>
    </xf>
    <xf numFmtId="187" fontId="117" fillId="32" borderId="110" applyNumberFormat="0" applyProtection="0">
      <alignment horizontal="left" vertical="top" indent="1"/>
    </xf>
    <xf numFmtId="187" fontId="117" fillId="32" borderId="110" applyNumberFormat="0" applyProtection="0">
      <alignment horizontal="left" vertical="top" indent="1"/>
    </xf>
    <xf numFmtId="187" fontId="117" fillId="32" borderId="110" applyNumberFormat="0" applyProtection="0">
      <alignment horizontal="left" vertical="top" indent="1"/>
    </xf>
    <xf numFmtId="187" fontId="117" fillId="32" borderId="110" applyNumberFormat="0" applyProtection="0">
      <alignment horizontal="left" vertical="top" indent="1"/>
    </xf>
    <xf numFmtId="187" fontId="117" fillId="32" borderId="110" applyNumberFormat="0" applyProtection="0">
      <alignment horizontal="left" vertical="top" indent="1"/>
    </xf>
    <xf numFmtId="187" fontId="117" fillId="79" borderId="108" applyNumberFormat="0" applyProtection="0">
      <alignment horizontal="left" vertical="center" indent="1"/>
    </xf>
    <xf numFmtId="187" fontId="78" fillId="79" borderId="110" applyNumberFormat="0" applyProtection="0">
      <alignment horizontal="left" vertical="center" indent="1"/>
    </xf>
    <xf numFmtId="187" fontId="117" fillId="57" borderId="101" applyNumberFormat="0" applyFont="0" applyAlignment="0" applyProtection="0"/>
    <xf numFmtId="187" fontId="117" fillId="57" borderId="101" applyNumberFormat="0" applyFont="0" applyAlignment="0" applyProtection="0"/>
    <xf numFmtId="187" fontId="117" fillId="57" borderId="101" applyNumberFormat="0" applyFont="0" applyAlignment="0" applyProtection="0"/>
    <xf numFmtId="187" fontId="117" fillId="57" borderId="101" applyNumberFormat="0" applyFont="0" applyAlignment="0" applyProtection="0"/>
    <xf numFmtId="187" fontId="117" fillId="57" borderId="101" applyNumberFormat="0" applyFont="0" applyAlignment="0" applyProtection="0"/>
    <xf numFmtId="187" fontId="117" fillId="57" borderId="101" applyNumberFormat="0" applyFont="0" applyAlignment="0" applyProtection="0"/>
    <xf numFmtId="187" fontId="117" fillId="57" borderId="101" applyNumberFormat="0" applyFont="0" applyAlignment="0" applyProtection="0"/>
    <xf numFmtId="187" fontId="117" fillId="57" borderId="101" applyNumberFormat="0" applyFont="0" applyAlignment="0" applyProtection="0"/>
    <xf numFmtId="187" fontId="117" fillId="57" borderId="101" applyNumberFormat="0" applyFont="0" applyAlignment="0" applyProtection="0"/>
    <xf numFmtId="4" fontId="117" fillId="69" borderId="101" applyNumberFormat="0" applyProtection="0">
      <alignment vertical="center"/>
    </xf>
    <xf numFmtId="4" fontId="120" fillId="6" borderId="101" applyNumberFormat="0" applyProtection="0">
      <alignment vertical="center"/>
    </xf>
    <xf numFmtId="187" fontId="117" fillId="79" borderId="110" applyNumberFormat="0" applyProtection="0">
      <alignment horizontal="left" vertical="top" indent="1"/>
    </xf>
    <xf numFmtId="4" fontId="117" fillId="70" borderId="101" applyNumberFormat="0" applyProtection="0">
      <alignment horizontal="left" vertical="center" indent="1"/>
    </xf>
    <xf numFmtId="4" fontId="117" fillId="71" borderId="101" applyNumberFormat="0" applyProtection="0">
      <alignment horizontal="right" vertical="center"/>
    </xf>
    <xf numFmtId="4" fontId="117" fillId="72" borderId="101" applyNumberFormat="0" applyProtection="0">
      <alignment horizontal="right" vertical="center"/>
    </xf>
    <xf numFmtId="187" fontId="78" fillId="79" borderId="110" applyNumberFormat="0" applyProtection="0">
      <alignment horizontal="left" vertical="top" indent="1"/>
    </xf>
    <xf numFmtId="4" fontId="117" fillId="40" borderId="101" applyNumberFormat="0" applyProtection="0">
      <alignment horizontal="right" vertical="center"/>
    </xf>
    <xf numFmtId="4" fontId="117" fillId="74" borderId="101" applyNumberFormat="0" applyProtection="0">
      <alignment horizontal="right" vertical="center"/>
    </xf>
    <xf numFmtId="4" fontId="117" fillId="36" borderId="101" applyNumberFormat="0" applyProtection="0">
      <alignment horizontal="right" vertical="center"/>
    </xf>
    <xf numFmtId="4" fontId="117" fillId="33" borderId="101" applyNumberFormat="0" applyProtection="0">
      <alignment horizontal="right" vertical="center"/>
    </xf>
    <xf numFmtId="4" fontId="117" fillId="76" borderId="101" applyNumberFormat="0" applyProtection="0">
      <alignment horizontal="right" vertical="center"/>
    </xf>
    <xf numFmtId="187" fontId="117" fillId="79" borderId="110" applyNumberFormat="0" applyProtection="0">
      <alignment horizontal="left" vertical="top" indent="1"/>
    </xf>
    <xf numFmtId="187" fontId="117" fillId="79" borderId="110" applyNumberFormat="0" applyProtection="0">
      <alignment horizontal="left" vertical="top" indent="1"/>
    </xf>
    <xf numFmtId="187" fontId="117" fillId="79" borderId="110" applyNumberFormat="0" applyProtection="0">
      <alignment horizontal="left" vertical="top" indent="1"/>
    </xf>
    <xf numFmtId="4" fontId="117" fillId="32" borderId="101" applyNumberFormat="0" applyProtection="0">
      <alignment horizontal="right" vertical="center"/>
    </xf>
    <xf numFmtId="187" fontId="117" fillId="79" borderId="110" applyNumberFormat="0" applyProtection="0">
      <alignment horizontal="left" vertical="top" indent="1"/>
    </xf>
    <xf numFmtId="187" fontId="117" fillId="79" borderId="110" applyNumberFormat="0" applyProtection="0">
      <alignment horizontal="left" vertical="top" indent="1"/>
    </xf>
    <xf numFmtId="187" fontId="117" fillId="79" borderId="110" applyNumberFormat="0" applyProtection="0">
      <alignment horizontal="left" vertical="top" indent="1"/>
    </xf>
    <xf numFmtId="187" fontId="117" fillId="79" borderId="110" applyNumberFormat="0" applyProtection="0">
      <alignment horizontal="left" vertical="top" indent="1"/>
    </xf>
    <xf numFmtId="187" fontId="117" fillId="79" borderId="110" applyNumberFormat="0" applyProtection="0">
      <alignment horizontal="left" vertical="top" indent="1"/>
    </xf>
    <xf numFmtId="187" fontId="117" fillId="27" borderId="101" applyNumberFormat="0" applyProtection="0">
      <alignment horizontal="left" vertical="center" indent="1"/>
    </xf>
    <xf numFmtId="187" fontId="117" fillId="31" borderId="108" applyNumberFormat="0" applyProtection="0">
      <alignment horizontal="left" vertical="center" indent="1"/>
    </xf>
    <xf numFmtId="187" fontId="78" fillId="31" borderId="110" applyNumberFormat="0" applyProtection="0">
      <alignment horizontal="left" vertical="center" indent="1"/>
    </xf>
    <xf numFmtId="187" fontId="117" fillId="31" borderId="110" applyNumberFormat="0" applyProtection="0">
      <alignment horizontal="left" vertical="top" indent="1"/>
    </xf>
    <xf numFmtId="187" fontId="78" fillId="31" borderId="110" applyNumberFormat="0" applyProtection="0">
      <alignment horizontal="left" vertical="top" indent="1"/>
    </xf>
    <xf numFmtId="187" fontId="117" fillId="31" borderId="110" applyNumberFormat="0" applyProtection="0">
      <alignment horizontal="left" vertical="top" indent="1"/>
    </xf>
    <xf numFmtId="187" fontId="117" fillId="31" borderId="110" applyNumberFormat="0" applyProtection="0">
      <alignment horizontal="left" vertical="top" indent="1"/>
    </xf>
    <xf numFmtId="187" fontId="117" fillId="31" borderId="110" applyNumberFormat="0" applyProtection="0">
      <alignment horizontal="left" vertical="top" indent="1"/>
    </xf>
    <xf numFmtId="187" fontId="117" fillId="31" borderId="110" applyNumberFormat="0" applyProtection="0">
      <alignment horizontal="left" vertical="top" indent="1"/>
    </xf>
    <xf numFmtId="187" fontId="117" fillId="31" borderId="110" applyNumberFormat="0" applyProtection="0">
      <alignment horizontal="left" vertical="top" indent="1"/>
    </xf>
    <xf numFmtId="187" fontId="117" fillId="31" borderId="110" applyNumberFormat="0" applyProtection="0">
      <alignment horizontal="left" vertical="top" indent="1"/>
    </xf>
    <xf numFmtId="187" fontId="117" fillId="78" borderId="101" applyNumberFormat="0" applyProtection="0">
      <alignment horizontal="left" vertical="center" indent="1"/>
    </xf>
    <xf numFmtId="187" fontId="117" fillId="31" borderId="110" applyNumberFormat="0" applyProtection="0">
      <alignment horizontal="left" vertical="top" indent="1"/>
    </xf>
    <xf numFmtId="4" fontId="78" fillId="38" borderId="111" applyNumberFormat="0" applyProtection="0">
      <alignment horizontal="left" vertical="center" indent="1"/>
    </xf>
    <xf numFmtId="4" fontId="78" fillId="38" borderId="111" applyNumberFormat="0" applyProtection="0">
      <alignment horizontal="left" vertical="center" indent="1"/>
    </xf>
    <xf numFmtId="4" fontId="117" fillId="32" borderId="108" applyNumberFormat="0" applyProtection="0">
      <alignment horizontal="right" vertical="center"/>
    </xf>
    <xf numFmtId="4" fontId="117" fillId="31" borderId="111" applyNumberFormat="0" applyProtection="0">
      <alignment horizontal="left" vertical="center" indent="1"/>
    </xf>
    <xf numFmtId="4" fontId="117" fillId="32" borderId="111" applyNumberFormat="0" applyProtection="0">
      <alignment horizontal="left" vertical="center" indent="1"/>
    </xf>
    <xf numFmtId="4" fontId="117" fillId="69" borderId="101" applyNumberFormat="0" applyProtection="0">
      <alignment vertical="center"/>
    </xf>
    <xf numFmtId="4" fontId="120" fillId="6" borderId="101" applyNumberFormat="0" applyProtection="0">
      <alignment vertical="center"/>
    </xf>
    <xf numFmtId="4" fontId="117" fillId="6" borderId="101" applyNumberFormat="0" applyProtection="0">
      <alignment horizontal="left" vertical="center" indent="1"/>
    </xf>
    <xf numFmtId="4" fontId="117" fillId="70" borderId="101" applyNumberFormat="0" applyProtection="0">
      <alignment horizontal="left" vertical="center" indent="1"/>
    </xf>
    <xf numFmtId="4" fontId="117" fillId="71" borderId="101" applyNumberFormat="0" applyProtection="0">
      <alignment horizontal="right" vertical="center"/>
    </xf>
    <xf numFmtId="4" fontId="117" fillId="72" borderId="101" applyNumberFormat="0" applyProtection="0">
      <alignment horizontal="right" vertical="center"/>
    </xf>
    <xf numFmtId="187" fontId="117" fillId="79" borderId="101" applyNumberFormat="0" applyProtection="0">
      <alignment horizontal="left" vertical="center" indent="1"/>
    </xf>
    <xf numFmtId="4" fontId="117" fillId="40" borderId="101" applyNumberFormat="0" applyProtection="0">
      <alignment horizontal="right" vertical="center"/>
    </xf>
    <xf numFmtId="4" fontId="117" fillId="74" borderId="101" applyNumberFormat="0" applyProtection="0">
      <alignment horizontal="right" vertical="center"/>
    </xf>
    <xf numFmtId="4" fontId="117" fillId="75" borderId="101" applyNumberFormat="0" applyProtection="0">
      <alignment horizontal="right" vertical="center"/>
    </xf>
    <xf numFmtId="4" fontId="117" fillId="36" borderId="101" applyNumberFormat="0" applyProtection="0">
      <alignment horizontal="right" vertical="center"/>
    </xf>
    <xf numFmtId="4" fontId="117" fillId="33" borderId="101" applyNumberFormat="0" applyProtection="0">
      <alignment horizontal="right" vertical="center"/>
    </xf>
    <xf numFmtId="4" fontId="117" fillId="76" borderId="101" applyNumberFormat="0" applyProtection="0">
      <alignment horizontal="right" vertical="center"/>
    </xf>
    <xf numFmtId="187" fontId="122" fillId="38" borderId="112" applyBorder="0"/>
    <xf numFmtId="4" fontId="117" fillId="32" borderId="101" applyNumberFormat="0" applyProtection="0">
      <alignment horizontal="right" vertical="center"/>
    </xf>
    <xf numFmtId="4" fontId="123" fillId="65" borderId="110" applyNumberFormat="0" applyProtection="0">
      <alignment vertical="center"/>
    </xf>
    <xf numFmtId="4" fontId="123" fillId="27" borderId="110" applyNumberFormat="0" applyProtection="0">
      <alignment horizontal="left" vertical="center" indent="1"/>
    </xf>
    <xf numFmtId="187" fontId="123" fillId="65" borderId="110" applyNumberFormat="0" applyProtection="0">
      <alignment horizontal="left" vertical="top" indent="1"/>
    </xf>
    <xf numFmtId="4" fontId="117" fillId="0" borderId="108" applyNumberFormat="0" applyProtection="0">
      <alignment horizontal="right" vertical="center"/>
    </xf>
    <xf numFmtId="4" fontId="120" fillId="3" borderId="108" applyNumberFormat="0" applyProtection="0">
      <alignment horizontal="right" vertical="center"/>
    </xf>
    <xf numFmtId="187" fontId="117" fillId="27" borderId="101" applyNumberFormat="0" applyProtection="0">
      <alignment horizontal="left" vertical="center" indent="1"/>
    </xf>
    <xf numFmtId="4" fontId="117" fillId="70" borderId="108" applyNumberFormat="0" applyProtection="0">
      <alignment horizontal="left" vertical="center" indent="1"/>
    </xf>
    <xf numFmtId="187" fontId="123" fillId="32" borderId="110" applyNumberFormat="0" applyProtection="0">
      <alignment horizontal="left" vertical="top" indent="1"/>
    </xf>
    <xf numFmtId="4" fontId="124" fillId="81" borderId="111" applyNumberFormat="0" applyProtection="0">
      <alignment horizontal="left" vertical="center" indent="1"/>
    </xf>
    <xf numFmtId="187" fontId="117" fillId="31" borderId="101" applyNumberFormat="0" applyProtection="0">
      <alignment horizontal="left" vertical="center" indent="1"/>
    </xf>
    <xf numFmtId="4" fontId="125" fillId="80" borderId="108" applyNumberFormat="0" applyProtection="0">
      <alignment horizontal="right" vertical="center"/>
    </xf>
    <xf numFmtId="37" fontId="97" fillId="0" borderId="113" applyNumberFormat="0"/>
    <xf numFmtId="187" fontId="117" fillId="78" borderId="101" applyNumberFormat="0" applyProtection="0">
      <alignment horizontal="left" vertical="center" indent="1"/>
    </xf>
    <xf numFmtId="188" fontId="97" fillId="0" borderId="54" applyFill="0"/>
    <xf numFmtId="187" fontId="106" fillId="0" borderId="114" applyNumberFormat="0" applyFill="0" applyAlignment="0" applyProtection="0"/>
    <xf numFmtId="187" fontId="106" fillId="0" borderId="114" applyNumberFormat="0" applyFill="0" applyAlignment="0" applyProtection="0"/>
    <xf numFmtId="187" fontId="104" fillId="61" borderId="108" applyNumberFormat="0" applyAlignment="0" applyProtection="0"/>
    <xf numFmtId="187" fontId="117" fillId="79" borderId="101" applyNumberFormat="0" applyProtection="0">
      <alignment horizontal="left" vertical="center" indent="1"/>
    </xf>
    <xf numFmtId="4" fontId="117" fillId="0" borderId="101" applyNumberFormat="0" applyProtection="0">
      <alignment horizontal="right" vertical="center"/>
    </xf>
    <xf numFmtId="4" fontId="120" fillId="3" borderId="101" applyNumberFormat="0" applyProtection="0">
      <alignment horizontal="right" vertical="center"/>
    </xf>
    <xf numFmtId="187" fontId="117" fillId="31" borderId="101" applyNumberFormat="0" applyProtection="0">
      <alignment horizontal="left" vertical="center" indent="1"/>
    </xf>
    <xf numFmtId="4" fontId="117" fillId="70" borderId="101" applyNumberFormat="0" applyProtection="0">
      <alignment horizontal="left" vertical="center" indent="1"/>
    </xf>
    <xf numFmtId="4" fontId="125" fillId="80" borderId="101" applyNumberFormat="0" applyProtection="0">
      <alignment horizontal="right" vertical="center"/>
    </xf>
    <xf numFmtId="187" fontId="78" fillId="32" borderId="110" applyNumberFormat="0" applyProtection="0">
      <alignment horizontal="left" vertical="top" indent="1"/>
    </xf>
    <xf numFmtId="187" fontId="117" fillId="32" borderId="110" applyNumberFormat="0" applyProtection="0">
      <alignment horizontal="left" vertical="top" indent="1"/>
    </xf>
    <xf numFmtId="4" fontId="117" fillId="74" borderId="108" applyNumberFormat="0" applyProtection="0">
      <alignment horizontal="right" vertical="center"/>
    </xf>
    <xf numFmtId="188" fontId="97" fillId="0" borderId="107" applyFill="0"/>
    <xf numFmtId="187" fontId="117" fillId="38" borderId="110" applyNumberFormat="0" applyProtection="0">
      <alignment horizontal="left" vertical="top" indent="1"/>
    </xf>
    <xf numFmtId="4" fontId="117" fillId="0" borderId="101" applyNumberFormat="0" applyProtection="0">
      <alignment horizontal="right" vertical="center"/>
    </xf>
    <xf numFmtId="4" fontId="120" fillId="3" borderId="101" applyNumberFormat="0" applyProtection="0">
      <alignment horizontal="right" vertical="center"/>
    </xf>
    <xf numFmtId="4" fontId="117" fillId="70" borderId="101" applyNumberFormat="0" applyProtection="0">
      <alignment horizontal="left" vertical="center" indent="1"/>
    </xf>
    <xf numFmtId="187" fontId="117" fillId="38" borderId="110" applyNumberFormat="0" applyProtection="0">
      <alignment horizontal="left" vertical="top" indent="1"/>
    </xf>
    <xf numFmtId="4" fontId="125" fillId="80" borderId="101" applyNumberFormat="0" applyProtection="0">
      <alignment horizontal="right" vertical="center"/>
    </xf>
    <xf numFmtId="4" fontId="117" fillId="77" borderId="111" applyNumberFormat="0" applyProtection="0">
      <alignment horizontal="left" vertical="center" indent="1"/>
    </xf>
    <xf numFmtId="4" fontId="117" fillId="76" borderId="108" applyNumberFormat="0" applyProtection="0">
      <alignment horizontal="right" vertical="center"/>
    </xf>
    <xf numFmtId="4" fontId="117" fillId="75" borderId="101" applyNumberFormat="0" applyProtection="0">
      <alignment horizontal="right" vertical="center"/>
    </xf>
    <xf numFmtId="187" fontId="117" fillId="31" borderId="110" applyNumberFormat="0" applyProtection="0">
      <alignment horizontal="left" vertical="top" indent="1"/>
    </xf>
    <xf numFmtId="187" fontId="117" fillId="57" borderId="108" applyNumberFormat="0" applyFont="0" applyAlignment="0" applyProtection="0"/>
    <xf numFmtId="4" fontId="117" fillId="36" borderId="108" applyNumberFormat="0" applyProtection="0">
      <alignment horizontal="right" vertical="center"/>
    </xf>
    <xf numFmtId="187" fontId="117" fillId="38" borderId="110" applyNumberFormat="0" applyProtection="0">
      <alignment horizontal="left" vertical="top" indent="1"/>
    </xf>
    <xf numFmtId="187" fontId="117" fillId="57" borderId="108" applyNumberFormat="0" applyFont="0" applyAlignment="0" applyProtection="0"/>
    <xf numFmtId="187" fontId="117" fillId="57" borderId="108" applyNumberFormat="0" applyFont="0" applyAlignment="0" applyProtection="0"/>
    <xf numFmtId="187" fontId="117" fillId="32" borderId="110" applyNumberFormat="0" applyProtection="0">
      <alignment horizontal="left" vertical="top" indent="1"/>
    </xf>
    <xf numFmtId="4" fontId="117" fillId="69" borderId="108" applyNumberFormat="0" applyProtection="0">
      <alignment vertical="center"/>
    </xf>
    <xf numFmtId="4" fontId="120" fillId="6" borderId="108" applyNumberFormat="0" applyProtection="0">
      <alignment vertical="center"/>
    </xf>
    <xf numFmtId="4" fontId="117" fillId="6" borderId="108" applyNumberFormat="0" applyProtection="0">
      <alignment horizontal="left" vertical="center" indent="1"/>
    </xf>
    <xf numFmtId="187" fontId="121" fillId="69" borderId="110" applyNumberFormat="0" applyProtection="0">
      <alignment horizontal="left" vertical="top" indent="1"/>
    </xf>
    <xf numFmtId="4" fontId="117" fillId="70" borderId="108" applyNumberFormat="0" applyProtection="0">
      <alignment horizontal="left" vertical="center" indent="1"/>
    </xf>
    <xf numFmtId="4" fontId="117" fillId="71" borderId="108" applyNumberFormat="0" applyProtection="0">
      <alignment horizontal="right" vertical="center"/>
    </xf>
    <xf numFmtId="4" fontId="117" fillId="72" borderId="108" applyNumberFormat="0" applyProtection="0">
      <alignment horizontal="right" vertical="center"/>
    </xf>
    <xf numFmtId="4" fontId="117" fillId="40" borderId="108" applyNumberFormat="0" applyProtection="0">
      <alignment horizontal="right" vertical="center"/>
    </xf>
    <xf numFmtId="4" fontId="117" fillId="74" borderId="108" applyNumberFormat="0" applyProtection="0">
      <alignment horizontal="right" vertical="center"/>
    </xf>
    <xf numFmtId="4" fontId="117" fillId="75" borderId="108" applyNumberFormat="0" applyProtection="0">
      <alignment horizontal="right" vertical="center"/>
    </xf>
    <xf numFmtId="4" fontId="117" fillId="36" borderId="108" applyNumberFormat="0" applyProtection="0">
      <alignment horizontal="right" vertical="center"/>
    </xf>
    <xf numFmtId="4" fontId="117" fillId="69" borderId="108" applyNumberFormat="0" applyProtection="0">
      <alignment vertical="center"/>
    </xf>
    <xf numFmtId="4" fontId="120" fillId="6" borderId="108" applyNumberFormat="0" applyProtection="0">
      <alignment vertical="center"/>
    </xf>
    <xf numFmtId="4" fontId="117" fillId="6" borderId="108" applyNumberFormat="0" applyProtection="0">
      <alignment horizontal="left" vertical="center" indent="1"/>
    </xf>
    <xf numFmtId="187" fontId="121" fillId="69" borderId="110" applyNumberFormat="0" applyProtection="0">
      <alignment horizontal="left" vertical="top" indent="1"/>
    </xf>
    <xf numFmtId="4" fontId="117" fillId="70" borderId="108" applyNumberFormat="0" applyProtection="0">
      <alignment horizontal="left" vertical="center" indent="1"/>
    </xf>
    <xf numFmtId="4" fontId="117" fillId="71" borderId="108" applyNumberFormat="0" applyProtection="0">
      <alignment horizontal="right" vertical="center"/>
    </xf>
    <xf numFmtId="4" fontId="117" fillId="72" borderId="108" applyNumberFormat="0" applyProtection="0">
      <alignment horizontal="right" vertical="center"/>
    </xf>
    <xf numFmtId="4" fontId="117" fillId="73" borderId="111" applyNumberFormat="0" applyProtection="0">
      <alignment horizontal="right" vertical="center"/>
    </xf>
    <xf numFmtId="4" fontId="117" fillId="40" borderId="108" applyNumberFormat="0" applyProtection="0">
      <alignment horizontal="right" vertical="center"/>
    </xf>
    <xf numFmtId="4" fontId="117" fillId="74" borderId="108" applyNumberFormat="0" applyProtection="0">
      <alignment horizontal="right" vertical="center"/>
    </xf>
    <xf numFmtId="4" fontId="117" fillId="75" borderId="108" applyNumberFormat="0" applyProtection="0">
      <alignment horizontal="right" vertical="center"/>
    </xf>
    <xf numFmtId="4" fontId="117" fillId="36" borderId="108" applyNumberFormat="0" applyProtection="0">
      <alignment horizontal="right" vertical="center"/>
    </xf>
    <xf numFmtId="4" fontId="117" fillId="33" borderId="108" applyNumberFormat="0" applyProtection="0">
      <alignment horizontal="right" vertical="center"/>
    </xf>
    <xf numFmtId="4" fontId="117" fillId="76" borderId="108" applyNumberFormat="0" applyProtection="0">
      <alignment horizontal="right" vertical="center"/>
    </xf>
    <xf numFmtId="4" fontId="117" fillId="77" borderId="111" applyNumberFormat="0" applyProtection="0">
      <alignment horizontal="left" vertical="center" indent="1"/>
    </xf>
    <xf numFmtId="4" fontId="78" fillId="38" borderId="111" applyNumberFormat="0" applyProtection="0">
      <alignment horizontal="left" vertical="center" indent="1"/>
    </xf>
    <xf numFmtId="4" fontId="78" fillId="38" borderId="111" applyNumberFormat="0" applyProtection="0">
      <alignment horizontal="left" vertical="center" indent="1"/>
    </xf>
    <xf numFmtId="4" fontId="117" fillId="32" borderId="108" applyNumberFormat="0" applyProtection="0">
      <alignment horizontal="right" vertical="center"/>
    </xf>
    <xf numFmtId="4" fontId="117" fillId="31" borderId="111" applyNumberFormat="0" applyProtection="0">
      <alignment horizontal="left" vertical="center" indent="1"/>
    </xf>
    <xf numFmtId="4" fontId="117" fillId="33" borderId="108" applyNumberFormat="0" applyProtection="0">
      <alignment horizontal="right" vertical="center"/>
    </xf>
    <xf numFmtId="4" fontId="117" fillId="32" borderId="111" applyNumberFormat="0" applyProtection="0">
      <alignment horizontal="left" vertical="center" indent="1"/>
    </xf>
    <xf numFmtId="37" fontId="97" fillId="0" borderId="100" applyNumberFormat="0"/>
    <xf numFmtId="187" fontId="117" fillId="57" borderId="108" applyNumberFormat="0" applyFont="0" applyAlignment="0" applyProtection="0"/>
    <xf numFmtId="187" fontId="104" fillId="61" borderId="108" applyNumberFormat="0" applyAlignment="0" applyProtection="0"/>
    <xf numFmtId="4" fontId="117" fillId="76" borderId="108" applyNumberFormat="0" applyProtection="0">
      <alignment horizontal="right" vertical="center"/>
    </xf>
    <xf numFmtId="187" fontId="117" fillId="27" borderId="108" applyNumberFormat="0" applyProtection="0">
      <alignment horizontal="left" vertical="center" indent="1"/>
    </xf>
    <xf numFmtId="187" fontId="78" fillId="38" borderId="110" applyNumberFormat="0" applyProtection="0">
      <alignment horizontal="left" vertical="center" indent="1"/>
    </xf>
    <xf numFmtId="187" fontId="117" fillId="38" borderId="110" applyNumberFormat="0" applyProtection="0">
      <alignment horizontal="left" vertical="top" indent="1"/>
    </xf>
    <xf numFmtId="187" fontId="78" fillId="38" borderId="110" applyNumberFormat="0" applyProtection="0">
      <alignment horizontal="left" vertical="top" indent="1"/>
    </xf>
    <xf numFmtId="187" fontId="117" fillId="38" borderId="110" applyNumberFormat="0" applyProtection="0">
      <alignment horizontal="left" vertical="top" indent="1"/>
    </xf>
    <xf numFmtId="187" fontId="117" fillId="38" borderId="110" applyNumberFormat="0" applyProtection="0">
      <alignment horizontal="left" vertical="top" indent="1"/>
    </xf>
    <xf numFmtId="187" fontId="117" fillId="38" borderId="110" applyNumberFormat="0" applyProtection="0">
      <alignment horizontal="left" vertical="top" indent="1"/>
    </xf>
    <xf numFmtId="187" fontId="117" fillId="38" borderId="110" applyNumberFormat="0" applyProtection="0">
      <alignment horizontal="left" vertical="top" indent="1"/>
    </xf>
    <xf numFmtId="187" fontId="117" fillId="38" borderId="110" applyNumberFormat="0" applyProtection="0">
      <alignment horizontal="left" vertical="top" indent="1"/>
    </xf>
    <xf numFmtId="187" fontId="117" fillId="38" borderId="110" applyNumberFormat="0" applyProtection="0">
      <alignment horizontal="left" vertical="top" indent="1"/>
    </xf>
    <xf numFmtId="187" fontId="117" fillId="38" borderId="110" applyNumberFormat="0" applyProtection="0">
      <alignment horizontal="left" vertical="top" indent="1"/>
    </xf>
    <xf numFmtId="187" fontId="117" fillId="38" borderId="110" applyNumberFormat="0" applyProtection="0">
      <alignment horizontal="left" vertical="top" indent="1"/>
    </xf>
    <xf numFmtId="187" fontId="117" fillId="78" borderId="108" applyNumberFormat="0" applyProtection="0">
      <alignment horizontal="left" vertical="center" indent="1"/>
    </xf>
    <xf numFmtId="187" fontId="78" fillId="32" borderId="110" applyNumberFormat="0" applyProtection="0">
      <alignment horizontal="left" vertical="center" indent="1"/>
    </xf>
    <xf numFmtId="187" fontId="117" fillId="32" borderId="110" applyNumberFormat="0" applyProtection="0">
      <alignment horizontal="left" vertical="top" indent="1"/>
    </xf>
    <xf numFmtId="187" fontId="78" fillId="32" borderId="110" applyNumberFormat="0" applyProtection="0">
      <alignment horizontal="left" vertical="top" indent="1"/>
    </xf>
    <xf numFmtId="187" fontId="117" fillId="32" borderId="110" applyNumberFormat="0" applyProtection="0">
      <alignment horizontal="left" vertical="top" indent="1"/>
    </xf>
    <xf numFmtId="187" fontId="117" fillId="32" borderId="110" applyNumberFormat="0" applyProtection="0">
      <alignment horizontal="left" vertical="top" indent="1"/>
    </xf>
    <xf numFmtId="187" fontId="117" fillId="32" borderId="110" applyNumberFormat="0" applyProtection="0">
      <alignment horizontal="left" vertical="top" indent="1"/>
    </xf>
    <xf numFmtId="187" fontId="117" fillId="32" borderId="110" applyNumberFormat="0" applyProtection="0">
      <alignment horizontal="left" vertical="top" indent="1"/>
    </xf>
    <xf numFmtId="187" fontId="117" fillId="32" borderId="110" applyNumberFormat="0" applyProtection="0">
      <alignment horizontal="left" vertical="top" indent="1"/>
    </xf>
    <xf numFmtId="187" fontId="117" fillId="32" borderId="110" applyNumberFormat="0" applyProtection="0">
      <alignment horizontal="left" vertical="top" indent="1"/>
    </xf>
    <xf numFmtId="187" fontId="117" fillId="32" borderId="110" applyNumberFormat="0" applyProtection="0">
      <alignment horizontal="left" vertical="top" indent="1"/>
    </xf>
    <xf numFmtId="187" fontId="117" fillId="32" borderId="110" applyNumberFormat="0" applyProtection="0">
      <alignment horizontal="left" vertical="top" indent="1"/>
    </xf>
    <xf numFmtId="187" fontId="117" fillId="79" borderId="108" applyNumberFormat="0" applyProtection="0">
      <alignment horizontal="left" vertical="center" indent="1"/>
    </xf>
    <xf numFmtId="187" fontId="78" fillId="79" borderId="110" applyNumberFormat="0" applyProtection="0">
      <alignment horizontal="left" vertical="center" indent="1"/>
    </xf>
    <xf numFmtId="187" fontId="117" fillId="79" borderId="110" applyNumberFormat="0" applyProtection="0">
      <alignment horizontal="left" vertical="top" indent="1"/>
    </xf>
    <xf numFmtId="187" fontId="78" fillId="79" borderId="110" applyNumberFormat="0" applyProtection="0">
      <alignment horizontal="left" vertical="top" indent="1"/>
    </xf>
    <xf numFmtId="187" fontId="117" fillId="79" borderId="110" applyNumberFormat="0" applyProtection="0">
      <alignment horizontal="left" vertical="top" indent="1"/>
    </xf>
    <xf numFmtId="187" fontId="117" fillId="79" borderId="110" applyNumberFormat="0" applyProtection="0">
      <alignment horizontal="left" vertical="top" indent="1"/>
    </xf>
    <xf numFmtId="187" fontId="117" fillId="79" borderId="110" applyNumberFormat="0" applyProtection="0">
      <alignment horizontal="left" vertical="top" indent="1"/>
    </xf>
    <xf numFmtId="187" fontId="117" fillId="79" borderId="110" applyNumberFormat="0" applyProtection="0">
      <alignment horizontal="left" vertical="top" indent="1"/>
    </xf>
    <xf numFmtId="187" fontId="117" fillId="79" borderId="110" applyNumberFormat="0" applyProtection="0">
      <alignment horizontal="left" vertical="top" indent="1"/>
    </xf>
    <xf numFmtId="187" fontId="117" fillId="79" borderId="110" applyNumberFormat="0" applyProtection="0">
      <alignment horizontal="left" vertical="top" indent="1"/>
    </xf>
    <xf numFmtId="187" fontId="117" fillId="79" borderId="110" applyNumberFormat="0" applyProtection="0">
      <alignment horizontal="left" vertical="top" indent="1"/>
    </xf>
    <xf numFmtId="187" fontId="117" fillId="79" borderId="110" applyNumberFormat="0" applyProtection="0">
      <alignment horizontal="left" vertical="top" indent="1"/>
    </xf>
    <xf numFmtId="187" fontId="117" fillId="31" borderId="108" applyNumberFormat="0" applyProtection="0">
      <alignment horizontal="left" vertical="center" indent="1"/>
    </xf>
    <xf numFmtId="187" fontId="78" fillId="31" borderId="110" applyNumberFormat="0" applyProtection="0">
      <alignment horizontal="left" vertical="center" indent="1"/>
    </xf>
    <xf numFmtId="187" fontId="117" fillId="31" borderId="110" applyNumberFormat="0" applyProtection="0">
      <alignment horizontal="left" vertical="top" indent="1"/>
    </xf>
    <xf numFmtId="187" fontId="78" fillId="31" borderId="110" applyNumberFormat="0" applyProtection="0">
      <alignment horizontal="left" vertical="top" indent="1"/>
    </xf>
    <xf numFmtId="187" fontId="117" fillId="31" borderId="110" applyNumberFormat="0" applyProtection="0">
      <alignment horizontal="left" vertical="top" indent="1"/>
    </xf>
    <xf numFmtId="187" fontId="117" fillId="31" borderId="110" applyNumberFormat="0" applyProtection="0">
      <alignment horizontal="left" vertical="top" indent="1"/>
    </xf>
    <xf numFmtId="187" fontId="117" fillId="31" borderId="110" applyNumberFormat="0" applyProtection="0">
      <alignment horizontal="left" vertical="top" indent="1"/>
    </xf>
    <xf numFmtId="187" fontId="117" fillId="31" borderId="110" applyNumberFormat="0" applyProtection="0">
      <alignment horizontal="left" vertical="top" indent="1"/>
    </xf>
    <xf numFmtId="187" fontId="117" fillId="31" borderId="110" applyNumberFormat="0" applyProtection="0">
      <alignment horizontal="left" vertical="top" indent="1"/>
    </xf>
    <xf numFmtId="187" fontId="117" fillId="31" borderId="110" applyNumberFormat="0" applyProtection="0">
      <alignment horizontal="left" vertical="top" indent="1"/>
    </xf>
    <xf numFmtId="187" fontId="117" fillId="31" borderId="110" applyNumberFormat="0" applyProtection="0">
      <alignment horizontal="left" vertical="top" indent="1"/>
    </xf>
    <xf numFmtId="187" fontId="117" fillId="31" borderId="110" applyNumberFormat="0" applyProtection="0">
      <alignment horizontal="left" vertical="top" indent="1"/>
    </xf>
    <xf numFmtId="4" fontId="117" fillId="32" borderId="108" applyNumberFormat="0" applyProtection="0">
      <alignment horizontal="right" vertical="center"/>
    </xf>
    <xf numFmtId="187" fontId="122" fillId="38" borderId="112" applyBorder="0"/>
    <xf numFmtId="4" fontId="123" fillId="65" borderId="110" applyNumberFormat="0" applyProtection="0">
      <alignment vertical="center"/>
    </xf>
    <xf numFmtId="4" fontId="123" fillId="27" borderId="110" applyNumberFormat="0" applyProtection="0">
      <alignment horizontal="left" vertical="center" indent="1"/>
    </xf>
    <xf numFmtId="187" fontId="123" fillId="65" borderId="110" applyNumberFormat="0" applyProtection="0">
      <alignment horizontal="left" vertical="top" indent="1"/>
    </xf>
    <xf numFmtId="4" fontId="117" fillId="0" borderId="108" applyNumberFormat="0" applyProtection="0">
      <alignment horizontal="right" vertical="center"/>
    </xf>
    <xf numFmtId="4" fontId="120" fillId="3" borderId="108" applyNumberFormat="0" applyProtection="0">
      <alignment horizontal="right" vertical="center"/>
    </xf>
    <xf numFmtId="4" fontId="117" fillId="70" borderId="108" applyNumberFormat="0" applyProtection="0">
      <alignment horizontal="left" vertical="center" indent="1"/>
    </xf>
    <xf numFmtId="187" fontId="123" fillId="32" borderId="110" applyNumberFormat="0" applyProtection="0">
      <alignment horizontal="left" vertical="top" indent="1"/>
    </xf>
    <xf numFmtId="4" fontId="124" fillId="81" borderId="111" applyNumberFormat="0" applyProtection="0">
      <alignment horizontal="left" vertical="center" indent="1"/>
    </xf>
    <xf numFmtId="4" fontId="125" fillId="80" borderId="108" applyNumberFormat="0" applyProtection="0">
      <alignment horizontal="right" vertical="center"/>
    </xf>
    <xf numFmtId="37" fontId="97" fillId="0" borderId="113" applyNumberFormat="0"/>
    <xf numFmtId="188" fontId="97" fillId="0" borderId="81" applyFill="0"/>
    <xf numFmtId="187" fontId="106" fillId="0" borderId="114" applyNumberFormat="0" applyFill="0" applyAlignment="0" applyProtection="0"/>
    <xf numFmtId="187" fontId="106" fillId="0" borderId="114" applyNumberFormat="0" applyFill="0" applyAlignment="0" applyProtection="0"/>
    <xf numFmtId="187" fontId="117" fillId="27" borderId="108" applyNumberFormat="0" applyProtection="0">
      <alignment horizontal="left" vertical="center" indent="1"/>
    </xf>
    <xf numFmtId="187" fontId="78" fillId="38" borderId="110" applyNumberFormat="0" applyProtection="0">
      <alignment horizontal="left" vertical="center" indent="1"/>
    </xf>
    <xf numFmtId="187" fontId="117" fillId="38" borderId="110" applyNumberFormat="0" applyProtection="0">
      <alignment horizontal="left" vertical="top" indent="1"/>
    </xf>
    <xf numFmtId="187" fontId="78" fillId="38" borderId="110" applyNumberFormat="0" applyProtection="0">
      <alignment horizontal="left" vertical="top" indent="1"/>
    </xf>
    <xf numFmtId="187" fontId="117" fillId="38" borderId="110" applyNumberFormat="0" applyProtection="0">
      <alignment horizontal="left" vertical="top" indent="1"/>
    </xf>
    <xf numFmtId="187" fontId="117" fillId="38" borderId="110" applyNumberFormat="0" applyProtection="0">
      <alignment horizontal="left" vertical="top" indent="1"/>
    </xf>
    <xf numFmtId="187" fontId="117" fillId="38" borderId="110" applyNumberFormat="0" applyProtection="0">
      <alignment horizontal="left" vertical="top" indent="1"/>
    </xf>
    <xf numFmtId="187" fontId="117" fillId="38" borderId="110" applyNumberFormat="0" applyProtection="0">
      <alignment horizontal="left" vertical="top" indent="1"/>
    </xf>
    <xf numFmtId="187" fontId="117" fillId="38" borderId="110" applyNumberFormat="0" applyProtection="0">
      <alignment horizontal="left" vertical="top" indent="1"/>
    </xf>
    <xf numFmtId="187" fontId="117" fillId="38" borderId="110" applyNumberFormat="0" applyProtection="0">
      <alignment horizontal="left" vertical="top" indent="1"/>
    </xf>
    <xf numFmtId="187" fontId="117" fillId="38" borderId="110" applyNumberFormat="0" applyProtection="0">
      <alignment horizontal="left" vertical="top" indent="1"/>
    </xf>
    <xf numFmtId="187" fontId="117" fillId="38" borderId="110" applyNumberFormat="0" applyProtection="0">
      <alignment horizontal="left" vertical="top" indent="1"/>
    </xf>
    <xf numFmtId="187" fontId="117" fillId="78" borderId="108" applyNumberFormat="0" applyProtection="0">
      <alignment horizontal="left" vertical="center" indent="1"/>
    </xf>
    <xf numFmtId="187" fontId="78" fillId="32" borderId="110" applyNumberFormat="0" applyProtection="0">
      <alignment horizontal="left" vertical="center" indent="1"/>
    </xf>
    <xf numFmtId="187" fontId="117" fillId="32" borderId="110" applyNumberFormat="0" applyProtection="0">
      <alignment horizontal="left" vertical="top" indent="1"/>
    </xf>
    <xf numFmtId="187" fontId="78" fillId="32" borderId="110" applyNumberFormat="0" applyProtection="0">
      <alignment horizontal="left" vertical="top" indent="1"/>
    </xf>
    <xf numFmtId="187" fontId="117" fillId="32" borderId="110" applyNumberFormat="0" applyProtection="0">
      <alignment horizontal="left" vertical="top" indent="1"/>
    </xf>
    <xf numFmtId="187" fontId="117" fillId="32" borderId="110" applyNumberFormat="0" applyProtection="0">
      <alignment horizontal="left" vertical="top" indent="1"/>
    </xf>
    <xf numFmtId="187" fontId="117" fillId="32" borderId="110" applyNumberFormat="0" applyProtection="0">
      <alignment horizontal="left" vertical="top" indent="1"/>
    </xf>
    <xf numFmtId="187" fontId="117" fillId="32" borderId="110" applyNumberFormat="0" applyProtection="0">
      <alignment horizontal="left" vertical="top" indent="1"/>
    </xf>
    <xf numFmtId="187" fontId="117" fillId="32" borderId="110" applyNumberFormat="0" applyProtection="0">
      <alignment horizontal="left" vertical="top" indent="1"/>
    </xf>
    <xf numFmtId="187" fontId="117" fillId="32" borderId="110" applyNumberFormat="0" applyProtection="0">
      <alignment horizontal="left" vertical="top" indent="1"/>
    </xf>
    <xf numFmtId="187" fontId="117" fillId="32" borderId="110" applyNumberFormat="0" applyProtection="0">
      <alignment horizontal="left" vertical="top" indent="1"/>
    </xf>
    <xf numFmtId="187" fontId="117" fillId="32" borderId="110" applyNumberFormat="0" applyProtection="0">
      <alignment horizontal="left" vertical="top" indent="1"/>
    </xf>
    <xf numFmtId="187" fontId="117" fillId="79" borderId="108" applyNumberFormat="0" applyProtection="0">
      <alignment horizontal="left" vertical="center" indent="1"/>
    </xf>
    <xf numFmtId="187" fontId="78" fillId="79" borderId="110" applyNumberFormat="0" applyProtection="0">
      <alignment horizontal="left" vertical="center" indent="1"/>
    </xf>
    <xf numFmtId="187" fontId="117" fillId="79" borderId="110" applyNumberFormat="0" applyProtection="0">
      <alignment horizontal="left" vertical="top" indent="1"/>
    </xf>
    <xf numFmtId="187" fontId="78" fillId="79" borderId="110" applyNumberFormat="0" applyProtection="0">
      <alignment horizontal="left" vertical="top" indent="1"/>
    </xf>
    <xf numFmtId="187" fontId="117" fillId="79" borderId="110" applyNumberFormat="0" applyProtection="0">
      <alignment horizontal="left" vertical="top" indent="1"/>
    </xf>
    <xf numFmtId="187" fontId="117" fillId="79" borderId="110" applyNumberFormat="0" applyProtection="0">
      <alignment horizontal="left" vertical="top" indent="1"/>
    </xf>
    <xf numFmtId="187" fontId="117" fillId="79" borderId="110" applyNumberFormat="0" applyProtection="0">
      <alignment horizontal="left" vertical="top" indent="1"/>
    </xf>
    <xf numFmtId="187" fontId="117" fillId="79" borderId="110" applyNumberFormat="0" applyProtection="0">
      <alignment horizontal="left" vertical="top" indent="1"/>
    </xf>
    <xf numFmtId="187" fontId="117" fillId="79" borderId="110" applyNumberFormat="0" applyProtection="0">
      <alignment horizontal="left" vertical="top" indent="1"/>
    </xf>
    <xf numFmtId="187" fontId="117" fillId="79" borderId="110" applyNumberFormat="0" applyProtection="0">
      <alignment horizontal="left" vertical="top" indent="1"/>
    </xf>
    <xf numFmtId="187" fontId="117" fillId="79" borderId="110" applyNumberFormat="0" applyProtection="0">
      <alignment horizontal="left" vertical="top" indent="1"/>
    </xf>
    <xf numFmtId="187" fontId="117" fillId="79" borderId="110" applyNumberFormat="0" applyProtection="0">
      <alignment horizontal="left" vertical="top" indent="1"/>
    </xf>
    <xf numFmtId="187" fontId="117" fillId="31" borderId="108" applyNumberFormat="0" applyProtection="0">
      <alignment horizontal="left" vertical="center" indent="1"/>
    </xf>
    <xf numFmtId="187" fontId="78" fillId="31" borderId="110" applyNumberFormat="0" applyProtection="0">
      <alignment horizontal="left" vertical="center" indent="1"/>
    </xf>
    <xf numFmtId="187" fontId="117" fillId="31" borderId="110" applyNumberFormat="0" applyProtection="0">
      <alignment horizontal="left" vertical="top" indent="1"/>
    </xf>
    <xf numFmtId="187" fontId="78" fillId="31" borderId="110" applyNumberFormat="0" applyProtection="0">
      <alignment horizontal="left" vertical="top" indent="1"/>
    </xf>
    <xf numFmtId="187" fontId="117" fillId="31" borderId="110" applyNumberFormat="0" applyProtection="0">
      <alignment horizontal="left" vertical="top" indent="1"/>
    </xf>
    <xf numFmtId="187" fontId="117" fillId="31" borderId="110" applyNumberFormat="0" applyProtection="0">
      <alignment horizontal="left" vertical="top" indent="1"/>
    </xf>
    <xf numFmtId="187" fontId="117" fillId="31" borderId="110" applyNumberFormat="0" applyProtection="0">
      <alignment horizontal="left" vertical="top" indent="1"/>
    </xf>
    <xf numFmtId="187" fontId="117" fillId="31" borderId="110" applyNumberFormat="0" applyProtection="0">
      <alignment horizontal="left" vertical="top" indent="1"/>
    </xf>
    <xf numFmtId="187" fontId="117" fillId="31" borderId="110" applyNumberFormat="0" applyProtection="0">
      <alignment horizontal="left" vertical="top" indent="1"/>
    </xf>
    <xf numFmtId="187" fontId="117" fillId="31" borderId="110" applyNumberFormat="0" applyProtection="0">
      <alignment horizontal="left" vertical="top" indent="1"/>
    </xf>
    <xf numFmtId="187" fontId="117" fillId="31" borderId="110" applyNumberFormat="0" applyProtection="0">
      <alignment horizontal="left" vertical="top" indent="1"/>
    </xf>
    <xf numFmtId="187" fontId="117" fillId="31" borderId="110" applyNumberFormat="0" applyProtection="0">
      <alignment horizontal="left" vertical="top" indent="1"/>
    </xf>
    <xf numFmtId="187" fontId="122" fillId="38" borderId="112" applyBorder="0"/>
    <xf numFmtId="4" fontId="123" fillId="65" borderId="110" applyNumberFormat="0" applyProtection="0">
      <alignment vertical="center"/>
    </xf>
    <xf numFmtId="4" fontId="123" fillId="27" borderId="110" applyNumberFormat="0" applyProtection="0">
      <alignment horizontal="left" vertical="center" indent="1"/>
    </xf>
    <xf numFmtId="187" fontId="123" fillId="65" borderId="110" applyNumberFormat="0" applyProtection="0">
      <alignment horizontal="left" vertical="top" indent="1"/>
    </xf>
    <xf numFmtId="4" fontId="117" fillId="0" borderId="108" applyNumberFormat="0" applyProtection="0">
      <alignment horizontal="right" vertical="center"/>
    </xf>
    <xf numFmtId="4" fontId="120" fillId="3" borderId="108" applyNumberFormat="0" applyProtection="0">
      <alignment horizontal="right" vertical="center"/>
    </xf>
    <xf numFmtId="4" fontId="117" fillId="70" borderId="108" applyNumberFormat="0" applyProtection="0">
      <alignment horizontal="left" vertical="center" indent="1"/>
    </xf>
    <xf numFmtId="187" fontId="123" fillId="32" borderId="110" applyNumberFormat="0" applyProtection="0">
      <alignment horizontal="left" vertical="top" indent="1"/>
    </xf>
    <xf numFmtId="4" fontId="124" fillId="81" borderId="111" applyNumberFormat="0" applyProtection="0">
      <alignment horizontal="left" vertical="center" indent="1"/>
    </xf>
    <xf numFmtId="4" fontId="125" fillId="80" borderId="108" applyNumberFormat="0" applyProtection="0">
      <alignment horizontal="right" vertical="center"/>
    </xf>
    <xf numFmtId="37" fontId="97" fillId="0" borderId="113" applyNumberFormat="0"/>
    <xf numFmtId="188" fontId="97" fillId="0" borderId="81" applyFill="0"/>
    <xf numFmtId="187" fontId="106" fillId="0" borderId="114" applyNumberFormat="0" applyFill="0" applyAlignment="0" applyProtection="0"/>
    <xf numFmtId="187" fontId="106" fillId="0" borderId="114" applyNumberFormat="0" applyFill="0" applyAlignment="0" applyProtection="0"/>
    <xf numFmtId="187" fontId="117" fillId="27" borderId="108" applyNumberFormat="0" applyProtection="0">
      <alignment horizontal="left" vertical="center" indent="1"/>
    </xf>
    <xf numFmtId="187" fontId="78" fillId="38" borderId="110" applyNumberFormat="0" applyProtection="0">
      <alignment horizontal="left" vertical="center" indent="1"/>
    </xf>
    <xf numFmtId="187" fontId="117" fillId="38" borderId="110" applyNumberFormat="0" applyProtection="0">
      <alignment horizontal="left" vertical="top" indent="1"/>
    </xf>
    <xf numFmtId="187" fontId="78" fillId="38" borderId="110" applyNumberFormat="0" applyProtection="0">
      <alignment horizontal="left" vertical="top" indent="1"/>
    </xf>
    <xf numFmtId="187" fontId="117" fillId="38" borderId="110" applyNumberFormat="0" applyProtection="0">
      <alignment horizontal="left" vertical="top" indent="1"/>
    </xf>
    <xf numFmtId="187" fontId="117" fillId="38" borderId="110" applyNumberFormat="0" applyProtection="0">
      <alignment horizontal="left" vertical="top" indent="1"/>
    </xf>
    <xf numFmtId="187" fontId="117" fillId="38" borderId="110" applyNumberFormat="0" applyProtection="0">
      <alignment horizontal="left" vertical="top" indent="1"/>
    </xf>
    <xf numFmtId="187" fontId="117" fillId="38" borderId="110" applyNumberFormat="0" applyProtection="0">
      <alignment horizontal="left" vertical="top" indent="1"/>
    </xf>
    <xf numFmtId="187" fontId="117" fillId="38" borderId="110" applyNumberFormat="0" applyProtection="0">
      <alignment horizontal="left" vertical="top" indent="1"/>
    </xf>
    <xf numFmtId="187" fontId="117" fillId="38" borderId="110" applyNumberFormat="0" applyProtection="0">
      <alignment horizontal="left" vertical="top" indent="1"/>
    </xf>
    <xf numFmtId="187" fontId="117" fillId="38" borderId="110" applyNumberFormat="0" applyProtection="0">
      <alignment horizontal="left" vertical="top" indent="1"/>
    </xf>
    <xf numFmtId="187" fontId="117" fillId="38" borderId="110" applyNumberFormat="0" applyProtection="0">
      <alignment horizontal="left" vertical="top" indent="1"/>
    </xf>
    <xf numFmtId="187" fontId="117" fillId="78" borderId="108" applyNumberFormat="0" applyProtection="0">
      <alignment horizontal="left" vertical="center" indent="1"/>
    </xf>
    <xf numFmtId="187" fontId="78" fillId="32" borderId="110" applyNumberFormat="0" applyProtection="0">
      <alignment horizontal="left" vertical="center" indent="1"/>
    </xf>
    <xf numFmtId="187" fontId="117" fillId="32" borderId="110" applyNumberFormat="0" applyProtection="0">
      <alignment horizontal="left" vertical="top" indent="1"/>
    </xf>
    <xf numFmtId="187" fontId="78" fillId="32" borderId="110" applyNumberFormat="0" applyProtection="0">
      <alignment horizontal="left" vertical="top" indent="1"/>
    </xf>
    <xf numFmtId="187" fontId="117" fillId="32" borderId="110" applyNumberFormat="0" applyProtection="0">
      <alignment horizontal="left" vertical="top" indent="1"/>
    </xf>
    <xf numFmtId="187" fontId="117" fillId="32" borderId="110" applyNumberFormat="0" applyProtection="0">
      <alignment horizontal="left" vertical="top" indent="1"/>
    </xf>
    <xf numFmtId="187" fontId="117" fillId="32" borderId="110" applyNumberFormat="0" applyProtection="0">
      <alignment horizontal="left" vertical="top" indent="1"/>
    </xf>
    <xf numFmtId="187" fontId="117" fillId="32" borderId="110" applyNumberFormat="0" applyProtection="0">
      <alignment horizontal="left" vertical="top" indent="1"/>
    </xf>
    <xf numFmtId="187" fontId="117" fillId="32" borderId="110" applyNumberFormat="0" applyProtection="0">
      <alignment horizontal="left" vertical="top" indent="1"/>
    </xf>
    <xf numFmtId="187" fontId="117" fillId="32" borderId="110" applyNumberFormat="0" applyProtection="0">
      <alignment horizontal="left" vertical="top" indent="1"/>
    </xf>
    <xf numFmtId="187" fontId="117" fillId="32" borderId="110" applyNumberFormat="0" applyProtection="0">
      <alignment horizontal="left" vertical="top" indent="1"/>
    </xf>
    <xf numFmtId="187" fontId="117" fillId="32" borderId="110" applyNumberFormat="0" applyProtection="0">
      <alignment horizontal="left" vertical="top" indent="1"/>
    </xf>
    <xf numFmtId="187" fontId="117" fillId="79" borderId="108" applyNumberFormat="0" applyProtection="0">
      <alignment horizontal="left" vertical="center" indent="1"/>
    </xf>
    <xf numFmtId="187" fontId="78" fillId="79" borderId="110" applyNumberFormat="0" applyProtection="0">
      <alignment horizontal="left" vertical="center" indent="1"/>
    </xf>
    <xf numFmtId="187" fontId="117" fillId="79" borderId="110" applyNumberFormat="0" applyProtection="0">
      <alignment horizontal="left" vertical="top" indent="1"/>
    </xf>
    <xf numFmtId="187" fontId="78" fillId="79" borderId="110" applyNumberFormat="0" applyProtection="0">
      <alignment horizontal="left" vertical="top" indent="1"/>
    </xf>
    <xf numFmtId="187" fontId="117" fillId="79" borderId="110" applyNumberFormat="0" applyProtection="0">
      <alignment horizontal="left" vertical="top" indent="1"/>
    </xf>
    <xf numFmtId="187" fontId="117" fillId="79" borderId="110" applyNumberFormat="0" applyProtection="0">
      <alignment horizontal="left" vertical="top" indent="1"/>
    </xf>
    <xf numFmtId="187" fontId="117" fillId="79" borderId="110" applyNumberFormat="0" applyProtection="0">
      <alignment horizontal="left" vertical="top" indent="1"/>
    </xf>
    <xf numFmtId="187" fontId="117" fillId="79" borderId="110" applyNumberFormat="0" applyProtection="0">
      <alignment horizontal="left" vertical="top" indent="1"/>
    </xf>
    <xf numFmtId="187" fontId="117" fillId="79" borderId="110" applyNumberFormat="0" applyProtection="0">
      <alignment horizontal="left" vertical="top" indent="1"/>
    </xf>
    <xf numFmtId="187" fontId="117" fillId="79" borderId="110" applyNumberFormat="0" applyProtection="0">
      <alignment horizontal="left" vertical="top" indent="1"/>
    </xf>
    <xf numFmtId="187" fontId="117" fillId="79" borderId="110" applyNumberFormat="0" applyProtection="0">
      <alignment horizontal="left" vertical="top" indent="1"/>
    </xf>
    <xf numFmtId="187" fontId="117" fillId="79" borderId="110" applyNumberFormat="0" applyProtection="0">
      <alignment horizontal="left" vertical="top" indent="1"/>
    </xf>
    <xf numFmtId="187" fontId="117" fillId="31" borderId="108" applyNumberFormat="0" applyProtection="0">
      <alignment horizontal="left" vertical="center" indent="1"/>
    </xf>
    <xf numFmtId="187" fontId="78" fillId="31" borderId="110" applyNumberFormat="0" applyProtection="0">
      <alignment horizontal="left" vertical="center" indent="1"/>
    </xf>
    <xf numFmtId="187" fontId="117" fillId="31" borderId="110" applyNumberFormat="0" applyProtection="0">
      <alignment horizontal="left" vertical="top" indent="1"/>
    </xf>
    <xf numFmtId="187" fontId="78" fillId="31" borderId="110" applyNumberFormat="0" applyProtection="0">
      <alignment horizontal="left" vertical="top" indent="1"/>
    </xf>
    <xf numFmtId="187" fontId="117" fillId="31" borderId="110" applyNumberFormat="0" applyProtection="0">
      <alignment horizontal="left" vertical="top" indent="1"/>
    </xf>
    <xf numFmtId="187" fontId="117" fillId="31" borderId="110" applyNumberFormat="0" applyProtection="0">
      <alignment horizontal="left" vertical="top" indent="1"/>
    </xf>
    <xf numFmtId="187" fontId="117" fillId="31" borderId="110" applyNumberFormat="0" applyProtection="0">
      <alignment horizontal="left" vertical="top" indent="1"/>
    </xf>
    <xf numFmtId="187" fontId="117" fillId="31" borderId="110" applyNumberFormat="0" applyProtection="0">
      <alignment horizontal="left" vertical="top" indent="1"/>
    </xf>
    <xf numFmtId="187" fontId="117" fillId="31" borderId="110" applyNumberFormat="0" applyProtection="0">
      <alignment horizontal="left" vertical="top" indent="1"/>
    </xf>
    <xf numFmtId="187" fontId="117" fillId="31" borderId="110" applyNumberFormat="0" applyProtection="0">
      <alignment horizontal="left" vertical="top" indent="1"/>
    </xf>
    <xf numFmtId="187" fontId="117" fillId="31" borderId="110" applyNumberFormat="0" applyProtection="0">
      <alignment horizontal="left" vertical="top" indent="1"/>
    </xf>
    <xf numFmtId="187" fontId="117" fillId="31" borderId="110" applyNumberFormat="0" applyProtection="0">
      <alignment horizontal="left" vertical="top" indent="1"/>
    </xf>
    <xf numFmtId="187" fontId="122" fillId="38" borderId="112" applyBorder="0"/>
    <xf numFmtId="4" fontId="123" fillId="65" borderId="110" applyNumberFormat="0" applyProtection="0">
      <alignment vertical="center"/>
    </xf>
    <xf numFmtId="4" fontId="123" fillId="27" borderId="110" applyNumberFormat="0" applyProtection="0">
      <alignment horizontal="left" vertical="center" indent="1"/>
    </xf>
    <xf numFmtId="187" fontId="123" fillId="65" borderId="110" applyNumberFormat="0" applyProtection="0">
      <alignment horizontal="left" vertical="top" indent="1"/>
    </xf>
    <xf numFmtId="4" fontId="117" fillId="0" borderId="108" applyNumberFormat="0" applyProtection="0">
      <alignment horizontal="right" vertical="center"/>
    </xf>
    <xf numFmtId="4" fontId="120" fillId="3" borderId="108" applyNumberFormat="0" applyProtection="0">
      <alignment horizontal="right" vertical="center"/>
    </xf>
    <xf numFmtId="4" fontId="117" fillId="70" borderId="108" applyNumberFormat="0" applyProtection="0">
      <alignment horizontal="left" vertical="center" indent="1"/>
    </xf>
    <xf numFmtId="187" fontId="123" fillId="32" borderId="110" applyNumberFormat="0" applyProtection="0">
      <alignment horizontal="left" vertical="top" indent="1"/>
    </xf>
    <xf numFmtId="4" fontId="125" fillId="80" borderId="108" applyNumberFormat="0" applyProtection="0">
      <alignment horizontal="right" vertical="center"/>
    </xf>
    <xf numFmtId="37" fontId="97" fillId="0" borderId="113" applyNumberFormat="0"/>
    <xf numFmtId="187" fontId="106" fillId="0" borderId="114" applyNumberFormat="0" applyFill="0" applyAlignment="0" applyProtection="0"/>
    <xf numFmtId="187" fontId="106" fillId="0" borderId="114" applyNumberFormat="0" applyFill="0" applyAlignment="0" applyProtection="0"/>
    <xf numFmtId="187" fontId="117" fillId="38" borderId="118" applyNumberFormat="0" applyProtection="0">
      <alignment horizontal="left" vertical="top" indent="1"/>
    </xf>
    <xf numFmtId="187" fontId="117" fillId="38" borderId="118" applyNumberFormat="0" applyProtection="0">
      <alignment horizontal="left" vertical="top" indent="1"/>
    </xf>
    <xf numFmtId="187" fontId="106" fillId="0" borderId="121" applyNumberFormat="0" applyFill="0" applyAlignment="0" applyProtection="0"/>
    <xf numFmtId="187" fontId="106" fillId="0" borderId="121" applyNumberFormat="0" applyFill="0" applyAlignment="0" applyProtection="0"/>
    <xf numFmtId="188" fontId="97" fillId="0" borderId="115" applyFill="0"/>
    <xf numFmtId="37" fontId="97" fillId="0" borderId="113" applyNumberFormat="0"/>
    <xf numFmtId="4" fontId="125" fillId="80" borderId="116" applyNumberFormat="0" applyProtection="0">
      <alignment horizontal="right" vertical="center"/>
    </xf>
    <xf numFmtId="4" fontId="124" fillId="81" borderId="119" applyNumberFormat="0" applyProtection="0">
      <alignment horizontal="left" vertical="center" indent="1"/>
    </xf>
    <xf numFmtId="187" fontId="123" fillId="32" borderId="118" applyNumberFormat="0" applyProtection="0">
      <alignment horizontal="left" vertical="top" indent="1"/>
    </xf>
    <xf numFmtId="4" fontId="117" fillId="70" borderId="116" applyNumberFormat="0" applyProtection="0">
      <alignment horizontal="left" vertical="center" indent="1"/>
    </xf>
    <xf numFmtId="4" fontId="120" fillId="3" borderId="116" applyNumberFormat="0" applyProtection="0">
      <alignment horizontal="right" vertical="center"/>
    </xf>
    <xf numFmtId="4" fontId="117" fillId="0" borderId="116" applyNumberFormat="0" applyProtection="0">
      <alignment horizontal="right" vertical="center"/>
    </xf>
    <xf numFmtId="187" fontId="123" fillId="65" borderId="118" applyNumberFormat="0" applyProtection="0">
      <alignment horizontal="left" vertical="top" indent="1"/>
    </xf>
    <xf numFmtId="4" fontId="123" fillId="27" borderId="118" applyNumberFormat="0" applyProtection="0">
      <alignment horizontal="left" vertical="center" indent="1"/>
    </xf>
    <xf numFmtId="4" fontId="123" fillId="65" borderId="118" applyNumberFormat="0" applyProtection="0">
      <alignment vertical="center"/>
    </xf>
    <xf numFmtId="187" fontId="122" fillId="38" borderId="120" applyBorder="0"/>
    <xf numFmtId="187" fontId="117" fillId="31" borderId="118" applyNumberFormat="0" applyProtection="0">
      <alignment horizontal="left" vertical="top" indent="1"/>
    </xf>
    <xf numFmtId="187" fontId="117" fillId="31" borderId="118" applyNumberFormat="0" applyProtection="0">
      <alignment horizontal="left" vertical="top" indent="1"/>
    </xf>
    <xf numFmtId="187" fontId="117" fillId="31" borderId="118" applyNumberFormat="0" applyProtection="0">
      <alignment horizontal="left" vertical="top" indent="1"/>
    </xf>
    <xf numFmtId="187" fontId="117" fillId="31" borderId="118" applyNumberFormat="0" applyProtection="0">
      <alignment horizontal="left" vertical="top" indent="1"/>
    </xf>
    <xf numFmtId="187" fontId="117" fillId="31" borderId="118" applyNumberFormat="0" applyProtection="0">
      <alignment horizontal="left" vertical="top" indent="1"/>
    </xf>
    <xf numFmtId="187" fontId="117" fillId="31" borderId="118" applyNumberFormat="0" applyProtection="0">
      <alignment horizontal="left" vertical="top" indent="1"/>
    </xf>
    <xf numFmtId="187" fontId="117" fillId="31" borderId="118" applyNumberFormat="0" applyProtection="0">
      <alignment horizontal="left" vertical="top" indent="1"/>
    </xf>
    <xf numFmtId="187" fontId="117" fillId="31" borderId="118" applyNumberFormat="0" applyProtection="0">
      <alignment horizontal="left" vertical="top" indent="1"/>
    </xf>
    <xf numFmtId="187" fontId="78" fillId="31" borderId="118" applyNumberFormat="0" applyProtection="0">
      <alignment horizontal="left" vertical="top" indent="1"/>
    </xf>
    <xf numFmtId="187" fontId="117" fillId="31" borderId="118" applyNumberFormat="0" applyProtection="0">
      <alignment horizontal="left" vertical="top" indent="1"/>
    </xf>
    <xf numFmtId="187" fontId="78" fillId="31" borderId="118" applyNumberFormat="0" applyProtection="0">
      <alignment horizontal="left" vertical="center" indent="1"/>
    </xf>
    <xf numFmtId="187" fontId="117" fillId="31" borderId="116" applyNumberFormat="0" applyProtection="0">
      <alignment horizontal="left" vertical="center" indent="1"/>
    </xf>
    <xf numFmtId="187" fontId="117" fillId="79" borderId="118" applyNumberFormat="0" applyProtection="0">
      <alignment horizontal="left" vertical="top" indent="1"/>
    </xf>
    <xf numFmtId="187" fontId="117" fillId="79" borderId="118" applyNumberFormat="0" applyProtection="0">
      <alignment horizontal="left" vertical="top" indent="1"/>
    </xf>
    <xf numFmtId="187" fontId="117" fillId="79" borderId="118" applyNumberFormat="0" applyProtection="0">
      <alignment horizontal="left" vertical="top" indent="1"/>
    </xf>
    <xf numFmtId="187" fontId="117" fillId="79" borderId="118" applyNumberFormat="0" applyProtection="0">
      <alignment horizontal="left" vertical="top" indent="1"/>
    </xf>
    <xf numFmtId="187" fontId="117" fillId="79" borderId="118" applyNumberFormat="0" applyProtection="0">
      <alignment horizontal="left" vertical="top" indent="1"/>
    </xf>
    <xf numFmtId="187" fontId="117" fillId="79" borderId="118" applyNumberFormat="0" applyProtection="0">
      <alignment horizontal="left" vertical="top" indent="1"/>
    </xf>
    <xf numFmtId="187" fontId="117" fillId="79" borderId="118" applyNumberFormat="0" applyProtection="0">
      <alignment horizontal="left" vertical="top" indent="1"/>
    </xf>
    <xf numFmtId="187" fontId="117" fillId="79" borderId="118" applyNumberFormat="0" applyProtection="0">
      <alignment horizontal="left" vertical="top" indent="1"/>
    </xf>
    <xf numFmtId="187" fontId="78" fillId="79" borderId="118" applyNumberFormat="0" applyProtection="0">
      <alignment horizontal="left" vertical="top" indent="1"/>
    </xf>
    <xf numFmtId="187" fontId="117" fillId="79" borderId="118" applyNumberFormat="0" applyProtection="0">
      <alignment horizontal="left" vertical="top" indent="1"/>
    </xf>
    <xf numFmtId="187" fontId="78" fillId="79" borderId="118" applyNumberFormat="0" applyProtection="0">
      <alignment horizontal="left" vertical="center" indent="1"/>
    </xf>
    <xf numFmtId="187" fontId="117" fillId="79" borderId="116" applyNumberFormat="0" applyProtection="0">
      <alignment horizontal="left" vertical="center" indent="1"/>
    </xf>
    <xf numFmtId="187" fontId="117" fillId="32" borderId="118" applyNumberFormat="0" applyProtection="0">
      <alignment horizontal="left" vertical="top" indent="1"/>
    </xf>
    <xf numFmtId="187" fontId="117" fillId="32" borderId="118" applyNumberFormat="0" applyProtection="0">
      <alignment horizontal="left" vertical="top" indent="1"/>
    </xf>
    <xf numFmtId="187" fontId="117" fillId="32" borderId="118" applyNumberFormat="0" applyProtection="0">
      <alignment horizontal="left" vertical="top" indent="1"/>
    </xf>
    <xf numFmtId="187" fontId="117" fillId="32" borderId="118" applyNumberFormat="0" applyProtection="0">
      <alignment horizontal="left" vertical="top" indent="1"/>
    </xf>
    <xf numFmtId="187" fontId="117" fillId="32" borderId="118" applyNumberFormat="0" applyProtection="0">
      <alignment horizontal="left" vertical="top" indent="1"/>
    </xf>
    <xf numFmtId="187" fontId="117" fillId="32" borderId="118" applyNumberFormat="0" applyProtection="0">
      <alignment horizontal="left" vertical="top" indent="1"/>
    </xf>
    <xf numFmtId="187" fontId="117" fillId="32" borderId="118" applyNumberFormat="0" applyProtection="0">
      <alignment horizontal="left" vertical="top" indent="1"/>
    </xf>
    <xf numFmtId="187" fontId="117" fillId="32" borderId="118" applyNumberFormat="0" applyProtection="0">
      <alignment horizontal="left" vertical="top" indent="1"/>
    </xf>
    <xf numFmtId="187" fontId="78" fillId="32" borderId="118" applyNumberFormat="0" applyProtection="0">
      <alignment horizontal="left" vertical="top" indent="1"/>
    </xf>
    <xf numFmtId="187" fontId="117" fillId="32" borderId="118" applyNumberFormat="0" applyProtection="0">
      <alignment horizontal="left" vertical="top" indent="1"/>
    </xf>
    <xf numFmtId="187" fontId="78" fillId="32" borderId="118" applyNumberFormat="0" applyProtection="0">
      <alignment horizontal="left" vertical="center" indent="1"/>
    </xf>
    <xf numFmtId="187" fontId="117" fillId="78" borderId="116" applyNumberFormat="0" applyProtection="0">
      <alignment horizontal="left" vertical="center" indent="1"/>
    </xf>
    <xf numFmtId="187" fontId="117" fillId="38" borderId="118" applyNumberFormat="0" applyProtection="0">
      <alignment horizontal="left" vertical="top" indent="1"/>
    </xf>
    <xf numFmtId="187" fontId="117" fillId="38" borderId="118" applyNumberFormat="0" applyProtection="0">
      <alignment horizontal="left" vertical="top" indent="1"/>
    </xf>
    <xf numFmtId="187" fontId="117" fillId="38" borderId="118" applyNumberFormat="0" applyProtection="0">
      <alignment horizontal="left" vertical="top" indent="1"/>
    </xf>
    <xf numFmtId="187" fontId="117" fillId="38" borderId="118" applyNumberFormat="0" applyProtection="0">
      <alignment horizontal="left" vertical="top" indent="1"/>
    </xf>
    <xf numFmtId="187" fontId="117" fillId="38" borderId="118" applyNumberFormat="0" applyProtection="0">
      <alignment horizontal="left" vertical="top" indent="1"/>
    </xf>
    <xf numFmtId="187" fontId="117" fillId="38" borderId="118" applyNumberFormat="0" applyProtection="0">
      <alignment horizontal="left" vertical="top" indent="1"/>
    </xf>
    <xf numFmtId="187" fontId="78" fillId="38" borderId="118" applyNumberFormat="0" applyProtection="0">
      <alignment horizontal="left" vertical="top" indent="1"/>
    </xf>
    <xf numFmtId="187" fontId="117" fillId="38" borderId="118" applyNumberFormat="0" applyProtection="0">
      <alignment horizontal="left" vertical="top" indent="1"/>
    </xf>
    <xf numFmtId="187" fontId="78" fillId="38" borderId="118" applyNumberFormat="0" applyProtection="0">
      <alignment horizontal="left" vertical="center" indent="1"/>
    </xf>
    <xf numFmtId="187" fontId="117" fillId="27" borderId="116" applyNumberFormat="0" applyProtection="0">
      <alignment horizontal="left" vertical="center" indent="1"/>
    </xf>
    <xf numFmtId="4" fontId="117" fillId="32" borderId="119" applyNumberFormat="0" applyProtection="0">
      <alignment horizontal="left" vertical="center" indent="1"/>
    </xf>
    <xf numFmtId="4" fontId="117" fillId="31" borderId="119" applyNumberFormat="0" applyProtection="0">
      <alignment horizontal="left" vertical="center" indent="1"/>
    </xf>
    <xf numFmtId="4" fontId="117" fillId="32" borderId="116" applyNumberFormat="0" applyProtection="0">
      <alignment horizontal="right" vertical="center"/>
    </xf>
    <xf numFmtId="4" fontId="78" fillId="38" borderId="119" applyNumberFormat="0" applyProtection="0">
      <alignment horizontal="left" vertical="center" indent="1"/>
    </xf>
    <xf numFmtId="4" fontId="78" fillId="38" borderId="119" applyNumberFormat="0" applyProtection="0">
      <alignment horizontal="left" vertical="center" indent="1"/>
    </xf>
    <xf numFmtId="4" fontId="117" fillId="77" borderId="119" applyNumberFormat="0" applyProtection="0">
      <alignment horizontal="left" vertical="center" indent="1"/>
    </xf>
    <xf numFmtId="4" fontId="117" fillId="76" borderId="116" applyNumberFormat="0" applyProtection="0">
      <alignment horizontal="right" vertical="center"/>
    </xf>
    <xf numFmtId="4" fontId="117" fillId="33" borderId="116" applyNumberFormat="0" applyProtection="0">
      <alignment horizontal="right" vertical="center"/>
    </xf>
    <xf numFmtId="4" fontId="117" fillId="36" borderId="116" applyNumberFormat="0" applyProtection="0">
      <alignment horizontal="right" vertical="center"/>
    </xf>
    <xf numFmtId="4" fontId="117" fillId="75" borderId="116" applyNumberFormat="0" applyProtection="0">
      <alignment horizontal="right" vertical="center"/>
    </xf>
    <xf numFmtId="4" fontId="117" fillId="74" borderId="116" applyNumberFormat="0" applyProtection="0">
      <alignment horizontal="right" vertical="center"/>
    </xf>
    <xf numFmtId="4" fontId="117" fillId="40" borderId="116" applyNumberFormat="0" applyProtection="0">
      <alignment horizontal="right" vertical="center"/>
    </xf>
    <xf numFmtId="4" fontId="117" fillId="73" borderId="119" applyNumberFormat="0" applyProtection="0">
      <alignment horizontal="right" vertical="center"/>
    </xf>
    <xf numFmtId="4" fontId="117" fillId="72" borderId="116" applyNumberFormat="0" applyProtection="0">
      <alignment horizontal="right" vertical="center"/>
    </xf>
    <xf numFmtId="4" fontId="117" fillId="71" borderId="116" applyNumberFormat="0" applyProtection="0">
      <alignment horizontal="right" vertical="center"/>
    </xf>
    <xf numFmtId="4" fontId="117" fillId="70" borderId="116" applyNumberFormat="0" applyProtection="0">
      <alignment horizontal="left" vertical="center" indent="1"/>
    </xf>
    <xf numFmtId="187" fontId="121" fillId="69" borderId="118" applyNumberFormat="0" applyProtection="0">
      <alignment horizontal="left" vertical="top" indent="1"/>
    </xf>
    <xf numFmtId="4" fontId="117" fillId="6" borderId="116" applyNumberFormat="0" applyProtection="0">
      <alignment horizontal="left" vertical="center" indent="1"/>
    </xf>
    <xf numFmtId="4" fontId="120" fillId="6" borderId="116" applyNumberFormat="0" applyProtection="0">
      <alignment vertical="center"/>
    </xf>
    <xf numFmtId="4" fontId="117" fillId="69" borderId="116" applyNumberFormat="0" applyProtection="0">
      <alignment vertical="center"/>
    </xf>
    <xf numFmtId="187" fontId="118" fillId="61" borderId="117" applyNumberFormat="0" applyAlignment="0" applyProtection="0"/>
    <xf numFmtId="187" fontId="118" fillId="61" borderId="117" applyNumberFormat="0" applyAlignment="0" applyProtection="0"/>
    <xf numFmtId="187" fontId="117" fillId="57" borderId="116" applyNumberFormat="0" applyFont="0" applyAlignment="0" applyProtection="0"/>
    <xf numFmtId="187" fontId="117" fillId="57" borderId="116" applyNumberFormat="0" applyFont="0" applyAlignment="0" applyProtection="0"/>
    <xf numFmtId="187" fontId="117" fillId="57" borderId="116" applyNumberFormat="0" applyFont="0" applyAlignment="0" applyProtection="0"/>
    <xf numFmtId="187" fontId="117" fillId="57" borderId="116" applyNumberFormat="0" applyFont="0" applyAlignment="0" applyProtection="0"/>
    <xf numFmtId="187" fontId="117" fillId="57" borderId="116" applyNumberFormat="0" applyFont="0" applyAlignment="0" applyProtection="0"/>
    <xf numFmtId="187" fontId="117" fillId="57" borderId="116" applyNumberFormat="0" applyFont="0" applyAlignment="0" applyProtection="0"/>
    <xf numFmtId="187" fontId="117" fillId="57" borderId="116" applyNumberFormat="0" applyFont="0" applyAlignment="0" applyProtection="0"/>
    <xf numFmtId="187" fontId="117" fillId="57" borderId="116" applyNumberFormat="0" applyFont="0" applyAlignment="0" applyProtection="0"/>
    <xf numFmtId="187" fontId="117" fillId="57" borderId="116" applyNumberFormat="0" applyFont="0" applyAlignment="0" applyProtection="0"/>
    <xf numFmtId="187" fontId="104" fillId="61" borderId="116" applyNumberFormat="0" applyAlignment="0" applyProtection="0"/>
    <xf numFmtId="187" fontId="104" fillId="61" borderId="116" applyNumberFormat="0" applyAlignment="0" applyProtection="0"/>
    <xf numFmtId="187" fontId="112" fillId="58" borderId="116" applyNumberFormat="0" applyAlignment="0" applyProtection="0"/>
    <xf numFmtId="187" fontId="112" fillId="58" borderId="116" applyNumberFormat="0" applyAlignment="0" applyProtection="0"/>
    <xf numFmtId="187" fontId="112" fillId="58" borderId="116" applyNumberFormat="0" applyAlignment="0" applyProtection="0"/>
    <xf numFmtId="187" fontId="112" fillId="58" borderId="116" applyNumberFormat="0" applyAlignment="0" applyProtection="0"/>
    <xf numFmtId="187" fontId="104" fillId="61" borderId="116" applyNumberFormat="0" applyAlignment="0" applyProtection="0"/>
    <xf numFmtId="187" fontId="104" fillId="61" borderId="116" applyNumberFormat="0" applyAlignment="0" applyProtection="0"/>
    <xf numFmtId="187" fontId="117" fillId="57" borderId="116" applyNumberFormat="0" applyFont="0" applyAlignment="0" applyProtection="0"/>
    <xf numFmtId="187" fontId="117" fillId="57" borderId="116" applyNumberFormat="0" applyFont="0" applyAlignment="0" applyProtection="0"/>
    <xf numFmtId="187" fontId="117" fillId="57" borderId="116" applyNumberFormat="0" applyFont="0" applyAlignment="0" applyProtection="0"/>
    <xf numFmtId="187" fontId="117" fillId="57" borderId="116" applyNumberFormat="0" applyFont="0" applyAlignment="0" applyProtection="0"/>
    <xf numFmtId="187" fontId="117" fillId="57" borderId="116" applyNumberFormat="0" applyFont="0" applyAlignment="0" applyProtection="0"/>
    <xf numFmtId="187" fontId="117" fillId="57" borderId="116" applyNumberFormat="0" applyFont="0" applyAlignment="0" applyProtection="0"/>
    <xf numFmtId="187" fontId="117" fillId="57" borderId="116" applyNumberFormat="0" applyFont="0" applyAlignment="0" applyProtection="0"/>
    <xf numFmtId="187" fontId="117" fillId="57" borderId="116" applyNumberFormat="0" applyFont="0" applyAlignment="0" applyProtection="0"/>
    <xf numFmtId="187" fontId="117" fillId="57" borderId="116" applyNumberFormat="0" applyFont="0" applyAlignment="0" applyProtection="0"/>
    <xf numFmtId="4" fontId="117" fillId="69" borderId="116" applyNumberFormat="0" applyProtection="0">
      <alignment vertical="center"/>
    </xf>
    <xf numFmtId="4" fontId="120" fillId="6" borderId="116" applyNumberFormat="0" applyProtection="0">
      <alignment vertical="center"/>
    </xf>
    <xf numFmtId="4" fontId="117" fillId="6" borderId="116" applyNumberFormat="0" applyProtection="0">
      <alignment horizontal="left" vertical="center" indent="1"/>
    </xf>
    <xf numFmtId="4" fontId="117" fillId="70" borderId="116" applyNumberFormat="0" applyProtection="0">
      <alignment horizontal="left" vertical="center" indent="1"/>
    </xf>
    <xf numFmtId="4" fontId="117" fillId="71" borderId="116" applyNumberFormat="0" applyProtection="0">
      <alignment horizontal="right" vertical="center"/>
    </xf>
    <xf numFmtId="4" fontId="117" fillId="72" borderId="116" applyNumberFormat="0" applyProtection="0">
      <alignment horizontal="right" vertical="center"/>
    </xf>
    <xf numFmtId="4" fontId="117" fillId="40" borderId="116" applyNumberFormat="0" applyProtection="0">
      <alignment horizontal="right" vertical="center"/>
    </xf>
    <xf numFmtId="4" fontId="117" fillId="74" borderId="116" applyNumberFormat="0" applyProtection="0">
      <alignment horizontal="right" vertical="center"/>
    </xf>
    <xf numFmtId="4" fontId="117" fillId="75" borderId="116" applyNumberFormat="0" applyProtection="0">
      <alignment horizontal="right" vertical="center"/>
    </xf>
    <xf numFmtId="4" fontId="117" fillId="36" borderId="116" applyNumberFormat="0" applyProtection="0">
      <alignment horizontal="right" vertical="center"/>
    </xf>
    <xf numFmtId="4" fontId="117" fillId="33" borderId="116" applyNumberFormat="0" applyProtection="0">
      <alignment horizontal="right" vertical="center"/>
    </xf>
    <xf numFmtId="4" fontId="117" fillId="76" borderId="116" applyNumberFormat="0" applyProtection="0">
      <alignment horizontal="right" vertical="center"/>
    </xf>
    <xf numFmtId="4" fontId="117" fillId="32" borderId="116" applyNumberFormat="0" applyProtection="0">
      <alignment horizontal="right" vertical="center"/>
    </xf>
    <xf numFmtId="187" fontId="117" fillId="27" borderId="116" applyNumberFormat="0" applyProtection="0">
      <alignment horizontal="left" vertical="center" indent="1"/>
    </xf>
    <xf numFmtId="187" fontId="117" fillId="78" borderId="116" applyNumberFormat="0" applyProtection="0">
      <alignment horizontal="left" vertical="center" indent="1"/>
    </xf>
    <xf numFmtId="187" fontId="117" fillId="79" borderId="116" applyNumberFormat="0" applyProtection="0">
      <alignment horizontal="left" vertical="center" indent="1"/>
    </xf>
    <xf numFmtId="187" fontId="117" fillId="31" borderId="116" applyNumberFormat="0" applyProtection="0">
      <alignment horizontal="left" vertical="center" indent="1"/>
    </xf>
    <xf numFmtId="4" fontId="117" fillId="0" borderId="116" applyNumberFormat="0" applyProtection="0">
      <alignment horizontal="right" vertical="center"/>
    </xf>
    <xf numFmtId="4" fontId="120" fillId="3" borderId="116" applyNumberFormat="0" applyProtection="0">
      <alignment horizontal="right" vertical="center"/>
    </xf>
    <xf numFmtId="4" fontId="117" fillId="70" borderId="116" applyNumberFormat="0" applyProtection="0">
      <alignment horizontal="left" vertical="center" indent="1"/>
    </xf>
    <xf numFmtId="4" fontId="125" fillId="80" borderId="116" applyNumberFormat="0" applyProtection="0">
      <alignment horizontal="right" vertical="center"/>
    </xf>
    <xf numFmtId="0" fontId="2" fillId="0" borderId="0"/>
    <xf numFmtId="9" fontId="2" fillId="0" borderId="0" applyFont="0" applyFill="0" applyBorder="0" applyAlignment="0" applyProtection="0"/>
  </cellStyleXfs>
  <cellXfs count="908">
    <xf numFmtId="0" fontId="0" fillId="0" borderId="0" xfId="0"/>
    <xf numFmtId="0" fontId="4" fillId="0" borderId="0" xfId="0" applyFont="1"/>
    <xf numFmtId="0" fontId="8" fillId="2" borderId="0" xfId="1" applyNumberFormat="1" applyFont="1" applyFill="1" applyBorder="1" applyAlignment="1" applyProtection="1">
      <alignment horizontal="left"/>
    </xf>
    <xf numFmtId="0" fontId="0" fillId="2" borderId="0" xfId="0" applyFill="1"/>
    <xf numFmtId="0" fontId="9" fillId="2" borderId="2" xfId="1" applyNumberFormat="1" applyFont="1" applyFill="1" applyBorder="1" applyAlignment="1" applyProtection="1">
      <alignment horizontal="left"/>
    </xf>
    <xf numFmtId="0" fontId="10" fillId="3" borderId="0" xfId="2" applyNumberFormat="1" applyFont="1" applyFill="1"/>
    <xf numFmtId="0" fontId="12" fillId="4" borderId="0" xfId="3" applyNumberFormat="1" applyFont="1" applyFill="1"/>
    <xf numFmtId="0" fontId="7" fillId="0" borderId="1" xfId="4" applyFont="1" applyBorder="1"/>
    <xf numFmtId="0" fontId="7" fillId="5" borderId="1" xfId="4" applyFont="1" applyFill="1" applyBorder="1" applyAlignment="1" applyProtection="1">
      <alignment horizontal="center"/>
      <protection locked="0"/>
    </xf>
    <xf numFmtId="168" fontId="7" fillId="6" borderId="1" xfId="4" applyNumberFormat="1" applyFont="1" applyFill="1" applyBorder="1" applyAlignment="1" applyProtection="1">
      <alignment horizontal="center"/>
      <protection locked="0"/>
    </xf>
    <xf numFmtId="170" fontId="7" fillId="6" borderId="1" xfId="4" applyNumberFormat="1" applyFont="1" applyFill="1" applyBorder="1" applyAlignment="1" applyProtection="1">
      <alignment horizontal="center"/>
      <protection locked="0"/>
    </xf>
    <xf numFmtId="0" fontId="7" fillId="7" borderId="1" xfId="4" applyFont="1" applyFill="1" applyBorder="1" applyAlignment="1">
      <alignment horizontal="center"/>
    </xf>
    <xf numFmtId="0" fontId="7" fillId="0" borderId="1" xfId="4" applyFont="1" applyBorder="1" applyAlignment="1">
      <alignment horizontal="right"/>
    </xf>
    <xf numFmtId="2" fontId="7" fillId="5" borderId="1" xfId="4" applyNumberFormat="1" applyFont="1" applyFill="1" applyBorder="1"/>
    <xf numFmtId="0" fontId="13" fillId="0" borderId="1" xfId="4" applyFont="1" applyBorder="1"/>
    <xf numFmtId="0" fontId="7" fillId="8" borderId="1" xfId="4" applyFont="1" applyFill="1" applyBorder="1" applyAlignment="1">
      <alignment horizontal="center"/>
    </xf>
    <xf numFmtId="171" fontId="7" fillId="8" borderId="1" xfId="4" applyNumberFormat="1" applyFont="1" applyFill="1" applyBorder="1"/>
    <xf numFmtId="171" fontId="7" fillId="8" borderId="1" xfId="5" applyNumberFormat="1" applyFont="1" applyFill="1" applyBorder="1"/>
    <xf numFmtId="0" fontId="14" fillId="0" borderId="0" xfId="0" applyFont="1" applyAlignment="1">
      <alignment vertical="center"/>
    </xf>
    <xf numFmtId="0" fontId="15" fillId="0" borderId="0" xfId="4" applyFont="1"/>
    <xf numFmtId="172" fontId="15" fillId="0" borderId="0" xfId="5" applyFont="1"/>
    <xf numFmtId="3" fontId="19" fillId="0" borderId="8" xfId="0" applyNumberFormat="1" applyFont="1" applyBorder="1" applyAlignment="1">
      <alignment horizontal="center" vertical="center" wrapText="1"/>
    </xf>
    <xf numFmtId="0" fontId="2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26" fillId="0" borderId="0" xfId="9" applyAlignment="1">
      <alignment vertical="center"/>
    </xf>
    <xf numFmtId="0" fontId="17" fillId="0" borderId="9" xfId="0" applyFont="1" applyBorder="1" applyAlignment="1">
      <alignment horizontal="right" vertical="center"/>
    </xf>
    <xf numFmtId="0" fontId="0" fillId="0" borderId="0" xfId="0" applyAlignment="1"/>
    <xf numFmtId="0" fontId="24" fillId="0" borderId="3" xfId="0" applyFont="1" applyBorder="1" applyAlignment="1">
      <alignment vertical="center" wrapText="1"/>
    </xf>
    <xf numFmtId="0" fontId="25" fillId="0" borderId="9" xfId="0" applyFont="1" applyBorder="1" applyAlignment="1">
      <alignment vertical="center" wrapText="1"/>
    </xf>
    <xf numFmtId="0" fontId="27" fillId="0" borderId="6" xfId="0" applyFont="1" applyBorder="1" applyAlignment="1">
      <alignment vertical="center" wrapText="1"/>
    </xf>
    <xf numFmtId="0" fontId="29" fillId="0" borderId="9" xfId="0" applyFont="1" applyBorder="1" applyAlignment="1">
      <alignment vertical="center" wrapText="1"/>
    </xf>
    <xf numFmtId="0" fontId="24" fillId="12" borderId="9" xfId="0" applyFont="1" applyFill="1" applyBorder="1" applyAlignment="1">
      <alignment horizontal="center" vertical="center" wrapText="1"/>
    </xf>
    <xf numFmtId="0" fontId="22" fillId="12" borderId="6" xfId="0" applyFont="1" applyFill="1" applyBorder="1" applyAlignment="1">
      <alignment horizontal="center" vertical="center" wrapText="1"/>
    </xf>
    <xf numFmtId="0" fontId="25" fillId="0" borderId="6" xfId="0" applyFont="1" applyBorder="1" applyAlignment="1">
      <alignment vertical="center" wrapText="1"/>
    </xf>
    <xf numFmtId="0" fontId="34" fillId="0" borderId="7" xfId="0" applyFont="1" applyBorder="1" applyAlignment="1">
      <alignment horizontal="right" vertical="center" wrapText="1"/>
    </xf>
    <xf numFmtId="0" fontId="16" fillId="0" borderId="0" xfId="0" applyFont="1" applyAlignment="1">
      <alignment vertical="center" wrapText="1"/>
    </xf>
    <xf numFmtId="0" fontId="37" fillId="0" borderId="6" xfId="0" applyFont="1" applyBorder="1" applyAlignment="1">
      <alignment vertical="center"/>
    </xf>
    <xf numFmtId="4" fontId="0" fillId="0" borderId="0" xfId="0" applyNumberFormat="1"/>
    <xf numFmtId="0" fontId="24" fillId="0" borderId="5" xfId="0" applyFont="1" applyBorder="1" applyAlignment="1">
      <alignment vertical="center" wrapText="1"/>
    </xf>
    <xf numFmtId="0" fontId="22" fillId="0" borderId="0" xfId="0" applyFont="1" applyBorder="1" applyAlignment="1">
      <alignment vertical="center"/>
    </xf>
    <xf numFmtId="0" fontId="17" fillId="0" borderId="0" xfId="0" applyFont="1" applyBorder="1" applyAlignment="1">
      <alignment vertical="center"/>
    </xf>
    <xf numFmtId="0" fontId="17" fillId="0" borderId="0" xfId="0" applyFont="1" applyBorder="1" applyAlignment="1">
      <alignment horizontal="center" vertical="center"/>
    </xf>
    <xf numFmtId="0" fontId="17" fillId="0" borderId="0" xfId="0" applyFont="1" applyBorder="1" applyAlignment="1">
      <alignment horizontal="right" vertical="center"/>
    </xf>
    <xf numFmtId="3" fontId="17" fillId="0" borderId="0" xfId="0" applyNumberFormat="1" applyFont="1" applyBorder="1" applyAlignment="1">
      <alignment horizontal="right" vertical="center"/>
    </xf>
    <xf numFmtId="0" fontId="28" fillId="0" borderId="0" xfId="9" applyFont="1" applyBorder="1" applyAlignment="1">
      <alignment horizontal="right" vertical="center"/>
    </xf>
    <xf numFmtId="0" fontId="26" fillId="0" borderId="0" xfId="9" applyBorder="1" applyAlignment="1">
      <alignment vertical="center"/>
    </xf>
    <xf numFmtId="0" fontId="18" fillId="0" borderId="0" xfId="0" applyFont="1" applyBorder="1" applyAlignment="1">
      <alignment vertical="center"/>
    </xf>
    <xf numFmtId="0" fontId="18" fillId="0" borderId="0" xfId="0" applyFont="1" applyBorder="1" applyAlignment="1">
      <alignment horizontal="center" vertical="center"/>
    </xf>
    <xf numFmtId="0" fontId="0" fillId="0" borderId="0" xfId="0" applyBorder="1" applyAlignment="1"/>
    <xf numFmtId="0" fontId="16" fillId="0" borderId="0" xfId="0" applyFont="1" applyBorder="1" applyAlignment="1"/>
    <xf numFmtId="0" fontId="0" fillId="0" borderId="0" xfId="0" applyAlignment="1">
      <alignment vertical="center"/>
    </xf>
    <xf numFmtId="0" fontId="42" fillId="0" borderId="9" xfId="0" applyFont="1" applyBorder="1" applyAlignment="1">
      <alignment vertical="center" wrapText="1"/>
    </xf>
    <xf numFmtId="0" fontId="19" fillId="0" borderId="6" xfId="0" applyFont="1" applyBorder="1" applyAlignment="1">
      <alignment vertical="center" wrapText="1"/>
    </xf>
    <xf numFmtId="0" fontId="30" fillId="0" borderId="9" xfId="0" applyFont="1" applyBorder="1" applyAlignment="1">
      <alignment horizontal="left" vertical="center" wrapText="1" indent="2"/>
    </xf>
    <xf numFmtId="0" fontId="27" fillId="0" borderId="9" xfId="0" applyFont="1" applyBorder="1" applyAlignment="1">
      <alignment horizontal="left" vertical="center" wrapText="1" indent="2"/>
    </xf>
    <xf numFmtId="0" fontId="30" fillId="0" borderId="6" xfId="0" applyFont="1" applyBorder="1" applyAlignment="1">
      <alignment horizontal="left" vertical="center" wrapText="1" indent="2"/>
    </xf>
    <xf numFmtId="0" fontId="19" fillId="0" borderId="9" xfId="0" applyFont="1" applyBorder="1" applyAlignment="1">
      <alignment horizontal="left" vertical="center" wrapText="1" indent="2"/>
    </xf>
    <xf numFmtId="0" fontId="27" fillId="0" borderId="3" xfId="0" applyFont="1" applyBorder="1" applyAlignment="1">
      <alignment vertical="center" wrapText="1"/>
    </xf>
    <xf numFmtId="0" fontId="24" fillId="13" borderId="4" xfId="0" applyFont="1" applyFill="1" applyBorder="1" applyAlignment="1">
      <alignment horizontal="center" vertical="center" wrapText="1"/>
    </xf>
    <xf numFmtId="0" fontId="27" fillId="0" borderId="6" xfId="0" applyFont="1" applyBorder="1" applyAlignment="1">
      <alignment horizontal="center" vertical="center" wrapText="1"/>
    </xf>
    <xf numFmtId="0" fontId="6" fillId="0" borderId="5" xfId="0" applyFont="1" applyBorder="1" applyAlignment="1">
      <alignment vertical="center" wrapText="1"/>
    </xf>
    <xf numFmtId="9" fontId="27" fillId="0" borderId="6" xfId="0" applyNumberFormat="1" applyFont="1" applyBorder="1" applyAlignment="1">
      <alignment vertical="center" wrapText="1"/>
    </xf>
    <xf numFmtId="9" fontId="27" fillId="0" borderId="6" xfId="0" applyNumberFormat="1" applyFont="1" applyBorder="1" applyAlignment="1">
      <alignment horizontal="center" vertical="center" wrapText="1"/>
    </xf>
    <xf numFmtId="10" fontId="27" fillId="0" borderId="6" xfId="0" applyNumberFormat="1" applyFont="1" applyBorder="1" applyAlignment="1">
      <alignment horizontal="center" vertical="center" wrapText="1"/>
    </xf>
    <xf numFmtId="0" fontId="17" fillId="0" borderId="4" xfId="0" applyFont="1" applyBorder="1" applyAlignment="1">
      <alignment horizontal="right" vertical="center"/>
    </xf>
    <xf numFmtId="0" fontId="17" fillId="0" borderId="16" xfId="0" applyFont="1" applyBorder="1" applyAlignment="1">
      <alignment horizontal="center" vertical="center"/>
    </xf>
    <xf numFmtId="0" fontId="24" fillId="12" borderId="6" xfId="0" applyFont="1" applyFill="1" applyBorder="1" applyAlignment="1">
      <alignment horizontal="center" vertical="center" wrapText="1"/>
    </xf>
    <xf numFmtId="0" fontId="0" fillId="0" borderId="3" xfId="0" applyBorder="1"/>
    <xf numFmtId="9" fontId="27" fillId="0" borderId="0" xfId="0" applyNumberFormat="1" applyFont="1" applyBorder="1" applyAlignment="1">
      <alignment vertical="center" wrapText="1"/>
    </xf>
    <xf numFmtId="0" fontId="0" fillId="0" borderId="0" xfId="0" applyFill="1" applyBorder="1"/>
    <xf numFmtId="0" fontId="24" fillId="0" borderId="0" xfId="0" applyFont="1" applyFill="1" applyBorder="1" applyAlignment="1">
      <alignment horizontal="center" vertical="center" wrapText="1"/>
    </xf>
    <xf numFmtId="0" fontId="27"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4" fillId="0" borderId="0" xfId="0" applyFont="1" applyFill="1" applyBorder="1" applyAlignment="1">
      <alignment vertical="center"/>
    </xf>
    <xf numFmtId="0" fontId="5" fillId="0" borderId="0" xfId="0" applyFont="1" applyFill="1" applyBorder="1" applyAlignment="1">
      <alignment vertical="center" wrapText="1"/>
    </xf>
    <xf numFmtId="0" fontId="39" fillId="0" borderId="0" xfId="0" applyFont="1" applyAlignment="1">
      <alignment vertical="center"/>
    </xf>
    <xf numFmtId="0" fontId="38" fillId="0" borderId="6" xfId="0" applyFont="1" applyBorder="1" applyAlignment="1">
      <alignment horizontal="center" vertical="center" wrapText="1"/>
    </xf>
    <xf numFmtId="0" fontId="38" fillId="0" borderId="2" xfId="0" applyFont="1" applyBorder="1" applyAlignment="1">
      <alignment horizontal="center" vertical="center" wrapText="1"/>
    </xf>
    <xf numFmtId="0" fontId="47" fillId="0" borderId="0" xfId="0" applyFont="1" applyAlignment="1">
      <alignment vertical="center"/>
    </xf>
    <xf numFmtId="0" fontId="32" fillId="14" borderId="2" xfId="0" applyFont="1" applyFill="1" applyBorder="1" applyAlignment="1">
      <alignment horizontal="right" vertical="center" wrapText="1"/>
    </xf>
    <xf numFmtId="0" fontId="48" fillId="0" borderId="2" xfId="0" applyFont="1" applyBorder="1" applyAlignment="1">
      <alignment horizontal="right" vertical="center" wrapText="1"/>
    </xf>
    <xf numFmtId="0" fontId="32" fillId="14" borderId="6" xfId="0" applyFont="1" applyFill="1" applyBorder="1" applyAlignment="1">
      <alignment horizontal="right" vertical="center" wrapText="1"/>
    </xf>
    <xf numFmtId="0" fontId="0" fillId="0" borderId="0" xfId="0"/>
    <xf numFmtId="0" fontId="24" fillId="13" borderId="4" xfId="0" applyFont="1" applyFill="1" applyBorder="1" applyAlignment="1">
      <alignment horizontal="center" vertical="center" wrapText="1"/>
    </xf>
    <xf numFmtId="0" fontId="0" fillId="0" borderId="0" xfId="0"/>
    <xf numFmtId="0" fontId="37" fillId="0" borderId="6" xfId="0" applyFont="1" applyBorder="1" applyAlignment="1">
      <alignment vertical="center" wrapText="1"/>
    </xf>
    <xf numFmtId="0" fontId="0" fillId="0" borderId="0" xfId="0"/>
    <xf numFmtId="0" fontId="27" fillId="0" borderId="0" xfId="0" applyFont="1" applyBorder="1" applyAlignment="1">
      <alignment vertical="center" wrapText="1"/>
    </xf>
    <xf numFmtId="0" fontId="29" fillId="0" borderId="11" xfId="0" applyFont="1" applyBorder="1" applyAlignment="1">
      <alignment vertical="center" wrapText="1"/>
    </xf>
    <xf numFmtId="0" fontId="19" fillId="0" borderId="0" xfId="0" applyFont="1" applyBorder="1" applyAlignment="1">
      <alignment vertical="center" wrapText="1"/>
    </xf>
    <xf numFmtId="0" fontId="27" fillId="0" borderId="2" xfId="0" applyFont="1" applyBorder="1" applyAlignment="1">
      <alignment vertical="center" wrapText="1"/>
    </xf>
    <xf numFmtId="0" fontId="30" fillId="0" borderId="0" xfId="0" applyFont="1" applyBorder="1" applyAlignment="1">
      <alignment horizontal="left" vertical="center" wrapText="1" indent="2"/>
    </xf>
    <xf numFmtId="0" fontId="27" fillId="0" borderId="0" xfId="0" applyFont="1" applyBorder="1" applyAlignment="1">
      <alignment horizontal="left" vertical="center" wrapText="1" indent="2"/>
    </xf>
    <xf numFmtId="0" fontId="30" fillId="0" borderId="2" xfId="0" applyFont="1" applyBorder="1" applyAlignment="1">
      <alignment horizontal="left" vertical="center" wrapText="1" indent="2"/>
    </xf>
    <xf numFmtId="0" fontId="49" fillId="0" borderId="5" xfId="0" applyFont="1" applyBorder="1" applyAlignment="1">
      <alignment wrapText="1"/>
    </xf>
    <xf numFmtId="168" fontId="6" fillId="0" borderId="6" xfId="0" applyNumberFormat="1" applyFont="1" applyBorder="1" applyAlignment="1">
      <alignment horizontal="center" vertical="center" wrapText="1"/>
    </xf>
    <xf numFmtId="0" fontId="6" fillId="0" borderId="0" xfId="0" applyFont="1" applyFill="1" applyBorder="1" applyAlignment="1">
      <alignment horizontal="center" vertical="center" wrapText="1"/>
    </xf>
    <xf numFmtId="0" fontId="0" fillId="0" borderId="0" xfId="0"/>
    <xf numFmtId="0" fontId="32" fillId="0" borderId="6" xfId="0" applyFont="1" applyBorder="1" applyAlignment="1">
      <alignment horizontal="right" vertical="center" wrapText="1"/>
    </xf>
    <xf numFmtId="0" fontId="17" fillId="0" borderId="19" xfId="0" applyFont="1" applyBorder="1" applyAlignment="1">
      <alignment horizontal="right" vertical="center"/>
    </xf>
    <xf numFmtId="0" fontId="24" fillId="0" borderId="22" xfId="0" applyFont="1" applyBorder="1" applyAlignment="1">
      <alignment horizontal="right" vertical="center" wrapText="1"/>
    </xf>
    <xf numFmtId="0" fontId="16" fillId="0" borderId="26" xfId="0" applyFont="1" applyBorder="1" applyAlignment="1">
      <alignment vertical="center" wrapText="1"/>
    </xf>
    <xf numFmtId="0" fontId="27" fillId="0" borderId="19" xfId="0" applyFont="1" applyBorder="1" applyAlignment="1">
      <alignment horizontal="center" vertical="center" wrapText="1"/>
    </xf>
    <xf numFmtId="3" fontId="19" fillId="0" borderId="26" xfId="0" applyNumberFormat="1" applyFont="1" applyBorder="1" applyAlignment="1">
      <alignment horizontal="center" vertical="center" wrapText="1"/>
    </xf>
    <xf numFmtId="9" fontId="19" fillId="0" borderId="19" xfId="0" applyNumberFormat="1" applyFont="1" applyBorder="1" applyAlignment="1">
      <alignment horizontal="center" vertical="center" wrapText="1"/>
    </xf>
    <xf numFmtId="3" fontId="21" fillId="0" borderId="27" xfId="0" applyNumberFormat="1" applyFont="1" applyBorder="1" applyAlignment="1">
      <alignment horizontal="center" vertical="center" wrapText="1"/>
    </xf>
    <xf numFmtId="3" fontId="21" fillId="0" borderId="28" xfId="0" applyNumberFormat="1" applyFont="1" applyBorder="1" applyAlignment="1">
      <alignment horizontal="center" vertical="center" wrapText="1"/>
    </xf>
    <xf numFmtId="9" fontId="21" fillId="0" borderId="21" xfId="10" applyFont="1" applyBorder="1" applyAlignment="1">
      <alignment horizontal="center" vertical="center" wrapText="1"/>
    </xf>
    <xf numFmtId="0" fontId="40" fillId="0" borderId="0" xfId="0" applyFont="1"/>
    <xf numFmtId="0" fontId="53" fillId="0" borderId="0" xfId="0" applyFont="1"/>
    <xf numFmtId="3" fontId="40" fillId="0" borderId="0" xfId="0" applyNumberFormat="1" applyFont="1"/>
    <xf numFmtId="3" fontId="53" fillId="0" borderId="0" xfId="0" applyNumberFormat="1" applyFont="1"/>
    <xf numFmtId="4" fontId="37" fillId="0" borderId="6" xfId="0" applyNumberFormat="1" applyFont="1" applyBorder="1" applyAlignment="1">
      <alignment horizontal="center" vertical="center" wrapText="1"/>
    </xf>
    <xf numFmtId="2" fontId="0" fillId="0" borderId="0" xfId="0" applyNumberFormat="1"/>
    <xf numFmtId="168" fontId="0" fillId="0" borderId="0" xfId="0" applyNumberFormat="1"/>
    <xf numFmtId="4" fontId="38" fillId="0" borderId="6" xfId="0" applyNumberFormat="1" applyFont="1" applyBorder="1" applyAlignment="1">
      <alignment horizontal="center" vertical="center" wrapText="1"/>
    </xf>
    <xf numFmtId="174" fontId="37" fillId="0" borderId="6" xfId="0" applyNumberFormat="1" applyFont="1" applyBorder="1" applyAlignment="1">
      <alignment horizontal="center" vertical="center" wrapText="1"/>
    </xf>
    <xf numFmtId="174" fontId="38" fillId="0" borderId="6" xfId="0" applyNumberFormat="1" applyFont="1" applyBorder="1" applyAlignment="1">
      <alignment horizontal="center" vertical="center" wrapText="1"/>
    </xf>
    <xf numFmtId="174" fontId="0" fillId="0" borderId="0" xfId="0" applyNumberFormat="1"/>
    <xf numFmtId="2" fontId="38" fillId="0" borderId="6" xfId="0" applyNumberFormat="1" applyFont="1" applyBorder="1" applyAlignment="1">
      <alignment horizontal="center" vertical="center" wrapText="1"/>
    </xf>
    <xf numFmtId="2" fontId="38" fillId="0" borderId="2" xfId="0" applyNumberFormat="1" applyFont="1" applyBorder="1" applyAlignment="1">
      <alignment horizontal="center" vertical="center" wrapText="1"/>
    </xf>
    <xf numFmtId="2" fontId="37" fillId="0" borderId="6" xfId="0" applyNumberFormat="1" applyFont="1" applyBorder="1" applyAlignment="1">
      <alignment horizontal="center" vertical="center" wrapText="1"/>
    </xf>
    <xf numFmtId="168" fontId="37" fillId="0" borderId="6" xfId="0" applyNumberFormat="1" applyFont="1" applyBorder="1" applyAlignment="1">
      <alignment horizontal="center" vertical="center" wrapText="1"/>
    </xf>
    <xf numFmtId="168" fontId="38" fillId="0" borderId="6" xfId="0" applyNumberFormat="1" applyFont="1" applyBorder="1" applyAlignment="1">
      <alignment horizontal="center" vertical="center" wrapText="1"/>
    </xf>
    <xf numFmtId="4" fontId="38" fillId="0" borderId="2" xfId="0" applyNumberFormat="1" applyFont="1" applyBorder="1" applyAlignment="1">
      <alignment horizontal="center" vertical="center" wrapText="1"/>
    </xf>
    <xf numFmtId="177" fontId="0" fillId="0" borderId="0" xfId="0" applyNumberFormat="1"/>
    <xf numFmtId="171" fontId="0" fillId="0" borderId="0" xfId="0" applyNumberFormat="1"/>
    <xf numFmtId="1" fontId="32" fillId="0" borderId="9" xfId="0" applyNumberFormat="1" applyFont="1" applyBorder="1" applyAlignment="1">
      <alignment horizontal="right" vertical="center" wrapText="1"/>
    </xf>
    <xf numFmtId="1" fontId="32" fillId="14" borderId="9" xfId="0" applyNumberFormat="1" applyFont="1" applyFill="1" applyBorder="1" applyAlignment="1">
      <alignment horizontal="right" vertical="center" wrapText="1"/>
    </xf>
    <xf numFmtId="3" fontId="17" fillId="0" borderId="0" xfId="0" applyNumberFormat="1" applyFont="1" applyAlignment="1"/>
    <xf numFmtId="3" fontId="17" fillId="0" borderId="0" xfId="0" applyNumberFormat="1" applyFont="1" applyBorder="1" applyAlignment="1"/>
    <xf numFmtId="0" fontId="0" fillId="0" borderId="0" xfId="0" applyBorder="1"/>
    <xf numFmtId="0" fontId="51" fillId="0" borderId="0" xfId="0" applyFont="1" applyBorder="1" applyAlignment="1">
      <alignment vertical="center"/>
    </xf>
    <xf numFmtId="0" fontId="18" fillId="0" borderId="0" xfId="0" applyFont="1" applyBorder="1" applyAlignment="1">
      <alignment horizontal="right" vertical="center"/>
    </xf>
    <xf numFmtId="0" fontId="26" fillId="0" borderId="0" xfId="9"/>
    <xf numFmtId="0" fontId="55" fillId="0" borderId="0" xfId="0" applyFont="1"/>
    <xf numFmtId="0" fontId="52" fillId="0" borderId="0" xfId="0" applyFont="1"/>
    <xf numFmtId="0" fontId="4" fillId="0" borderId="3" xfId="0" applyFont="1" applyBorder="1"/>
    <xf numFmtId="0" fontId="57" fillId="0" borderId="3" xfId="0" applyFont="1" applyBorder="1" applyAlignment="1">
      <alignment vertical="center" wrapText="1"/>
    </xf>
    <xf numFmtId="0" fontId="57" fillId="0" borderId="4" xfId="0" applyFont="1" applyBorder="1" applyAlignment="1">
      <alignment vertical="center" wrapText="1"/>
    </xf>
    <xf numFmtId="0" fontId="58" fillId="0" borderId="0" xfId="0" applyFont="1"/>
    <xf numFmtId="0" fontId="0" fillId="0" borderId="14" xfId="0" applyBorder="1"/>
    <xf numFmtId="0" fontId="44" fillId="0" borderId="14" xfId="0" applyFont="1" applyBorder="1"/>
    <xf numFmtId="0" fontId="59" fillId="0" borderId="0" xfId="0" applyFont="1" applyAlignment="1">
      <alignment horizontal="left" vertical="center" indent="4"/>
    </xf>
    <xf numFmtId="0" fontId="0" fillId="0" borderId="0" xfId="0" applyAlignment="1">
      <alignment horizontal="left" vertical="center" indent="4"/>
    </xf>
    <xf numFmtId="0" fontId="40" fillId="0" borderId="0" xfId="0" applyFont="1" applyAlignment="1">
      <alignment vertical="center"/>
    </xf>
    <xf numFmtId="1" fontId="0" fillId="0" borderId="0" xfId="0" applyNumberFormat="1"/>
    <xf numFmtId="9" fontId="0" fillId="0" borderId="0" xfId="10" applyFont="1" applyAlignment="1">
      <alignment horizontal="center"/>
    </xf>
    <xf numFmtId="0" fontId="37" fillId="0" borderId="3" xfId="0" applyFont="1" applyBorder="1" applyAlignment="1">
      <alignment vertical="center"/>
    </xf>
    <xf numFmtId="0" fontId="60" fillId="0" borderId="0" xfId="0" applyFont="1"/>
    <xf numFmtId="0" fontId="61" fillId="0" borderId="0" xfId="0" applyFont="1"/>
    <xf numFmtId="0" fontId="63" fillId="0" borderId="0" xfId="0" applyFont="1"/>
    <xf numFmtId="177" fontId="61" fillId="0" borderId="0" xfId="0" applyNumberFormat="1" applyFont="1"/>
    <xf numFmtId="178" fontId="61" fillId="0" borderId="0" xfId="0" applyNumberFormat="1" applyFont="1"/>
    <xf numFmtId="179" fontId="0" fillId="0" borderId="0" xfId="0" applyNumberFormat="1"/>
    <xf numFmtId="0" fontId="13" fillId="0" borderId="0" xfId="0" applyFont="1" applyAlignment="1">
      <alignment vertical="center"/>
    </xf>
    <xf numFmtId="0" fontId="64" fillId="0" borderId="0" xfId="0" applyFont="1"/>
    <xf numFmtId="0" fontId="65" fillId="0" borderId="0" xfId="0" applyFont="1" applyAlignment="1">
      <alignment vertical="center"/>
    </xf>
    <xf numFmtId="0" fontId="7" fillId="0" borderId="0" xfId="0" applyFont="1"/>
    <xf numFmtId="180" fontId="0" fillId="0" borderId="0" xfId="0" applyNumberFormat="1"/>
    <xf numFmtId="0" fontId="4" fillId="0" borderId="0" xfId="0" applyFont="1" applyAlignment="1">
      <alignment horizontal="center"/>
    </xf>
    <xf numFmtId="168" fontId="22" fillId="0" borderId="0" xfId="0" applyNumberFormat="1" applyFont="1" applyFill="1" applyBorder="1"/>
    <xf numFmtId="175" fontId="0" fillId="0" borderId="0" xfId="11" applyNumberFormat="1" applyFont="1"/>
    <xf numFmtId="0" fontId="68" fillId="0" borderId="0" xfId="0" applyFont="1"/>
    <xf numFmtId="3" fontId="40" fillId="17" borderId="14" xfId="0" applyNumberFormat="1" applyFont="1" applyFill="1" applyBorder="1"/>
    <xf numFmtId="3" fontId="40" fillId="18" borderId="14" xfId="0" applyNumberFormat="1" applyFont="1" applyFill="1" applyBorder="1"/>
    <xf numFmtId="0" fontId="0" fillId="0" borderId="12" xfId="0" applyBorder="1"/>
    <xf numFmtId="0" fontId="0" fillId="0" borderId="18" xfId="0" applyBorder="1"/>
    <xf numFmtId="0" fontId="4" fillId="0" borderId="10" xfId="0" applyFont="1" applyBorder="1"/>
    <xf numFmtId="0" fontId="0" fillId="0" borderId="10" xfId="0" applyBorder="1"/>
    <xf numFmtId="0" fontId="49" fillId="0" borderId="10" xfId="0" applyFont="1" applyBorder="1"/>
    <xf numFmtId="0" fontId="49" fillId="18" borderId="10" xfId="0" applyFont="1" applyFill="1" applyBorder="1"/>
    <xf numFmtId="0" fontId="49" fillId="17" borderId="10" xfId="0" applyFont="1" applyFill="1" applyBorder="1"/>
    <xf numFmtId="0" fontId="40" fillId="16" borderId="13" xfId="0" applyFont="1" applyFill="1" applyBorder="1"/>
    <xf numFmtId="3" fontId="40" fillId="16" borderId="2" xfId="0" applyNumberFormat="1" applyFont="1" applyFill="1" applyBorder="1"/>
    <xf numFmtId="3" fontId="53" fillId="16" borderId="6" xfId="0" applyNumberFormat="1" applyFont="1" applyFill="1" applyBorder="1"/>
    <xf numFmtId="0" fontId="4" fillId="0" borderId="12" xfId="0" applyFont="1" applyBorder="1"/>
    <xf numFmtId="168" fontId="6" fillId="0" borderId="6" xfId="0" applyNumberFormat="1" applyFont="1" applyFill="1" applyBorder="1" applyAlignment="1">
      <alignment horizontal="center" vertical="center" wrapText="1"/>
    </xf>
    <xf numFmtId="0" fontId="6" fillId="0" borderId="0" xfId="0" applyFont="1" applyBorder="1" applyAlignment="1">
      <alignment vertical="center" wrapText="1"/>
    </xf>
    <xf numFmtId="0" fontId="6" fillId="0" borderId="0" xfId="0" applyFont="1" applyBorder="1" applyAlignment="1">
      <alignment horizontal="center" vertical="center" wrapText="1"/>
    </xf>
    <xf numFmtId="2" fontId="6" fillId="0" borderId="6" xfId="0" applyNumberFormat="1" applyFont="1" applyBorder="1" applyAlignment="1">
      <alignment horizontal="center" vertical="center" wrapText="1"/>
    </xf>
    <xf numFmtId="2" fontId="6" fillId="0" borderId="0"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6" fillId="0" borderId="6" xfId="0" quotePrefix="1" applyFont="1" applyBorder="1" applyAlignment="1">
      <alignment horizontal="center" vertical="center" wrapText="1"/>
    </xf>
    <xf numFmtId="9" fontId="0" fillId="0" borderId="0" xfId="10" applyFont="1"/>
    <xf numFmtId="0" fontId="4" fillId="0" borderId="12" xfId="0" applyFont="1" applyFill="1" applyBorder="1"/>
    <xf numFmtId="0" fontId="4" fillId="0" borderId="11" xfId="0" applyFont="1" applyBorder="1"/>
    <xf numFmtId="0" fontId="0" fillId="0" borderId="10" xfId="0" applyFill="1" applyBorder="1"/>
    <xf numFmtId="175" fontId="0" fillId="0" borderId="0" xfId="11" applyNumberFormat="1" applyFont="1" applyBorder="1"/>
    <xf numFmtId="0" fontId="4" fillId="0" borderId="10" xfId="0" applyFont="1" applyFill="1" applyBorder="1"/>
    <xf numFmtId="0" fontId="4" fillId="0" borderId="0" xfId="0" applyFont="1" applyBorder="1"/>
    <xf numFmtId="0" fontId="0" fillId="18" borderId="10" xfId="0" applyFill="1" applyBorder="1"/>
    <xf numFmtId="175" fontId="0" fillId="18" borderId="0" xfId="11" applyNumberFormat="1" applyFont="1" applyFill="1" applyBorder="1"/>
    <xf numFmtId="9" fontId="0" fillId="18" borderId="0" xfId="10" applyFont="1" applyFill="1" applyBorder="1"/>
    <xf numFmtId="0" fontId="0" fillId="18" borderId="13" xfId="0" applyFill="1" applyBorder="1"/>
    <xf numFmtId="9" fontId="0" fillId="18" borderId="2" xfId="10" applyFont="1" applyFill="1" applyBorder="1"/>
    <xf numFmtId="175" fontId="0" fillId="0" borderId="0" xfId="0" applyNumberFormat="1"/>
    <xf numFmtId="0" fontId="69" fillId="0" borderId="0" xfId="0" applyFont="1" applyBorder="1" applyAlignment="1">
      <alignment horizontal="left" vertical="center" wrapText="1" indent="2"/>
    </xf>
    <xf numFmtId="0" fontId="69" fillId="0" borderId="9" xfId="0" applyFont="1" applyBorder="1" applyAlignment="1">
      <alignment horizontal="left" vertical="center" wrapText="1" indent="2"/>
    </xf>
    <xf numFmtId="9" fontId="72" fillId="0" borderId="0" xfId="10" applyFont="1"/>
    <xf numFmtId="169" fontId="72" fillId="0" borderId="0" xfId="10" applyNumberFormat="1" applyFont="1"/>
    <xf numFmtId="0" fontId="34" fillId="17" borderId="7" xfId="0" applyFont="1" applyFill="1" applyBorder="1" applyAlignment="1">
      <alignment horizontal="right" vertical="center" wrapText="1"/>
    </xf>
    <xf numFmtId="0" fontId="16" fillId="17" borderId="26" xfId="0" applyFont="1" applyFill="1" applyBorder="1" applyAlignment="1">
      <alignment vertical="center" wrapText="1"/>
    </xf>
    <xf numFmtId="0" fontId="27" fillId="17" borderId="19" xfId="0" applyFont="1" applyFill="1" applyBorder="1" applyAlignment="1">
      <alignment horizontal="center" vertical="center" wrapText="1"/>
    </xf>
    <xf numFmtId="174" fontId="19" fillId="17" borderId="26" xfId="0" applyNumberFormat="1" applyFont="1" applyFill="1" applyBorder="1" applyAlignment="1">
      <alignment horizontal="center" vertical="center" wrapText="1"/>
    </xf>
    <xf numFmtId="174" fontId="19" fillId="17" borderId="8" xfId="0" applyNumberFormat="1" applyFont="1" applyFill="1" applyBorder="1" applyAlignment="1">
      <alignment horizontal="center" vertical="center" wrapText="1"/>
    </xf>
    <xf numFmtId="9" fontId="19" fillId="17" borderId="19" xfId="0" applyNumberFormat="1" applyFont="1" applyFill="1" applyBorder="1" applyAlignment="1">
      <alignment horizontal="center" vertical="center" wrapText="1"/>
    </xf>
    <xf numFmtId="0" fontId="24" fillId="17" borderId="22" xfId="0" applyFont="1" applyFill="1" applyBorder="1" applyAlignment="1">
      <alignment horizontal="right" vertical="center" wrapText="1"/>
    </xf>
    <xf numFmtId="174" fontId="21" fillId="17" borderId="27" xfId="0" applyNumberFormat="1" applyFont="1" applyFill="1" applyBorder="1" applyAlignment="1">
      <alignment horizontal="center" vertical="center" wrapText="1"/>
    </xf>
    <xf numFmtId="174" fontId="21" fillId="17" borderId="28" xfId="0" applyNumberFormat="1" applyFont="1" applyFill="1" applyBorder="1" applyAlignment="1">
      <alignment horizontal="center" vertical="center" wrapText="1"/>
    </xf>
    <xf numFmtId="9" fontId="21" fillId="17" borderId="21" xfId="10" applyFont="1" applyFill="1" applyBorder="1" applyAlignment="1">
      <alignment horizontal="center" vertical="center" wrapText="1"/>
    </xf>
    <xf numFmtId="4" fontId="19" fillId="17" borderId="26" xfId="0" applyNumberFormat="1" applyFont="1" applyFill="1" applyBorder="1" applyAlignment="1">
      <alignment horizontal="center" vertical="center" wrapText="1"/>
    </xf>
    <xf numFmtId="4" fontId="19" fillId="17" borderId="8" xfId="0" applyNumberFormat="1" applyFont="1" applyFill="1" applyBorder="1" applyAlignment="1">
      <alignment horizontal="center" vertical="center" wrapText="1"/>
    </xf>
    <xf numFmtId="0" fontId="34" fillId="18" borderId="7" xfId="0" applyFont="1" applyFill="1" applyBorder="1" applyAlignment="1">
      <alignment horizontal="right" vertical="center" wrapText="1"/>
    </xf>
    <xf numFmtId="0" fontId="16" fillId="18" borderId="26" xfId="0" applyFont="1" applyFill="1" applyBorder="1" applyAlignment="1">
      <alignment vertical="center" wrapText="1"/>
    </xf>
    <xf numFmtId="0" fontId="27" fillId="18" borderId="19" xfId="0" applyFont="1" applyFill="1" applyBorder="1" applyAlignment="1">
      <alignment horizontal="center" vertical="center" wrapText="1"/>
    </xf>
    <xf numFmtId="174" fontId="19" fillId="18" borderId="26" xfId="0" applyNumberFormat="1" applyFont="1" applyFill="1" applyBorder="1" applyAlignment="1">
      <alignment horizontal="center" vertical="center" wrapText="1"/>
    </xf>
    <xf numFmtId="174" fontId="19" fillId="18" borderId="8" xfId="0" applyNumberFormat="1" applyFont="1" applyFill="1" applyBorder="1" applyAlignment="1">
      <alignment horizontal="center" vertical="center" wrapText="1"/>
    </xf>
    <xf numFmtId="9" fontId="19" fillId="18" borderId="19" xfId="0" applyNumberFormat="1" applyFont="1" applyFill="1" applyBorder="1" applyAlignment="1">
      <alignment horizontal="center" vertical="center" wrapText="1"/>
    </xf>
    <xf numFmtId="0" fontId="24" fillId="18" borderId="22" xfId="0" applyFont="1" applyFill="1" applyBorder="1" applyAlignment="1">
      <alignment horizontal="right" vertical="center" wrapText="1"/>
    </xf>
    <xf numFmtId="174" fontId="21" fillId="18" borderId="27" xfId="0" applyNumberFormat="1" applyFont="1" applyFill="1" applyBorder="1" applyAlignment="1">
      <alignment horizontal="center" vertical="center" wrapText="1"/>
    </xf>
    <xf numFmtId="174" fontId="21" fillId="18" borderId="28" xfId="0" applyNumberFormat="1" applyFont="1" applyFill="1" applyBorder="1" applyAlignment="1">
      <alignment horizontal="center" vertical="center" wrapText="1"/>
    </xf>
    <xf numFmtId="9" fontId="21" fillId="18" borderId="21" xfId="10" applyFont="1" applyFill="1" applyBorder="1" applyAlignment="1">
      <alignment horizontal="center" vertical="center" wrapText="1"/>
    </xf>
    <xf numFmtId="4" fontId="19" fillId="18" borderId="26" xfId="0" applyNumberFormat="1" applyFont="1" applyFill="1" applyBorder="1" applyAlignment="1">
      <alignment horizontal="center" vertical="center" wrapText="1"/>
    </xf>
    <xf numFmtId="4" fontId="19" fillId="18" borderId="8" xfId="0" applyNumberFormat="1" applyFont="1" applyFill="1" applyBorder="1" applyAlignment="1">
      <alignment horizontal="center" vertical="center" wrapText="1"/>
    </xf>
    <xf numFmtId="0" fontId="73" fillId="0" borderId="0" xfId="0" applyFont="1"/>
    <xf numFmtId="0" fontId="0" fillId="19" borderId="0" xfId="0" applyFill="1"/>
    <xf numFmtId="3" fontId="0" fillId="19" borderId="0" xfId="0" applyNumberFormat="1" applyFill="1"/>
    <xf numFmtId="9" fontId="0" fillId="19" borderId="0" xfId="10" applyFont="1" applyFill="1"/>
    <xf numFmtId="1" fontId="0" fillId="19" borderId="0" xfId="10" applyNumberFormat="1" applyFont="1" applyFill="1"/>
    <xf numFmtId="168" fontId="61" fillId="0" borderId="34" xfId="0" applyNumberFormat="1" applyFont="1" applyBorder="1"/>
    <xf numFmtId="168" fontId="61" fillId="0" borderId="35" xfId="0" applyNumberFormat="1" applyFont="1" applyBorder="1"/>
    <xf numFmtId="0" fontId="74" fillId="0" borderId="0" xfId="0" applyFont="1" applyAlignment="1">
      <alignment vertical="center"/>
    </xf>
    <xf numFmtId="0" fontId="0" fillId="0" borderId="0" xfId="0" applyBorder="1" applyAlignment="1">
      <alignment horizontal="center"/>
    </xf>
    <xf numFmtId="168" fontId="0" fillId="0" borderId="0" xfId="0" applyNumberFormat="1" applyBorder="1" applyAlignment="1">
      <alignment horizontal="center"/>
    </xf>
    <xf numFmtId="9" fontId="62" fillId="0" borderId="0" xfId="10" applyFont="1"/>
    <xf numFmtId="3" fontId="76" fillId="0" borderId="0" xfId="0" applyNumberFormat="1" applyFont="1"/>
    <xf numFmtId="0" fontId="0" fillId="4" borderId="0" xfId="0" applyFill="1"/>
    <xf numFmtId="1" fontId="81" fillId="0" borderId="6" xfId="0" applyNumberFormat="1" applyFont="1" applyBorder="1" applyAlignment="1">
      <alignment horizontal="right" vertical="center"/>
    </xf>
    <xf numFmtId="0" fontId="72" fillId="0" borderId="0" xfId="0" applyFont="1"/>
    <xf numFmtId="175" fontId="81" fillId="0" borderId="6" xfId="11" applyNumberFormat="1" applyFont="1" applyBorder="1" applyAlignment="1">
      <alignment horizontal="right" vertical="center"/>
    </xf>
    <xf numFmtId="0" fontId="81" fillId="26" borderId="13" xfId="0" applyFont="1" applyFill="1" applyBorder="1" applyAlignment="1">
      <alignment vertical="center"/>
    </xf>
    <xf numFmtId="9" fontId="0" fillId="26" borderId="2" xfId="10" applyFont="1" applyFill="1" applyBorder="1"/>
    <xf numFmtId="9" fontId="0" fillId="26" borderId="6" xfId="10" applyFont="1" applyFill="1" applyBorder="1"/>
    <xf numFmtId="1" fontId="81" fillId="0" borderId="5" xfId="0" applyNumberFormat="1" applyFont="1" applyBorder="1" applyAlignment="1">
      <alignment horizontal="right" vertical="center"/>
    </xf>
    <xf numFmtId="175" fontId="81" fillId="0" borderId="5" xfId="11" applyNumberFormat="1" applyFont="1" applyBorder="1" applyAlignment="1">
      <alignment horizontal="right" vertical="center"/>
    </xf>
    <xf numFmtId="9" fontId="0" fillId="26" borderId="5" xfId="10" applyFont="1" applyFill="1" applyBorder="1"/>
    <xf numFmtId="0" fontId="81" fillId="24" borderId="15" xfId="0" applyFont="1" applyFill="1" applyBorder="1" applyAlignment="1">
      <alignment vertical="center" wrapText="1"/>
    </xf>
    <xf numFmtId="0" fontId="81" fillId="0" borderId="13" xfId="0" applyFont="1" applyBorder="1" applyAlignment="1">
      <alignment vertical="center"/>
    </xf>
    <xf numFmtId="9" fontId="0" fillId="26" borderId="13" xfId="10" applyFont="1" applyFill="1" applyBorder="1"/>
    <xf numFmtId="0" fontId="4" fillId="0" borderId="0" xfId="0" applyFont="1" applyAlignment="1">
      <alignment vertical="top"/>
    </xf>
    <xf numFmtId="0" fontId="6" fillId="0" borderId="0" xfId="0" applyFont="1" applyAlignment="1">
      <alignment horizontal="left" vertical="top"/>
    </xf>
    <xf numFmtId="9" fontId="0" fillId="0" borderId="0" xfId="10" applyFont="1" applyFill="1" applyBorder="1"/>
    <xf numFmtId="9" fontId="4" fillId="0" borderId="0" xfId="10" applyFont="1" applyFill="1" applyBorder="1"/>
    <xf numFmtId="0" fontId="33" fillId="24" borderId="3" xfId="0" applyFont="1" applyFill="1" applyBorder="1" applyAlignment="1">
      <alignment horizontal="left" vertical="center" wrapText="1"/>
    </xf>
    <xf numFmtId="0" fontId="33" fillId="24" borderId="4" xfId="0" applyFont="1" applyFill="1" applyBorder="1" applyAlignment="1">
      <alignment horizontal="left" vertical="center" wrapText="1"/>
    </xf>
    <xf numFmtId="0" fontId="33" fillId="24" borderId="4" xfId="0" applyFont="1" applyFill="1" applyBorder="1" applyAlignment="1">
      <alignment horizontal="justify" vertical="center" wrapText="1"/>
    </xf>
    <xf numFmtId="0" fontId="25" fillId="0" borderId="0" xfId="0" applyFont="1" applyAlignment="1">
      <alignment horizontal="left"/>
    </xf>
    <xf numFmtId="0" fontId="33" fillId="25" borderId="3" xfId="0" applyFont="1" applyFill="1" applyBorder="1" applyAlignment="1">
      <alignment horizontal="left" vertical="center" wrapText="1"/>
    </xf>
    <xf numFmtId="175" fontId="81" fillId="0" borderId="0" xfId="11" applyNumberFormat="1" applyFont="1" applyFill="1" applyBorder="1" applyAlignment="1">
      <alignment horizontal="right" vertical="center"/>
    </xf>
    <xf numFmtId="168" fontId="61" fillId="0" borderId="0" xfId="0" applyNumberFormat="1" applyFont="1"/>
    <xf numFmtId="0" fontId="85" fillId="0" borderId="0" xfId="0" applyFont="1"/>
    <xf numFmtId="2" fontId="72" fillId="0" borderId="0" xfId="0" applyNumberFormat="1" applyFont="1"/>
    <xf numFmtId="181" fontId="0" fillId="0" borderId="0" xfId="0" applyNumberFormat="1"/>
    <xf numFmtId="4" fontId="61" fillId="0" borderId="0" xfId="0" applyNumberFormat="1" applyFont="1"/>
    <xf numFmtId="4" fontId="0" fillId="0" borderId="0" xfId="0" applyNumberFormat="1" applyAlignment="1">
      <alignment horizontal="left"/>
    </xf>
    <xf numFmtId="177" fontId="38" fillId="0" borderId="6" xfId="0" applyNumberFormat="1" applyFont="1" applyBorder="1" applyAlignment="1">
      <alignment horizontal="center" vertical="center" wrapText="1"/>
    </xf>
    <xf numFmtId="169" fontId="0" fillId="0" borderId="0" xfId="10" applyNumberFormat="1" applyFont="1" applyAlignment="1">
      <alignment horizontal="center"/>
    </xf>
    <xf numFmtId="0" fontId="76" fillId="0" borderId="0" xfId="0" applyFont="1"/>
    <xf numFmtId="183" fontId="72" fillId="0" borderId="0" xfId="0" applyNumberFormat="1" applyFont="1"/>
    <xf numFmtId="0" fontId="61" fillId="0" borderId="0" xfId="0" applyFont="1" applyAlignment="1">
      <alignment horizontal="right"/>
    </xf>
    <xf numFmtId="0" fontId="3" fillId="0" borderId="19" xfId="0" applyFont="1" applyBorder="1" applyAlignment="1">
      <alignment vertical="center" wrapText="1"/>
    </xf>
    <xf numFmtId="4" fontId="4" fillId="0" borderId="0" xfId="0" applyNumberFormat="1" applyFont="1" applyAlignment="1">
      <alignment horizontal="left"/>
    </xf>
    <xf numFmtId="3" fontId="87" fillId="0" borderId="0" xfId="0" applyNumberFormat="1" applyFont="1"/>
    <xf numFmtId="175" fontId="87" fillId="0" borderId="0" xfId="11" applyNumberFormat="1" applyFont="1"/>
    <xf numFmtId="175" fontId="87" fillId="0" borderId="0" xfId="0" applyNumberFormat="1" applyFont="1"/>
    <xf numFmtId="9" fontId="87" fillId="0" borderId="0" xfId="10" applyFont="1"/>
    <xf numFmtId="4" fontId="72" fillId="0" borderId="0" xfId="0" applyNumberFormat="1" applyFont="1"/>
    <xf numFmtId="175" fontId="72" fillId="0" borderId="0" xfId="0" applyNumberFormat="1" applyFont="1"/>
    <xf numFmtId="175" fontId="40" fillId="0" borderId="0" xfId="11" applyNumberFormat="1" applyFont="1" applyAlignment="1">
      <alignment horizontal="center" vertical="center"/>
    </xf>
    <xf numFmtId="3" fontId="19" fillId="0" borderId="38" xfId="0" applyNumberFormat="1" applyFont="1" applyBorder="1" applyAlignment="1">
      <alignment horizontal="center" vertical="center" wrapText="1"/>
    </xf>
    <xf numFmtId="0" fontId="19" fillId="0" borderId="38" xfId="0" applyFont="1" applyBorder="1" applyAlignment="1">
      <alignment horizontal="center" vertical="center" wrapText="1"/>
    </xf>
    <xf numFmtId="184" fontId="0" fillId="0" borderId="0" xfId="0" applyNumberFormat="1"/>
    <xf numFmtId="171" fontId="38" fillId="0" borderId="6" xfId="0" applyNumberFormat="1" applyFont="1" applyBorder="1" applyAlignment="1">
      <alignment horizontal="center" vertical="center" wrapText="1"/>
    </xf>
    <xf numFmtId="9" fontId="72" fillId="0" borderId="0" xfId="10" applyFont="1" applyFill="1" applyBorder="1"/>
    <xf numFmtId="169" fontId="19" fillId="0" borderId="19" xfId="0" applyNumberFormat="1" applyFont="1" applyBorder="1" applyAlignment="1">
      <alignment horizontal="center" vertical="center" wrapText="1"/>
    </xf>
    <xf numFmtId="0" fontId="91" fillId="0" borderId="0" xfId="0" applyFont="1" applyAlignment="1">
      <alignment vertical="center"/>
    </xf>
    <xf numFmtId="0" fontId="0" fillId="0" borderId="0" xfId="0"/>
    <xf numFmtId="186" fontId="0" fillId="0" borderId="0" xfId="11" applyNumberFormat="1" applyFont="1" applyBorder="1"/>
    <xf numFmtId="3" fontId="19" fillId="21" borderId="26" xfId="0" applyNumberFormat="1" applyFont="1" applyFill="1" applyBorder="1" applyAlignment="1">
      <alignment horizontal="center" vertical="center" wrapText="1"/>
    </xf>
    <xf numFmtId="0" fontId="0" fillId="4" borderId="0" xfId="0" applyFill="1" applyAlignment="1">
      <alignment horizontal="center"/>
    </xf>
    <xf numFmtId="177" fontId="37" fillId="0" borderId="6" xfId="0" applyNumberFormat="1" applyFont="1" applyBorder="1" applyAlignment="1">
      <alignment horizontal="center" vertical="center" wrapText="1"/>
    </xf>
    <xf numFmtId="9" fontId="0" fillId="0" borderId="0" xfId="10" applyFont="1" applyBorder="1"/>
    <xf numFmtId="0" fontId="7" fillId="0" borderId="19" xfId="0" applyFont="1" applyBorder="1" applyAlignment="1">
      <alignment vertical="center" wrapText="1"/>
    </xf>
    <xf numFmtId="194" fontId="72" fillId="0" borderId="0" xfId="0" applyNumberFormat="1" applyFont="1"/>
    <xf numFmtId="171" fontId="7" fillId="8" borderId="53" xfId="5" applyNumberFormat="1" applyFont="1" applyFill="1" applyBorder="1"/>
    <xf numFmtId="172" fontId="13" fillId="0" borderId="1" xfId="5" applyFont="1" applyBorder="1"/>
    <xf numFmtId="171" fontId="13" fillId="7" borderId="1" xfId="5" applyNumberFormat="1" applyFont="1" applyFill="1" applyBorder="1" applyAlignment="1">
      <alignment horizontal="center"/>
    </xf>
    <xf numFmtId="172" fontId="130" fillId="0" borderId="53" xfId="5" applyFont="1" applyBorder="1"/>
    <xf numFmtId="171" fontId="130" fillId="4" borderId="53" xfId="5" applyNumberFormat="1" applyFont="1" applyFill="1" applyBorder="1" applyAlignment="1">
      <alignment horizontal="center"/>
    </xf>
    <xf numFmtId="0" fontId="131" fillId="0" borderId="18" xfId="0" applyFont="1" applyBorder="1"/>
    <xf numFmtId="0" fontId="131" fillId="0" borderId="9" xfId="0" applyFont="1" applyBorder="1"/>
    <xf numFmtId="0" fontId="132" fillId="0" borderId="9" xfId="0" applyFont="1" applyBorder="1"/>
    <xf numFmtId="3" fontId="132" fillId="18" borderId="9" xfId="0" applyNumberFormat="1" applyFont="1" applyFill="1" applyBorder="1"/>
    <xf numFmtId="3" fontId="132" fillId="17" borderId="9" xfId="0" applyNumberFormat="1" applyFont="1" applyFill="1" applyBorder="1"/>
    <xf numFmtId="3" fontId="131" fillId="0" borderId="18" xfId="0" applyNumberFormat="1" applyFont="1" applyBorder="1"/>
    <xf numFmtId="3" fontId="132" fillId="0" borderId="9" xfId="0" applyNumberFormat="1" applyFont="1" applyBorder="1"/>
    <xf numFmtId="3" fontId="132" fillId="16" borderId="6" xfId="0" applyNumberFormat="1" applyFont="1" applyFill="1" applyBorder="1"/>
    <xf numFmtId="3" fontId="40" fillId="16" borderId="3" xfId="0" applyNumberFormat="1" applyFont="1" applyFill="1" applyBorder="1"/>
    <xf numFmtId="3" fontId="0" fillId="0" borderId="12" xfId="0" applyNumberFormat="1" applyBorder="1"/>
    <xf numFmtId="0" fontId="53" fillId="0" borderId="10" xfId="0" applyFont="1" applyBorder="1"/>
    <xf numFmtId="0" fontId="4" fillId="0" borderId="9" xfId="0" applyFont="1" applyBorder="1" applyAlignment="1">
      <alignment horizontal="center"/>
    </xf>
    <xf numFmtId="3" fontId="13" fillId="23" borderId="97" xfId="7" applyNumberFormat="1" applyFont="1" applyFill="1" applyBorder="1" applyAlignment="1">
      <alignment horizontal="center"/>
    </xf>
    <xf numFmtId="0" fontId="0" fillId="0" borderId="9" xfId="0" applyBorder="1"/>
    <xf numFmtId="3" fontId="13" fillId="23" borderId="98" xfId="7" applyNumberFormat="1" applyFont="1" applyFill="1" applyBorder="1" applyAlignment="1">
      <alignment horizontal="center"/>
    </xf>
    <xf numFmtId="0" fontId="53" fillId="0" borderId="12" xfId="0" applyFont="1" applyBorder="1"/>
    <xf numFmtId="0" fontId="4" fillId="0" borderId="18" xfId="0" applyFont="1" applyBorder="1" applyAlignment="1">
      <alignment horizontal="center"/>
    </xf>
    <xf numFmtId="0" fontId="133" fillId="0" borderId="0" xfId="0" applyFont="1"/>
    <xf numFmtId="175" fontId="17" fillId="0" borderId="0" xfId="11" applyNumberFormat="1" applyFont="1" applyBorder="1" applyAlignment="1"/>
    <xf numFmtId="0" fontId="136" fillId="0" borderId="6" xfId="0" applyFont="1" applyBorder="1" applyAlignment="1">
      <alignment horizontal="left" vertical="center" wrapText="1" indent="2"/>
    </xf>
    <xf numFmtId="2" fontId="26" fillId="0" borderId="0" xfId="9" applyNumberFormat="1" applyAlignment="1">
      <alignment vertical="center"/>
    </xf>
    <xf numFmtId="2" fontId="140" fillId="0" borderId="3" xfId="0" applyNumberFormat="1" applyFont="1" applyBorder="1"/>
    <xf numFmtId="2" fontId="32" fillId="0" borderId="3" xfId="0" applyNumberFormat="1" applyFont="1" applyBorder="1" applyAlignment="1">
      <alignment horizontal="right" vertical="center" wrapText="1"/>
    </xf>
    <xf numFmtId="0" fontId="47" fillId="0" borderId="15" xfId="0" applyFont="1" applyBorder="1" applyAlignment="1">
      <alignment horizontal="right"/>
    </xf>
    <xf numFmtId="3" fontId="40" fillId="16" borderId="5" xfId="0" applyNumberFormat="1" applyFont="1" applyFill="1" applyBorder="1"/>
    <xf numFmtId="168" fontId="142" fillId="0" borderId="15" xfId="0" applyNumberFormat="1" applyFont="1" applyBorder="1"/>
    <xf numFmtId="168" fontId="142" fillId="0" borderId="4" xfId="0" applyNumberFormat="1" applyFont="1" applyBorder="1"/>
    <xf numFmtId="0" fontId="142" fillId="0" borderId="0" xfId="0" applyFont="1"/>
    <xf numFmtId="0" fontId="142" fillId="0" borderId="15" xfId="0" applyFont="1" applyBorder="1"/>
    <xf numFmtId="0" fontId="142" fillId="0" borderId="4" xfId="0" applyFont="1" applyBorder="1"/>
    <xf numFmtId="1" fontId="7" fillId="0" borderId="0" xfId="0" applyNumberFormat="1" applyFont="1"/>
    <xf numFmtId="1" fontId="142" fillId="0" borderId="15" xfId="0" applyNumberFormat="1" applyFont="1" applyBorder="1"/>
    <xf numFmtId="1" fontId="142" fillId="0" borderId="4" xfId="0" applyNumberFormat="1" applyFont="1" applyBorder="1"/>
    <xf numFmtId="0" fontId="13" fillId="0" borderId="0" xfId="0" applyFont="1"/>
    <xf numFmtId="2" fontId="142" fillId="0" borderId="0" xfId="0" applyNumberFormat="1" applyFont="1"/>
    <xf numFmtId="0" fontId="81" fillId="0" borderId="6" xfId="0" applyFont="1" applyBorder="1" applyAlignment="1">
      <alignment horizontal="right" vertical="center"/>
    </xf>
    <xf numFmtId="1" fontId="81" fillId="0" borderId="13" xfId="0" applyNumberFormat="1" applyFont="1" applyBorder="1" applyAlignment="1">
      <alignment horizontal="right" vertical="center"/>
    </xf>
    <xf numFmtId="0" fontId="145" fillId="0" borderId="5" xfId="0" applyFont="1" applyBorder="1" applyAlignment="1">
      <alignment horizontal="justify" vertical="center"/>
    </xf>
    <xf numFmtId="175" fontId="81" fillId="0" borderId="5" xfId="11" quotePrefix="1" applyNumberFormat="1" applyFont="1" applyBorder="1" applyAlignment="1">
      <alignment horizontal="right" vertical="center"/>
    </xf>
    <xf numFmtId="1" fontId="81" fillId="0" borderId="2" xfId="0" applyNumberFormat="1" applyFont="1" applyBorder="1" applyAlignment="1">
      <alignment horizontal="right" vertical="center"/>
    </xf>
    <xf numFmtId="0" fontId="81" fillId="0" borderId="3" xfId="0" applyFont="1" applyBorder="1" applyAlignment="1">
      <alignment vertical="center"/>
    </xf>
    <xf numFmtId="0" fontId="6" fillId="10" borderId="3" xfId="0" applyFont="1" applyFill="1" applyBorder="1" applyAlignment="1">
      <alignment vertical="center" wrapText="1"/>
    </xf>
    <xf numFmtId="0" fontId="6" fillId="11" borderId="5" xfId="0" applyFont="1" applyFill="1" applyBorder="1" applyAlignment="1">
      <alignment vertical="center" wrapText="1"/>
    </xf>
    <xf numFmtId="0" fontId="6" fillId="85" borderId="5" xfId="0" applyFont="1" applyFill="1" applyBorder="1" applyAlignment="1">
      <alignment vertical="center" wrapText="1"/>
    </xf>
    <xf numFmtId="0" fontId="6" fillId="86" borderId="5" xfId="0" applyFont="1" applyFill="1" applyBorder="1" applyAlignment="1">
      <alignment vertical="center" wrapText="1"/>
    </xf>
    <xf numFmtId="0" fontId="146" fillId="0" borderId="6" xfId="0" applyFont="1" applyBorder="1" applyAlignment="1">
      <alignment horizontal="left" vertical="center" wrapText="1" indent="2"/>
    </xf>
    <xf numFmtId="9" fontId="0" fillId="0" borderId="0" xfId="0" applyNumberFormat="1"/>
    <xf numFmtId="0" fontId="27" fillId="0" borderId="0" xfId="0" applyFont="1" applyFill="1" applyBorder="1" applyAlignment="1">
      <alignment vertical="center" wrapText="1"/>
    </xf>
    <xf numFmtId="175" fontId="6" fillId="0" borderId="0" xfId="0" applyNumberFormat="1" applyFont="1" applyFill="1" applyBorder="1" applyAlignment="1">
      <alignment horizontal="center" vertical="center" wrapText="1"/>
    </xf>
    <xf numFmtId="0" fontId="149" fillId="0" borderId="0" xfId="0" applyFont="1"/>
    <xf numFmtId="9" fontId="0" fillId="0" borderId="0" xfId="10" applyFont="1" applyFill="1"/>
    <xf numFmtId="182" fontId="0" fillId="0" borderId="0" xfId="10" applyNumberFormat="1" applyFont="1" applyFill="1"/>
    <xf numFmtId="9" fontId="4" fillId="0" borderId="0" xfId="10" applyFont="1" applyFill="1"/>
    <xf numFmtId="195" fontId="0" fillId="0" borderId="9" xfId="11" applyNumberFormat="1" applyFont="1" applyFill="1" applyBorder="1"/>
    <xf numFmtId="3" fontId="53" fillId="17" borderId="10" xfId="0" applyNumberFormat="1" applyFont="1" applyFill="1" applyBorder="1"/>
    <xf numFmtId="195" fontId="0" fillId="17" borderId="9" xfId="11" applyNumberFormat="1" applyFont="1" applyFill="1" applyBorder="1"/>
    <xf numFmtId="3" fontId="53" fillId="16" borderId="10" xfId="0" applyNumberFormat="1" applyFont="1" applyFill="1" applyBorder="1"/>
    <xf numFmtId="3" fontId="13" fillId="23" borderId="9" xfId="7" applyNumberFormat="1" applyFont="1" applyFill="1" applyBorder="1" applyAlignment="1">
      <alignment horizontal="center"/>
    </xf>
    <xf numFmtId="3" fontId="0" fillId="0" borderId="13" xfId="0" applyNumberFormat="1" applyBorder="1"/>
    <xf numFmtId="0" fontId="0" fillId="0" borderId="13" xfId="0" applyBorder="1"/>
    <xf numFmtId="9" fontId="150" fillId="84" borderId="0" xfId="10" applyFont="1" applyFill="1"/>
    <xf numFmtId="10" fontId="0" fillId="0" borderId="0" xfId="0" applyNumberFormat="1"/>
    <xf numFmtId="0" fontId="0" fillId="0" borderId="54" xfId="0" applyBorder="1"/>
    <xf numFmtId="0" fontId="0" fillId="0" borderId="0" xfId="0"/>
    <xf numFmtId="3" fontId="0" fillId="0" borderId="0" xfId="0" applyNumberFormat="1"/>
    <xf numFmtId="10" fontId="7" fillId="0" borderId="0" xfId="0" applyNumberFormat="1" applyFont="1"/>
    <xf numFmtId="169" fontId="0" fillId="84" borderId="3" xfId="10" applyNumberFormat="1" applyFont="1" applyFill="1" applyBorder="1"/>
    <xf numFmtId="196" fontId="0" fillId="0" borderId="0" xfId="10" applyNumberFormat="1" applyFont="1" applyFill="1"/>
    <xf numFmtId="9" fontId="53" fillId="0" borderId="0" xfId="10" applyFont="1" applyFill="1"/>
    <xf numFmtId="3" fontId="53" fillId="18" borderId="10" xfId="0" applyNumberFormat="1" applyFont="1" applyFill="1" applyBorder="1"/>
    <xf numFmtId="3" fontId="53" fillId="4" borderId="10" xfId="0" applyNumberFormat="1" applyFont="1" applyFill="1" applyBorder="1"/>
    <xf numFmtId="195" fontId="0" fillId="4" borderId="9" xfId="11" applyNumberFormat="1" applyFont="1" applyFill="1" applyBorder="1"/>
    <xf numFmtId="3" fontId="53" fillId="16" borderId="13" xfId="0" applyNumberFormat="1" applyFont="1" applyFill="1" applyBorder="1"/>
    <xf numFmtId="3" fontId="53" fillId="88" borderId="10" xfId="0" applyNumberFormat="1" applyFont="1" applyFill="1" applyBorder="1"/>
    <xf numFmtId="195" fontId="0" fillId="88" borderId="9" xfId="11" applyNumberFormat="1" applyFont="1" applyFill="1" applyBorder="1"/>
    <xf numFmtId="0" fontId="5" fillId="0" borderId="17" xfId="0" applyFont="1" applyBorder="1" applyAlignment="1">
      <alignment vertical="center" wrapText="1"/>
    </xf>
    <xf numFmtId="0" fontId="24" fillId="13" borderId="15" xfId="0" applyFont="1" applyFill="1" applyBorder="1" applyAlignment="1">
      <alignment horizontal="center" vertical="center" wrapText="1"/>
    </xf>
    <xf numFmtId="9" fontId="19" fillId="0" borderId="0" xfId="10" applyFont="1" applyFill="1" applyBorder="1" applyAlignment="1">
      <alignment horizontal="right" vertical="center" wrapText="1"/>
    </xf>
    <xf numFmtId="0" fontId="2" fillId="0" borderId="0" xfId="2734"/>
    <xf numFmtId="0" fontId="2" fillId="19" borderId="0" xfId="2734" applyFill="1"/>
    <xf numFmtId="0" fontId="55" fillId="0" borderId="0" xfId="2734" applyFont="1"/>
    <xf numFmtId="169" fontId="22" fillId="0" borderId="0" xfId="2734" applyNumberFormat="1" applyFont="1" applyAlignment="1">
      <alignment horizontal="center" vertical="center" wrapText="1"/>
    </xf>
    <xf numFmtId="0" fontId="22" fillId="0" borderId="0" xfId="2734" applyFont="1" applyAlignment="1">
      <alignment vertical="center" wrapText="1"/>
    </xf>
    <xf numFmtId="169" fontId="25" fillId="0" borderId="0" xfId="2734" applyNumberFormat="1" applyFont="1" applyAlignment="1">
      <alignment horizontal="center" vertical="center" wrapText="1"/>
    </xf>
    <xf numFmtId="0" fontId="25" fillId="0" borderId="0" xfId="2734" applyFont="1" applyAlignment="1">
      <alignment vertical="center" wrapText="1"/>
    </xf>
    <xf numFmtId="0" fontId="27" fillId="0" borderId="0" xfId="2734" applyFont="1" applyAlignment="1">
      <alignment vertical="center" wrapText="1"/>
    </xf>
    <xf numFmtId="0" fontId="4" fillId="0" borderId="0" xfId="2734" applyFont="1"/>
    <xf numFmtId="169" fontId="22" fillId="0" borderId="32" xfId="2734" applyNumberFormat="1" applyFont="1" applyBorder="1" applyAlignment="1">
      <alignment horizontal="center" vertical="center" wrapText="1"/>
    </xf>
    <xf numFmtId="0" fontId="2" fillId="0" borderId="2" xfId="2734" applyBorder="1"/>
    <xf numFmtId="0" fontId="22" fillId="0" borderId="122" xfId="2734" applyFont="1" applyBorder="1" applyAlignment="1">
      <alignment vertical="center" wrapText="1"/>
    </xf>
    <xf numFmtId="169" fontId="25" fillId="0" borderId="123" xfId="2734" applyNumberFormat="1" applyFont="1" applyBorder="1" applyAlignment="1">
      <alignment horizontal="center" vertical="center" wrapText="1"/>
    </xf>
    <xf numFmtId="0" fontId="25" fillId="0" borderId="124" xfId="2734" applyFont="1" applyBorder="1" applyAlignment="1">
      <alignment vertical="center" wrapText="1"/>
    </xf>
    <xf numFmtId="0" fontId="27" fillId="0" borderId="124" xfId="2734" applyFont="1" applyBorder="1" applyAlignment="1">
      <alignment vertical="center" wrapText="1"/>
    </xf>
    <xf numFmtId="0" fontId="2" fillId="0" borderId="11" xfId="2734" applyBorder="1"/>
    <xf numFmtId="0" fontId="2" fillId="0" borderId="14" xfId="2734" applyBorder="1"/>
    <xf numFmtId="9" fontId="0" fillId="0" borderId="0" xfId="2735" applyFont="1"/>
    <xf numFmtId="9" fontId="0" fillId="0" borderId="14" xfId="2735" applyFont="1" applyBorder="1"/>
    <xf numFmtId="169" fontId="4" fillId="0" borderId="0" xfId="2735" applyNumberFormat="1" applyFont="1"/>
    <xf numFmtId="169" fontId="4" fillId="0" borderId="5" xfId="2735" applyNumberFormat="1" applyFont="1" applyFill="1" applyBorder="1"/>
    <xf numFmtId="169" fontId="4" fillId="0" borderId="2" xfId="2735" applyNumberFormat="1" applyFont="1" applyFill="1" applyBorder="1"/>
    <xf numFmtId="169" fontId="4" fillId="0" borderId="13" xfId="2735" applyNumberFormat="1" applyFont="1" applyFill="1" applyBorder="1"/>
    <xf numFmtId="169" fontId="4" fillId="0" borderId="2" xfId="2735" applyNumberFormat="1" applyFont="1" applyBorder="1"/>
    <xf numFmtId="169" fontId="4" fillId="0" borderId="13" xfId="2735" applyNumberFormat="1" applyFont="1" applyBorder="1"/>
    <xf numFmtId="9" fontId="0" fillId="0" borderId="0" xfId="2735" applyFont="1" applyBorder="1"/>
    <xf numFmtId="169" fontId="0" fillId="0" borderId="14" xfId="2735" applyNumberFormat="1" applyFont="1" applyFill="1" applyBorder="1" applyAlignment="1">
      <alignment horizontal="center" vertical="center"/>
    </xf>
    <xf numFmtId="9" fontId="0" fillId="0" borderId="0" xfId="2735" applyFont="1" applyFill="1" applyBorder="1"/>
    <xf numFmtId="9" fontId="0" fillId="0" borderId="10" xfId="2735" applyFont="1" applyFill="1" applyBorder="1"/>
    <xf numFmtId="9" fontId="0" fillId="0" borderId="10" xfId="2735" applyFont="1" applyBorder="1"/>
    <xf numFmtId="169" fontId="4" fillId="0" borderId="14" xfId="2735" applyNumberFormat="1" applyFont="1" applyFill="1" applyBorder="1"/>
    <xf numFmtId="169" fontId="4" fillId="0" borderId="0" xfId="2735" applyNumberFormat="1" applyFont="1" applyFill="1" applyBorder="1"/>
    <xf numFmtId="169" fontId="4" fillId="0" borderId="10" xfId="2735" applyNumberFormat="1" applyFont="1" applyFill="1" applyBorder="1"/>
    <xf numFmtId="169" fontId="4" fillId="0" borderId="0" xfId="2735" applyNumberFormat="1" applyFont="1" applyBorder="1"/>
    <xf numFmtId="169" fontId="4" fillId="0" borderId="10" xfId="2735" applyNumberFormat="1" applyFont="1" applyBorder="1"/>
    <xf numFmtId="0" fontId="0" fillId="0" borderId="0" xfId="2735" applyNumberFormat="1" applyFont="1"/>
    <xf numFmtId="0" fontId="4" fillId="0" borderId="17" xfId="2735" applyNumberFormat="1" applyFont="1" applyFill="1" applyBorder="1"/>
    <xf numFmtId="0" fontId="4" fillId="0" borderId="11" xfId="2735" applyNumberFormat="1" applyFont="1" applyBorder="1"/>
    <xf numFmtId="0" fontId="4" fillId="0" borderId="12" xfId="2735" applyNumberFormat="1" applyFont="1" applyBorder="1"/>
    <xf numFmtId="0" fontId="4" fillId="0" borderId="0" xfId="2735" applyNumberFormat="1" applyFont="1" applyBorder="1"/>
    <xf numFmtId="0" fontId="2" fillId="0" borderId="0" xfId="2734" applyAlignment="1">
      <alignment horizontal="center"/>
    </xf>
    <xf numFmtId="0" fontId="2" fillId="0" borderId="11" xfId="2734" applyBorder="1" applyAlignment="1">
      <alignment horizontal="center"/>
    </xf>
    <xf numFmtId="0" fontId="2" fillId="0" borderId="0" xfId="2734" applyAlignment="1">
      <alignment horizontal="center" wrapText="1"/>
    </xf>
    <xf numFmtId="0" fontId="89" fillId="0" borderId="0" xfId="2734" applyFont="1" applyAlignment="1">
      <alignment horizontal="center" wrapText="1"/>
    </xf>
    <xf numFmtId="0" fontId="151" fillId="0" borderId="0" xfId="2734" applyFont="1"/>
    <xf numFmtId="0" fontId="5" fillId="13" borderId="18" xfId="0" applyFont="1" applyFill="1" applyBorder="1" applyAlignment="1">
      <alignment horizontal="center" vertical="center" wrapText="1"/>
    </xf>
    <xf numFmtId="0" fontId="5" fillId="4" borderId="126" xfId="0" applyFont="1" applyFill="1" applyBorder="1" applyAlignment="1">
      <alignment vertical="center" wrapText="1"/>
    </xf>
    <xf numFmtId="0" fontId="5" fillId="4" borderId="115" xfId="0" applyFont="1" applyFill="1" applyBorder="1" applyAlignment="1">
      <alignment vertical="center" wrapText="1"/>
    </xf>
    <xf numFmtId="0" fontId="4" fillId="0" borderId="126" xfId="0" applyFont="1" applyBorder="1"/>
    <xf numFmtId="1" fontId="0" fillId="0" borderId="126" xfId="0" applyNumberFormat="1" applyBorder="1"/>
    <xf numFmtId="0" fontId="24" fillId="13" borderId="16" xfId="0" applyFont="1" applyFill="1" applyBorder="1" applyAlignment="1">
      <alignment horizontal="center" vertical="center" wrapText="1"/>
    </xf>
    <xf numFmtId="169" fontId="0" fillId="18" borderId="0" xfId="10" applyNumberFormat="1" applyFont="1" applyFill="1" applyBorder="1"/>
    <xf numFmtId="43" fontId="0" fillId="0" borderId="0" xfId="11" applyNumberFormat="1" applyFont="1" applyBorder="1"/>
    <xf numFmtId="9" fontId="0" fillId="18" borderId="0" xfId="10" applyNumberFormat="1" applyFont="1" applyFill="1" applyBorder="1"/>
    <xf numFmtId="0" fontId="24" fillId="12" borderId="12" xfId="0" applyFont="1" applyFill="1" applyBorder="1" applyAlignment="1">
      <alignment vertical="center" wrapText="1"/>
    </xf>
    <xf numFmtId="0" fontId="24" fillId="12" borderId="11" xfId="0" applyFont="1" applyFill="1" applyBorder="1" applyAlignment="1">
      <alignment vertical="center" wrapText="1"/>
    </xf>
    <xf numFmtId="0" fontId="24" fillId="12" borderId="13" xfId="0" applyFont="1" applyFill="1" applyBorder="1" applyAlignment="1">
      <alignment vertical="center" wrapText="1"/>
    </xf>
    <xf numFmtId="0" fontId="24" fillId="12" borderId="2" xfId="0" applyFont="1" applyFill="1" applyBorder="1" applyAlignment="1">
      <alignment vertical="center" wrapText="1"/>
    </xf>
    <xf numFmtId="0" fontId="24" fillId="12" borderId="18" xfId="0" applyFont="1" applyFill="1" applyBorder="1" applyAlignment="1">
      <alignment horizontal="center" vertical="center" wrapText="1"/>
    </xf>
    <xf numFmtId="0" fontId="4" fillId="22" borderId="11" xfId="0" applyFont="1" applyFill="1" applyBorder="1" applyAlignment="1">
      <alignment horizontal="center"/>
    </xf>
    <xf numFmtId="0" fontId="4" fillId="22" borderId="2" xfId="0" applyFont="1" applyFill="1" applyBorder="1" applyAlignment="1">
      <alignment horizontal="center"/>
    </xf>
    <xf numFmtId="0" fontId="27" fillId="4" borderId="0" xfId="0" applyFont="1" applyFill="1" applyBorder="1" applyAlignment="1">
      <alignment vertical="center" wrapText="1"/>
    </xf>
    <xf numFmtId="0" fontId="0" fillId="0" borderId="125" xfId="0" applyBorder="1"/>
    <xf numFmtId="4" fontId="6" fillId="0" borderId="6" xfId="0" quotePrefix="1" applyNumberFormat="1" applyFont="1" applyBorder="1" applyAlignment="1">
      <alignment horizontal="center" vertical="center" wrapText="1"/>
    </xf>
    <xf numFmtId="168" fontId="6" fillId="0" borderId="2" xfId="0" applyNumberFormat="1" applyFont="1" applyFill="1" applyBorder="1" applyAlignment="1">
      <alignment horizontal="center" vertical="center" wrapText="1"/>
    </xf>
    <xf numFmtId="0" fontId="17" fillId="0" borderId="128" xfId="0" applyFont="1" applyFill="1" applyBorder="1" applyAlignment="1">
      <alignment horizontal="right" vertical="center"/>
    </xf>
    <xf numFmtId="175" fontId="17" fillId="0" borderId="128" xfId="11" applyNumberFormat="1" applyFont="1" applyBorder="1" applyAlignment="1"/>
    <xf numFmtId="3" fontId="17" fillId="0" borderId="128" xfId="0" applyNumberFormat="1" applyFont="1" applyBorder="1" applyAlignment="1"/>
    <xf numFmtId="9" fontId="0" fillId="18" borderId="2" xfId="10" applyNumberFormat="1" applyFont="1" applyFill="1" applyBorder="1"/>
    <xf numFmtId="9" fontId="27" fillId="0" borderId="2" xfId="0" applyNumberFormat="1" applyFont="1" applyBorder="1" applyAlignment="1">
      <alignment horizontal="center" vertical="center" wrapText="1"/>
    </xf>
    <xf numFmtId="0" fontId="27" fillId="0" borderId="2" xfId="0" applyFont="1" applyBorder="1" applyAlignment="1">
      <alignment horizontal="center" vertical="center" wrapText="1"/>
    </xf>
    <xf numFmtId="9" fontId="27" fillId="0" borderId="15" xfId="0" applyNumberFormat="1" applyFont="1" applyBorder="1" applyAlignment="1">
      <alignment horizontal="center" vertical="center" wrapText="1"/>
    </xf>
    <xf numFmtId="0" fontId="27" fillId="0" borderId="6" xfId="0" applyNumberFormat="1" applyFont="1" applyBorder="1" applyAlignment="1">
      <alignment vertical="center" wrapText="1"/>
    </xf>
    <xf numFmtId="168" fontId="6" fillId="0" borderId="3" xfId="0" applyNumberFormat="1" applyFont="1" applyFill="1" applyBorder="1" applyAlignment="1">
      <alignment horizontal="center" vertical="center" wrapText="1"/>
    </xf>
    <xf numFmtId="168" fontId="6" fillId="0" borderId="5" xfId="0" applyNumberFormat="1" applyFont="1" applyFill="1" applyBorder="1" applyAlignment="1">
      <alignment horizontal="center" vertical="center" wrapText="1"/>
    </xf>
    <xf numFmtId="49" fontId="0" fillId="0" borderId="0" xfId="0" applyNumberFormat="1"/>
    <xf numFmtId="0" fontId="27" fillId="0" borderId="13" xfId="0" applyFont="1" applyBorder="1" applyAlignment="1">
      <alignment horizontal="center" vertical="center" wrapText="1"/>
    </xf>
    <xf numFmtId="9" fontId="27" fillId="0" borderId="13" xfId="0" applyNumberFormat="1" applyFont="1" applyBorder="1" applyAlignment="1">
      <alignment horizontal="center" vertical="center" wrapText="1"/>
    </xf>
    <xf numFmtId="175" fontId="0" fillId="0" borderId="10" xfId="11" applyNumberFormat="1" applyFont="1" applyBorder="1"/>
    <xf numFmtId="175" fontId="0" fillId="18" borderId="10" xfId="11" applyNumberFormat="1" applyFont="1" applyFill="1" applyBorder="1"/>
    <xf numFmtId="169" fontId="0" fillId="18" borderId="10" xfId="10" applyNumberFormat="1" applyFont="1" applyFill="1" applyBorder="1"/>
    <xf numFmtId="9" fontId="0" fillId="18" borderId="10" xfId="10" applyFont="1" applyFill="1" applyBorder="1"/>
    <xf numFmtId="43" fontId="0" fillId="0" borderId="10" xfId="11" applyNumberFormat="1" applyFont="1" applyBorder="1"/>
    <xf numFmtId="9" fontId="0" fillId="18" borderId="13" xfId="10" applyNumberFormat="1" applyFont="1" applyFill="1" applyBorder="1"/>
    <xf numFmtId="0" fontId="0" fillId="0" borderId="129" xfId="0" applyBorder="1"/>
    <xf numFmtId="0" fontId="0" fillId="0" borderId="26" xfId="0" applyBorder="1"/>
    <xf numFmtId="0" fontId="0" fillId="0" borderId="26" xfId="0" applyFill="1" applyBorder="1"/>
    <xf numFmtId="0" fontId="0" fillId="0" borderId="27" xfId="0" applyBorder="1"/>
    <xf numFmtId="0" fontId="40" fillId="4" borderId="125" xfId="0" applyFont="1" applyFill="1" applyBorder="1"/>
    <xf numFmtId="0" fontId="0" fillId="4" borderId="125" xfId="0" applyFill="1" applyBorder="1" applyAlignment="1">
      <alignment wrapText="1"/>
    </xf>
    <xf numFmtId="0" fontId="0" fillId="4" borderId="125" xfId="0" applyFill="1" applyBorder="1"/>
    <xf numFmtId="0" fontId="0" fillId="0" borderId="125" xfId="0" applyFill="1" applyBorder="1"/>
    <xf numFmtId="175" fontId="0" fillId="4" borderId="125" xfId="0" applyNumberFormat="1" applyFill="1" applyBorder="1"/>
    <xf numFmtId="9" fontId="0" fillId="4" borderId="125" xfId="10" applyFont="1" applyFill="1" applyBorder="1"/>
    <xf numFmtId="167" fontId="0" fillId="4" borderId="125" xfId="0" applyNumberFormat="1" applyFill="1" applyBorder="1"/>
    <xf numFmtId="175" fontId="0" fillId="0" borderId="125" xfId="0" applyNumberFormat="1" applyBorder="1"/>
    <xf numFmtId="167" fontId="0" fillId="0" borderId="125" xfId="0" applyNumberFormat="1" applyBorder="1"/>
    <xf numFmtId="0" fontId="24" fillId="4" borderId="0" xfId="0" applyFont="1" applyFill="1" applyBorder="1" applyAlignment="1">
      <alignment horizontal="left" vertical="center" wrapText="1" indent="2"/>
    </xf>
    <xf numFmtId="0" fontId="134" fillId="4" borderId="0" xfId="0" applyFont="1" applyFill="1" applyBorder="1" applyAlignment="1">
      <alignment horizontal="left" vertical="center" wrapText="1" indent="2"/>
    </xf>
    <xf numFmtId="0" fontId="27" fillId="4" borderId="0" xfId="0" applyFont="1" applyFill="1" applyBorder="1" applyAlignment="1">
      <alignment horizontal="left" vertical="center" wrapText="1" indent="2"/>
    </xf>
    <xf numFmtId="0" fontId="30" fillId="4" borderId="0" xfId="0" applyFont="1" applyFill="1" applyBorder="1" applyAlignment="1">
      <alignment horizontal="left" vertical="center" wrapText="1" indent="2"/>
    </xf>
    <xf numFmtId="0" fontId="30" fillId="4" borderId="2" xfId="0" applyFont="1" applyFill="1" applyBorder="1" applyAlignment="1">
      <alignment horizontal="left" vertical="center" wrapText="1" indent="2"/>
    </xf>
    <xf numFmtId="0" fontId="5" fillId="10" borderId="2" xfId="0" applyFont="1" applyFill="1" applyBorder="1" applyAlignment="1">
      <alignment horizontal="center" vertical="center" wrapText="1"/>
    </xf>
    <xf numFmtId="0" fontId="0" fillId="15" borderId="12" xfId="0" applyFill="1" applyBorder="1"/>
    <xf numFmtId="0" fontId="21" fillId="15" borderId="10" xfId="0" applyFont="1" applyFill="1" applyBorder="1" applyAlignment="1">
      <alignment vertical="center" wrapText="1"/>
    </xf>
    <xf numFmtId="0" fontId="13" fillId="15" borderId="10" xfId="0" applyFont="1" applyFill="1" applyBorder="1" applyAlignment="1">
      <alignment horizontal="left" wrapText="1"/>
    </xf>
    <xf numFmtId="0" fontId="0" fillId="15" borderId="13" xfId="0" applyFill="1" applyBorder="1" applyAlignment="1">
      <alignment vertical="top" wrapText="1"/>
    </xf>
    <xf numFmtId="0" fontId="24" fillId="11" borderId="0" xfId="0" applyFont="1" applyFill="1" applyBorder="1" applyAlignment="1">
      <alignment vertical="center" wrapText="1"/>
    </xf>
    <xf numFmtId="0" fontId="5" fillId="11" borderId="0" xfId="0" applyFont="1" applyFill="1" applyBorder="1" applyAlignment="1">
      <alignment vertical="center" wrapText="1"/>
    </xf>
    <xf numFmtId="0" fontId="5" fillId="11" borderId="2" xfId="0" applyFont="1" applyFill="1" applyBorder="1" applyAlignment="1">
      <alignment vertical="center" wrapText="1"/>
    </xf>
    <xf numFmtId="0" fontId="0" fillId="15" borderId="0" xfId="0" applyFill="1" applyBorder="1"/>
    <xf numFmtId="0" fontId="13" fillId="11" borderId="0" xfId="0" applyFont="1" applyFill="1" applyBorder="1" applyAlignment="1">
      <alignment vertical="center" wrapText="1"/>
    </xf>
    <xf numFmtId="0" fontId="52" fillId="11" borderId="2" xfId="0" applyFont="1" applyFill="1" applyBorder="1" applyAlignment="1">
      <alignment vertical="center" wrapText="1"/>
    </xf>
    <xf numFmtId="2" fontId="0" fillId="0" borderId="15" xfId="0" applyNumberFormat="1" applyBorder="1" applyAlignment="1">
      <alignment wrapText="1"/>
    </xf>
    <xf numFmtId="0" fontId="0" fillId="0" borderId="0" xfId="0" applyAlignment="1">
      <alignment wrapText="1"/>
    </xf>
    <xf numFmtId="0" fontId="4" fillId="0" borderId="0" xfId="0" applyFont="1" applyAlignment="1">
      <alignment vertical="center" wrapText="1"/>
    </xf>
    <xf numFmtId="0" fontId="4" fillId="0" borderId="0" xfId="0" applyFont="1" applyAlignment="1">
      <alignment wrapText="1"/>
    </xf>
    <xf numFmtId="0" fontId="0" fillId="0" borderId="0" xfId="0" applyAlignment="1"/>
    <xf numFmtId="0" fontId="0" fillId="0" borderId="0" xfId="0" applyAlignment="1">
      <alignment vertical="center"/>
    </xf>
    <xf numFmtId="0" fontId="4" fillId="0" borderId="0" xfId="0" applyFont="1" applyAlignment="1">
      <alignment vertical="top" wrapText="1"/>
    </xf>
    <xf numFmtId="0" fontId="6" fillId="0" borderId="0" xfId="0" applyFont="1" applyAlignment="1">
      <alignment horizontal="left" vertical="top" wrapText="1"/>
    </xf>
    <xf numFmtId="0" fontId="32" fillId="0" borderId="2" xfId="0" applyFont="1" applyBorder="1" applyAlignment="1">
      <alignment horizontal="right" vertical="center" wrapText="1"/>
    </xf>
    <xf numFmtId="0" fontId="38" fillId="0" borderId="0" xfId="0" applyFont="1" applyAlignment="1">
      <alignment horizontal="right" vertical="center" wrapText="1"/>
    </xf>
    <xf numFmtId="3" fontId="38" fillId="0" borderId="0" xfId="0" applyNumberFormat="1" applyFont="1" applyAlignment="1">
      <alignment horizontal="right" vertical="center" wrapText="1"/>
    </xf>
    <xf numFmtId="0" fontId="47" fillId="0" borderId="0" xfId="0" applyFont="1" applyAlignment="1">
      <alignment horizontal="center" vertical="center"/>
    </xf>
    <xf numFmtId="0" fontId="33" fillId="0" borderId="0" xfId="0" applyFont="1" applyAlignment="1">
      <alignment horizontal="right" vertical="center" wrapText="1"/>
    </xf>
    <xf numFmtId="2" fontId="32" fillId="0" borderId="0" xfId="0" applyNumberFormat="1" applyFont="1" applyAlignment="1">
      <alignment horizontal="right" vertical="center" wrapText="1"/>
    </xf>
    <xf numFmtId="1" fontId="32" fillId="0" borderId="0" xfId="0" applyNumberFormat="1" applyFont="1" applyAlignment="1">
      <alignment horizontal="right" vertical="center" wrapText="1"/>
    </xf>
    <xf numFmtId="1" fontId="32" fillId="14" borderId="0" xfId="0" applyNumberFormat="1" applyFont="1" applyFill="1" applyAlignment="1">
      <alignment horizontal="right" vertical="center" wrapText="1"/>
    </xf>
    <xf numFmtId="0" fontId="32" fillId="0" borderId="54" xfId="0" applyFont="1" applyBorder="1" applyAlignment="1">
      <alignment horizontal="right" vertical="center" wrapText="1"/>
    </xf>
    <xf numFmtId="1" fontId="32" fillId="0" borderId="127" xfId="0" applyNumberFormat="1" applyFont="1" applyBorder="1" applyAlignment="1">
      <alignment horizontal="right" vertical="center" wrapText="1"/>
    </xf>
    <xf numFmtId="2" fontId="32" fillId="0" borderId="127" xfId="0" applyNumberFormat="1" applyFont="1" applyBorder="1" applyAlignment="1">
      <alignment horizontal="right" vertical="center" wrapText="1"/>
    </xf>
    <xf numFmtId="168" fontId="32" fillId="0" borderId="127" xfId="0" applyNumberFormat="1" applyFont="1" applyBorder="1" applyAlignment="1">
      <alignment horizontal="right" vertical="center" wrapText="1"/>
    </xf>
    <xf numFmtId="168" fontId="32" fillId="0" borderId="0" xfId="0" applyNumberFormat="1" applyFont="1" applyAlignment="1">
      <alignment horizontal="right" vertical="center" wrapText="1"/>
    </xf>
    <xf numFmtId="1" fontId="81" fillId="0" borderId="0" xfId="0" applyNumberFormat="1" applyFont="1" applyAlignment="1">
      <alignment horizontal="right" vertical="center"/>
    </xf>
    <xf numFmtId="0" fontId="81" fillId="0" borderId="0" xfId="0" applyFont="1" applyAlignment="1">
      <alignment vertical="center"/>
    </xf>
    <xf numFmtId="1" fontId="84" fillId="0" borderId="0" xfId="0" applyNumberFormat="1" applyFont="1" applyAlignment="1">
      <alignment horizontal="right" vertical="center"/>
    </xf>
    <xf numFmtId="0" fontId="4" fillId="0" borderId="0" xfId="0" applyFont="1" applyAlignment="1">
      <alignment horizontal="center" vertical="center"/>
    </xf>
    <xf numFmtId="0" fontId="3" fillId="0" borderId="0" xfId="0" applyFont="1" applyAlignment="1">
      <alignment vertical="center" wrapText="1"/>
    </xf>
    <xf numFmtId="0" fontId="16" fillId="0" borderId="0" xfId="0" applyFont="1" applyAlignment="1">
      <alignment horizontal="right" vertical="center" wrapText="1"/>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right" vertical="center" wrapText="1"/>
    </xf>
    <xf numFmtId="8" fontId="3" fillId="0" borderId="0" xfId="0" applyNumberFormat="1" applyFont="1" applyAlignment="1">
      <alignment vertical="center" wrapText="1"/>
    </xf>
    <xf numFmtId="0" fontId="0" fillId="0" borderId="0" xfId="0" applyAlignment="1">
      <alignment horizontal="left" vertical="top" wrapText="1"/>
    </xf>
    <xf numFmtId="0" fontId="81" fillId="0" borderId="53" xfId="0" applyFont="1" applyBorder="1" applyAlignment="1">
      <alignment horizontal="right" vertical="center"/>
    </xf>
    <xf numFmtId="0" fontId="144" fillId="0" borderId="0" xfId="0" applyFont="1"/>
    <xf numFmtId="0" fontId="81" fillId="0" borderId="0" xfId="0" applyFont="1" applyAlignment="1">
      <alignment horizontal="right" vertical="center"/>
    </xf>
    <xf numFmtId="0" fontId="79" fillId="0" borderId="0" xfId="0" applyFont="1" applyAlignment="1">
      <alignment horizontal="center" vertical="center" wrapText="1"/>
    </xf>
    <xf numFmtId="171" fontId="72" fillId="0" borderId="0" xfId="5" applyNumberFormat="1" applyFont="1" applyAlignment="1">
      <alignment horizontal="center"/>
    </xf>
    <xf numFmtId="172" fontId="72" fillId="0" borderId="0" xfId="5" applyFont="1"/>
    <xf numFmtId="171" fontId="72" fillId="0" borderId="0" xfId="0" applyNumberFormat="1" applyFont="1" applyAlignment="1">
      <alignment horizontal="center"/>
    </xf>
    <xf numFmtId="3" fontId="19" fillId="0" borderId="0" xfId="0" applyNumberFormat="1" applyFont="1" applyAlignment="1">
      <alignment horizontal="center" vertical="center" wrapText="1"/>
    </xf>
    <xf numFmtId="0" fontId="0" fillId="0" borderId="19" xfId="0" applyBorder="1" applyAlignment="1">
      <alignment vertical="center" wrapText="1"/>
    </xf>
    <xf numFmtId="0" fontId="27" fillId="0" borderId="0" xfId="0" applyFont="1" applyAlignment="1">
      <alignment horizontal="center" vertical="center" wrapText="1"/>
    </xf>
    <xf numFmtId="0" fontId="27" fillId="0" borderId="0" xfId="0" applyFont="1" applyAlignment="1">
      <alignment horizontal="right" vertical="center" wrapText="1"/>
    </xf>
    <xf numFmtId="0" fontId="27" fillId="0" borderId="131" xfId="0" applyFont="1" applyBorder="1" applyAlignment="1">
      <alignment horizontal="center" vertical="center" wrapText="1"/>
    </xf>
    <xf numFmtId="0" fontId="27" fillId="0" borderId="132" xfId="0" applyFont="1" applyBorder="1" applyAlignment="1">
      <alignment horizontal="center" vertical="center" wrapText="1"/>
    </xf>
    <xf numFmtId="3" fontId="72" fillId="0" borderId="0" xfId="0" applyNumberFormat="1" applyFont="1"/>
    <xf numFmtId="4" fontId="77" fillId="0" borderId="0" xfId="0" applyNumberFormat="1" applyFont="1" applyAlignment="1">
      <alignment horizontal="left"/>
    </xf>
    <xf numFmtId="171" fontId="4" fillId="0" borderId="0" xfId="0" applyNumberFormat="1" applyFont="1"/>
    <xf numFmtId="0" fontId="77" fillId="0" borderId="0" xfId="0" applyFont="1" applyAlignment="1">
      <alignment horizontal="left"/>
    </xf>
    <xf numFmtId="0" fontId="77" fillId="0" borderId="0" xfId="0" applyFont="1"/>
    <xf numFmtId="0" fontId="40" fillId="0" borderId="0" xfId="0" applyFont="1" applyAlignment="1">
      <alignment wrapText="1"/>
    </xf>
    <xf numFmtId="177" fontId="40" fillId="0" borderId="0" xfId="0" applyNumberFormat="1" applyFont="1" applyAlignment="1">
      <alignment wrapText="1"/>
    </xf>
    <xf numFmtId="177" fontId="4" fillId="0" borderId="0" xfId="0" applyNumberFormat="1" applyFont="1"/>
    <xf numFmtId="0" fontId="0" fillId="0" borderId="0" xfId="0" applyAlignment="1">
      <alignment horizontal="left" vertical="top"/>
    </xf>
    <xf numFmtId="0" fontId="37" fillId="0" borderId="0" xfId="0" applyFont="1" applyAlignment="1">
      <alignment vertical="center"/>
    </xf>
    <xf numFmtId="174" fontId="19" fillId="18" borderId="0" xfId="0" applyNumberFormat="1" applyFont="1" applyFill="1" applyAlignment="1">
      <alignment horizontal="center" vertical="center" wrapText="1"/>
    </xf>
    <xf numFmtId="0" fontId="27" fillId="18" borderId="0" xfId="0" applyFont="1" applyFill="1" applyAlignment="1">
      <alignment horizontal="right" vertical="center" wrapText="1"/>
    </xf>
    <xf numFmtId="174" fontId="19" fillId="17" borderId="0" xfId="0" applyNumberFormat="1" applyFont="1" applyFill="1" applyAlignment="1">
      <alignment horizontal="center" vertical="center" wrapText="1"/>
    </xf>
    <xf numFmtId="0" fontId="27" fillId="17" borderId="0" xfId="0" applyFont="1" applyFill="1" applyAlignment="1">
      <alignment horizontal="right" vertical="center" wrapText="1"/>
    </xf>
    <xf numFmtId="0" fontId="27" fillId="18" borderId="0" xfId="0" applyFont="1" applyFill="1" applyAlignment="1">
      <alignment horizontal="center" vertical="center" wrapText="1"/>
    </xf>
    <xf numFmtId="0" fontId="16" fillId="18" borderId="0" xfId="0" applyFont="1" applyFill="1" applyAlignment="1">
      <alignment vertical="center" wrapText="1"/>
    </xf>
    <xf numFmtId="0" fontId="27" fillId="17" borderId="0" xfId="0" applyFont="1" applyFill="1" applyAlignment="1">
      <alignment horizontal="center" vertical="center" wrapText="1"/>
    </xf>
    <xf numFmtId="0" fontId="16" fillId="17" borderId="0" xfId="0" applyFont="1" applyFill="1" applyAlignment="1">
      <alignment vertical="center" wrapText="1"/>
    </xf>
    <xf numFmtId="0" fontId="27" fillId="18" borderId="131" xfId="0" applyFont="1" applyFill="1" applyBorder="1" applyAlignment="1">
      <alignment horizontal="center" vertical="center" wrapText="1"/>
    </xf>
    <xf numFmtId="0" fontId="27" fillId="18" borderId="132" xfId="0" applyFont="1" applyFill="1" applyBorder="1" applyAlignment="1">
      <alignment horizontal="center" vertical="center" wrapText="1"/>
    </xf>
    <xf numFmtId="0" fontId="27" fillId="17" borderId="131" xfId="0" applyFont="1" applyFill="1" applyBorder="1" applyAlignment="1">
      <alignment horizontal="center" vertical="center" wrapText="1"/>
    </xf>
    <xf numFmtId="0" fontId="27" fillId="17" borderId="132" xfId="0" applyFont="1" applyFill="1" applyBorder="1" applyAlignment="1">
      <alignment horizontal="center" vertical="center" wrapText="1"/>
    </xf>
    <xf numFmtId="4" fontId="19" fillId="18" borderId="0" xfId="0" applyNumberFormat="1" applyFont="1" applyFill="1" applyAlignment="1">
      <alignment horizontal="center" vertical="center" wrapText="1"/>
    </xf>
    <xf numFmtId="0" fontId="38" fillId="0" borderId="0" xfId="0" applyFont="1" applyAlignment="1">
      <alignment horizontal="left" vertical="center"/>
    </xf>
    <xf numFmtId="0" fontId="82" fillId="0" borderId="0" xfId="0" applyFont="1"/>
    <xf numFmtId="1" fontId="4" fillId="0" borderId="0" xfId="0" applyNumberFormat="1" applyFont="1"/>
    <xf numFmtId="0" fontId="38" fillId="0" borderId="0" xfId="0" applyFont="1" applyAlignment="1">
      <alignment horizontal="center" vertical="center" wrapText="1"/>
    </xf>
    <xf numFmtId="0" fontId="88" fillId="0" borderId="0" xfId="0" applyFont="1"/>
    <xf numFmtId="0" fontId="81" fillId="0" borderId="0" xfId="0" applyFont="1" applyAlignment="1">
      <alignment horizontal="justify" vertical="center" wrapText="1"/>
    </xf>
    <xf numFmtId="0" fontId="81" fillId="0" borderId="0" xfId="0" applyFont="1" applyAlignment="1">
      <alignment horizontal="left" vertical="center" wrapText="1"/>
    </xf>
    <xf numFmtId="0" fontId="81" fillId="0" borderId="0" xfId="0" applyFont="1" applyAlignment="1">
      <alignment vertical="center" wrapText="1"/>
    </xf>
    <xf numFmtId="0" fontId="34" fillId="0" borderId="0" xfId="0" applyFont="1" applyAlignment="1">
      <alignment horizontal="left" vertical="center"/>
    </xf>
    <xf numFmtId="1" fontId="60" fillId="0" borderId="0" xfId="0" applyNumberFormat="1" applyFont="1"/>
    <xf numFmtId="3" fontId="4" fillId="0" borderId="0" xfId="0" applyNumberFormat="1" applyFont="1"/>
    <xf numFmtId="0" fontId="92" fillId="0" borderId="0" xfId="0" applyFont="1" applyAlignment="1">
      <alignment horizontal="left" vertical="center"/>
    </xf>
    <xf numFmtId="1" fontId="0" fillId="0" borderId="53" xfId="0" applyNumberFormat="1" applyBorder="1"/>
    <xf numFmtId="1" fontId="0" fillId="0" borderId="133" xfId="0" applyNumberFormat="1" applyBorder="1"/>
    <xf numFmtId="1" fontId="0" fillId="0" borderId="134" xfId="0" applyNumberFormat="1" applyBorder="1"/>
    <xf numFmtId="1" fontId="0" fillId="0" borderId="135" xfId="0" applyNumberFormat="1" applyBorder="1"/>
    <xf numFmtId="10" fontId="7" fillId="0" borderId="0" xfId="10" applyNumberFormat="1" applyFont="1" applyBorder="1"/>
    <xf numFmtId="9" fontId="90" fillId="0" borderId="0" xfId="10" applyFont="1" applyFill="1"/>
    <xf numFmtId="169" fontId="0" fillId="84" borderId="0" xfId="10" applyNumberFormat="1" applyFont="1" applyFill="1"/>
    <xf numFmtId="169" fontId="132" fillId="84" borderId="0" xfId="10" applyNumberFormat="1" applyFont="1" applyFill="1"/>
    <xf numFmtId="3" fontId="132" fillId="16" borderId="4" xfId="0" applyNumberFormat="1" applyFont="1" applyFill="1" applyBorder="1"/>
    <xf numFmtId="3" fontId="40" fillId="16" borderId="16" xfId="0" applyNumberFormat="1" applyFont="1" applyFill="1" applyBorder="1"/>
    <xf numFmtId="0" fontId="40" fillId="16" borderId="15" xfId="0" applyFont="1" applyFill="1" applyBorder="1"/>
    <xf numFmtId="169" fontId="53" fillId="0" borderId="0" xfId="0" applyNumberFormat="1" applyFont="1"/>
    <xf numFmtId="3" fontId="132" fillId="18" borderId="4" xfId="0" applyNumberFormat="1" applyFont="1" applyFill="1" applyBorder="1"/>
    <xf numFmtId="3" fontId="40" fillId="18" borderId="3" xfId="0" applyNumberFormat="1" applyFont="1" applyFill="1" applyBorder="1"/>
    <xf numFmtId="3" fontId="40" fillId="18" borderId="16" xfId="0" applyNumberFormat="1" applyFont="1" applyFill="1" applyBorder="1"/>
    <xf numFmtId="0" fontId="40" fillId="18" borderId="15" xfId="0" applyFont="1" applyFill="1" applyBorder="1"/>
    <xf numFmtId="169" fontId="129" fillId="0" borderId="0" xfId="0" applyNumberFormat="1" applyFont="1"/>
    <xf numFmtId="3" fontId="141" fillId="0" borderId="4" xfId="0" applyNumberFormat="1" applyFont="1" applyBorder="1"/>
    <xf numFmtId="3" fontId="47" fillId="0" borderId="3" xfId="0" applyNumberFormat="1" applyFont="1" applyBorder="1"/>
    <xf numFmtId="3" fontId="47" fillId="0" borderId="16" xfId="0" applyNumberFormat="1" applyFont="1" applyBorder="1"/>
    <xf numFmtId="169" fontId="0" fillId="0" borderId="0" xfId="0" applyNumberFormat="1"/>
    <xf numFmtId="169" fontId="0" fillId="84" borderId="6" xfId="10" applyNumberFormat="1" applyFont="1" applyFill="1" applyBorder="1"/>
    <xf numFmtId="169" fontId="0" fillId="0" borderId="0" xfId="10" applyNumberFormat="1" applyFont="1"/>
    <xf numFmtId="169" fontId="150" fillId="84" borderId="0" xfId="10" applyNumberFormat="1" applyFont="1" applyFill="1"/>
    <xf numFmtId="3" fontId="0" fillId="0" borderId="9" xfId="0" applyNumberFormat="1" applyBorder="1"/>
    <xf numFmtId="3" fontId="40" fillId="0" borderId="14" xfId="0" applyNumberFormat="1" applyFont="1" applyBorder="1"/>
    <xf numFmtId="0" fontId="40" fillId="0" borderId="10" xfId="0" applyFont="1" applyBorder="1"/>
    <xf numFmtId="1" fontId="0" fillId="0" borderId="127" xfId="0" applyNumberFormat="1" applyBorder="1"/>
    <xf numFmtId="0" fontId="0" fillId="0" borderId="53" xfId="0" applyBorder="1"/>
    <xf numFmtId="169" fontId="76" fillId="0" borderId="0" xfId="0" applyNumberFormat="1" applyFont="1"/>
    <xf numFmtId="0" fontId="0" fillId="0" borderId="126" xfId="0" applyBorder="1"/>
    <xf numFmtId="3" fontId="53" fillId="0" borderId="10" xfId="0" applyNumberFormat="1" applyFont="1" applyBorder="1"/>
    <xf numFmtId="9" fontId="152" fillId="0" borderId="0" xfId="10" applyFont="1" applyFill="1"/>
    <xf numFmtId="3" fontId="152" fillId="0" borderId="0" xfId="0" applyNumberFormat="1" applyFont="1"/>
    <xf numFmtId="0" fontId="4" fillId="0" borderId="127" xfId="0" applyFont="1" applyBorder="1"/>
    <xf numFmtId="0" fontId="4" fillId="0" borderId="53" xfId="0" applyFont="1" applyBorder="1"/>
    <xf numFmtId="3" fontId="40" fillId="17" borderId="0" xfId="0" applyNumberFormat="1" applyFont="1" applyFill="1"/>
    <xf numFmtId="197" fontId="0" fillId="0" borderId="0" xfId="0" applyNumberFormat="1"/>
    <xf numFmtId="9" fontId="152" fillId="0" borderId="0" xfId="10" applyFont="1"/>
    <xf numFmtId="194" fontId="0" fillId="0" borderId="0" xfId="0" applyNumberFormat="1"/>
    <xf numFmtId="194" fontId="142" fillId="0" borderId="0" xfId="0" applyNumberFormat="1" applyFont="1"/>
    <xf numFmtId="3" fontId="40" fillId="18" borderId="0" xfId="0" applyNumberFormat="1" applyFont="1" applyFill="1"/>
    <xf numFmtId="0" fontId="7" fillId="0" borderId="0" xfId="9" applyFont="1"/>
    <xf numFmtId="0" fontId="44" fillId="0" borderId="0" xfId="0" applyFont="1"/>
    <xf numFmtId="169" fontId="47" fillId="0" borderId="0" xfId="0" applyNumberFormat="1" applyFont="1"/>
    <xf numFmtId="3" fontId="40" fillId="0" borderId="17" xfId="0" applyNumberFormat="1" applyFont="1" applyBorder="1" applyAlignment="1">
      <alignment horizontal="center"/>
    </xf>
    <xf numFmtId="3" fontId="40" fillId="0" borderId="11" xfId="0" applyNumberFormat="1" applyFont="1" applyBorder="1" applyAlignment="1">
      <alignment horizontal="center"/>
    </xf>
    <xf numFmtId="169" fontId="60" fillId="0" borderId="0" xfId="0" applyNumberFormat="1" applyFont="1"/>
    <xf numFmtId="9" fontId="153" fillId="0" borderId="0" xfId="10" applyFont="1" applyFill="1"/>
    <xf numFmtId="3" fontId="153" fillId="0" borderId="0" xfId="0" applyNumberFormat="1" applyFont="1"/>
    <xf numFmtId="168" fontId="0" fillId="0" borderId="127" xfId="0" applyNumberFormat="1" applyBorder="1"/>
    <xf numFmtId="168" fontId="0" fillId="0" borderId="53" xfId="0" applyNumberFormat="1" applyBorder="1"/>
    <xf numFmtId="168" fontId="0" fillId="0" borderId="126" xfId="0" applyNumberFormat="1" applyBorder="1"/>
    <xf numFmtId="0" fontId="0" fillId="0" borderId="127" xfId="0" applyBorder="1"/>
    <xf numFmtId="173" fontId="0" fillId="0" borderId="127" xfId="0" applyNumberFormat="1" applyBorder="1"/>
    <xf numFmtId="173" fontId="0" fillId="0" borderId="53" xfId="0" applyNumberFormat="1" applyBorder="1"/>
    <xf numFmtId="176" fontId="0" fillId="0" borderId="127" xfId="0" applyNumberFormat="1" applyBorder="1"/>
    <xf numFmtId="176" fontId="0" fillId="0" borderId="53" xfId="0" applyNumberFormat="1" applyBorder="1"/>
    <xf numFmtId="173" fontId="0" fillId="0" borderId="126" xfId="0" applyNumberFormat="1" applyBorder="1"/>
    <xf numFmtId="2" fontId="153" fillId="0" borderId="0" xfId="10" applyNumberFormat="1" applyFont="1" applyFill="1"/>
    <xf numFmtId="173" fontId="0" fillId="0" borderId="0" xfId="0" applyNumberFormat="1"/>
    <xf numFmtId="3" fontId="0" fillId="0" borderId="18" xfId="0" applyNumberFormat="1" applyBorder="1"/>
    <xf numFmtId="10" fontId="25" fillId="0" borderId="0" xfId="0" applyNumberFormat="1" applyFont="1" applyAlignment="1">
      <alignment horizontal="center" vertical="center" wrapText="1"/>
    </xf>
    <xf numFmtId="9" fontId="0" fillId="0" borderId="5" xfId="10" applyFont="1" applyBorder="1"/>
    <xf numFmtId="3" fontId="0" fillId="0" borderId="17" xfId="0" applyNumberFormat="1" applyBorder="1"/>
    <xf numFmtId="0" fontId="25" fillId="0" borderId="0" xfId="0" applyFont="1" applyAlignment="1">
      <alignment horizontal="center" vertical="center" wrapText="1"/>
    </xf>
    <xf numFmtId="195" fontId="0" fillId="0" borderId="0" xfId="0" applyNumberFormat="1"/>
    <xf numFmtId="195" fontId="72" fillId="0" borderId="0" xfId="0" applyNumberFormat="1" applyFont="1"/>
    <xf numFmtId="0" fontId="21" fillId="0" borderId="0" xfId="0" applyFont="1" applyAlignment="1">
      <alignment horizontal="center" vertical="center" wrapText="1"/>
    </xf>
    <xf numFmtId="1" fontId="152" fillId="0" borderId="0" xfId="10" applyNumberFormat="1" applyFont="1" applyFill="1"/>
    <xf numFmtId="0" fontId="40" fillId="0" borderId="14" xfId="0" applyFont="1" applyBorder="1" applyAlignment="1">
      <alignment horizontal="center"/>
    </xf>
    <xf numFmtId="0" fontId="40" fillId="0" borderId="0" xfId="0" applyFont="1" applyAlignment="1">
      <alignment horizontal="center"/>
    </xf>
    <xf numFmtId="0" fontId="154" fillId="0" borderId="0" xfId="0" applyFont="1"/>
    <xf numFmtId="0" fontId="155" fillId="0" borderId="0" xfId="0" applyFont="1"/>
    <xf numFmtId="0" fontId="0" fillId="0" borderId="17" xfId="0" applyBorder="1" applyAlignment="1">
      <alignment horizontal="right"/>
    </xf>
    <xf numFmtId="0" fontId="0" fillId="0" borderId="11" xfId="0" applyBorder="1" applyAlignment="1">
      <alignment horizontal="right"/>
    </xf>
    <xf numFmtId="0" fontId="47" fillId="0" borderId="0" xfId="0" applyFont="1"/>
    <xf numFmtId="3" fontId="21" fillId="0" borderId="0" xfId="0" applyNumberFormat="1" applyFont="1" applyAlignment="1">
      <alignment horizontal="center" vertical="center" wrapText="1"/>
    </xf>
    <xf numFmtId="176" fontId="0" fillId="0" borderId="0" xfId="0" applyNumberFormat="1"/>
    <xf numFmtId="3" fontId="16" fillId="0" borderId="0" xfId="0" applyNumberFormat="1" applyFont="1" applyAlignment="1">
      <alignment vertical="center" wrapText="1"/>
    </xf>
    <xf numFmtId="0" fontId="53" fillId="0" borderId="4" xfId="0" applyFont="1" applyBorder="1" applyAlignment="1">
      <alignment horizontal="center" vertical="center" wrapText="1"/>
    </xf>
    <xf numFmtId="0" fontId="24" fillId="0" borderId="53" xfId="0" applyFont="1" applyBorder="1" applyAlignment="1">
      <alignment horizontal="center" vertical="center" wrapText="1"/>
    </xf>
    <xf numFmtId="9" fontId="4" fillId="0" borderId="3" xfId="10" applyFont="1" applyBorder="1"/>
    <xf numFmtId="9" fontId="40" fillId="0" borderId="0" xfId="10" applyFont="1"/>
    <xf numFmtId="9" fontId="40" fillId="0" borderId="0" xfId="10" applyFont="1" applyFill="1" applyBorder="1" applyAlignment="1">
      <alignment vertical="center"/>
    </xf>
    <xf numFmtId="3" fontId="156" fillId="0" borderId="0" xfId="0" applyNumberFormat="1" applyFont="1" applyAlignment="1">
      <alignment vertical="center" wrapText="1"/>
    </xf>
    <xf numFmtId="2" fontId="40" fillId="0" borderId="0" xfId="0" applyNumberFormat="1" applyFont="1"/>
    <xf numFmtId="0" fontId="0" fillId="0" borderId="0" xfId="0"/>
    <xf numFmtId="172" fontId="7" fillId="0" borderId="53" xfId="5" applyFont="1" applyBorder="1"/>
    <xf numFmtId="171" fontId="7" fillId="7" borderId="53" xfId="5" applyNumberFormat="1" applyFont="1" applyFill="1" applyBorder="1" applyAlignment="1">
      <alignment horizontal="center"/>
    </xf>
    <xf numFmtId="198" fontId="38" fillId="0" borderId="6" xfId="0" applyNumberFormat="1" applyFont="1" applyBorder="1" applyAlignment="1">
      <alignment horizontal="center" vertical="center" wrapText="1"/>
    </xf>
    <xf numFmtId="199" fontId="0" fillId="0" borderId="0" xfId="0" applyNumberFormat="1"/>
    <xf numFmtId="200" fontId="0" fillId="0" borderId="0" xfId="0" applyNumberFormat="1"/>
    <xf numFmtId="0" fontId="0" fillId="0" borderId="0" xfId="0"/>
    <xf numFmtId="0" fontId="157" fillId="0" borderId="3" xfId="0" applyFont="1" applyBorder="1" applyAlignment="1">
      <alignment horizontal="center" vertical="center" wrapText="1"/>
    </xf>
    <xf numFmtId="0" fontId="0" fillId="0" borderId="0" xfId="0"/>
    <xf numFmtId="0" fontId="158" fillId="0" borderId="53" xfId="0" applyFont="1" applyBorder="1" applyAlignment="1" applyProtection="1">
      <alignment horizontal="center"/>
      <protection locked="0"/>
    </xf>
    <xf numFmtId="0" fontId="151" fillId="0" borderId="53" xfId="0" applyFont="1" applyBorder="1" applyAlignment="1" applyProtection="1">
      <alignment horizontal="center"/>
      <protection locked="0"/>
    </xf>
    <xf numFmtId="167" fontId="7" fillId="89" borderId="53" xfId="0" applyNumberFormat="1" applyFont="1" applyFill="1" applyBorder="1" applyProtection="1">
      <protection locked="0"/>
    </xf>
    <xf numFmtId="0" fontId="22" fillId="0" borderId="0" xfId="0" applyFont="1"/>
    <xf numFmtId="0" fontId="0" fillId="0" borderId="3" xfId="0" applyBorder="1" applyAlignment="1"/>
    <xf numFmtId="0" fontId="0" fillId="0" borderId="0" xfId="0"/>
    <xf numFmtId="0" fontId="0" fillId="0" borderId="0" xfId="0"/>
    <xf numFmtId="0" fontId="1" fillId="0" borderId="0" xfId="2734" applyFont="1"/>
    <xf numFmtId="3" fontId="62" fillId="0" borderId="0" xfId="0" applyNumberFormat="1" applyFont="1"/>
    <xf numFmtId="0" fontId="162" fillId="0" borderId="0" xfId="0" applyFont="1"/>
    <xf numFmtId="0" fontId="163" fillId="0" borderId="0" xfId="0" applyFont="1"/>
    <xf numFmtId="1" fontId="130" fillId="0" borderId="0" xfId="0" applyNumberFormat="1" applyFont="1"/>
    <xf numFmtId="3" fontId="130" fillId="0" borderId="0" xfId="0" applyNumberFormat="1" applyFont="1"/>
    <xf numFmtId="9" fontId="164" fillId="0" borderId="0" xfId="0" applyNumberFormat="1" applyFont="1" applyFill="1" applyBorder="1" applyAlignment="1">
      <alignment horizontal="center" vertical="center" wrapText="1"/>
    </xf>
    <xf numFmtId="0" fontId="142" fillId="0" borderId="0" xfId="0" applyFont="1" applyBorder="1"/>
    <xf numFmtId="168" fontId="142" fillId="0" borderId="3" xfId="0" applyNumberFormat="1" applyFont="1" applyBorder="1"/>
    <xf numFmtId="1" fontId="7" fillId="0" borderId="3" xfId="0" applyNumberFormat="1" applyFont="1" applyBorder="1"/>
    <xf numFmtId="1" fontId="0" fillId="0" borderId="3" xfId="0" applyNumberFormat="1" applyBorder="1"/>
    <xf numFmtId="175" fontId="13" fillId="0" borderId="0" xfId="0" applyNumberFormat="1" applyFont="1"/>
    <xf numFmtId="0" fontId="0" fillId="0" borderId="0" xfId="0" applyNumberFormat="1" applyAlignment="1"/>
    <xf numFmtId="0" fontId="53" fillId="0" borderId="0" xfId="10" applyNumberFormat="1" applyFont="1"/>
    <xf numFmtId="1" fontId="4" fillId="90" borderId="15" xfId="0" applyNumberFormat="1" applyFont="1" applyFill="1" applyBorder="1"/>
    <xf numFmtId="1" fontId="4" fillId="90" borderId="16" xfId="0" applyNumberFormat="1" applyFont="1" applyFill="1" applyBorder="1"/>
    <xf numFmtId="1" fontId="4" fillId="90" borderId="4" xfId="0" applyNumberFormat="1" applyFont="1" applyFill="1" applyBorder="1"/>
    <xf numFmtId="1" fontId="4" fillId="90" borderId="3" xfId="0" applyNumberFormat="1" applyFont="1" applyFill="1" applyBorder="1"/>
    <xf numFmtId="1" fontId="0" fillId="0" borderId="0" xfId="0" applyNumberFormat="1" applyBorder="1"/>
    <xf numFmtId="0" fontId="40" fillId="0" borderId="0" xfId="0" applyFont="1" applyBorder="1"/>
    <xf numFmtId="3" fontId="19" fillId="91" borderId="8" xfId="0" applyNumberFormat="1" applyFont="1" applyFill="1" applyBorder="1" applyAlignment="1">
      <alignment horizontal="center" vertical="center" wrapText="1"/>
    </xf>
    <xf numFmtId="3" fontId="21" fillId="21" borderId="15" xfId="0" applyNumberFormat="1" applyFont="1" applyFill="1" applyBorder="1" applyAlignment="1">
      <alignment horizontal="center" vertical="center" wrapText="1"/>
    </xf>
    <xf numFmtId="3" fontId="21" fillId="91" borderId="139" xfId="0" applyNumberFormat="1" applyFont="1" applyFill="1" applyBorder="1" applyAlignment="1">
      <alignment horizontal="center" vertical="center" wrapText="1"/>
    </xf>
    <xf numFmtId="3" fontId="21" fillId="0" borderId="140" xfId="0" applyNumberFormat="1" applyFont="1" applyBorder="1" applyAlignment="1">
      <alignment horizontal="center" vertical="center" wrapText="1"/>
    </xf>
    <xf numFmtId="9" fontId="21" fillId="0" borderId="141" xfId="10" applyFont="1" applyBorder="1" applyAlignment="1">
      <alignment horizontal="center" vertical="center" wrapText="1"/>
    </xf>
    <xf numFmtId="3" fontId="21" fillId="0" borderId="4" xfId="0" applyNumberFormat="1" applyFont="1" applyBorder="1" applyAlignment="1">
      <alignment horizontal="center" vertical="center" wrapText="1"/>
    </xf>
    <xf numFmtId="0" fontId="22" fillId="0" borderId="128" xfId="0" applyFont="1" applyBorder="1" applyAlignment="1">
      <alignment horizontal="right" vertical="center" wrapText="1"/>
    </xf>
    <xf numFmtId="0" fontId="22" fillId="0" borderId="2" xfId="0" applyFont="1" applyBorder="1" applyAlignment="1">
      <alignment horizontal="right" vertical="center" wrapText="1"/>
    </xf>
    <xf numFmtId="0" fontId="140" fillId="0" borderId="142" xfId="0" applyFont="1" applyBorder="1" applyAlignment="1">
      <alignment horizontal="right" vertical="center" wrapText="1"/>
    </xf>
    <xf numFmtId="0" fontId="27" fillId="0" borderId="0" xfId="0" applyFont="1" applyAlignment="1">
      <alignment horizontal="right" vertical="center" wrapText="1"/>
    </xf>
    <xf numFmtId="0" fontId="0" fillId="0" borderId="0" xfId="0"/>
    <xf numFmtId="0" fontId="27" fillId="0" borderId="131" xfId="0" applyFont="1" applyBorder="1" applyAlignment="1">
      <alignment horizontal="center" vertical="center" wrapText="1"/>
    </xf>
    <xf numFmtId="0" fontId="24" fillId="12" borderId="17" xfId="0" applyFont="1" applyFill="1" applyBorder="1" applyAlignment="1">
      <alignment vertical="center"/>
    </xf>
    <xf numFmtId="0" fontId="24" fillId="12" borderId="5" xfId="0" applyFont="1" applyFill="1" applyBorder="1" applyAlignment="1">
      <alignment vertical="center"/>
    </xf>
    <xf numFmtId="0" fontId="24" fillId="12" borderId="14" xfId="0" applyFont="1" applyFill="1" applyBorder="1" applyAlignment="1">
      <alignment horizontal="center" vertical="center"/>
    </xf>
    <xf numFmtId="0" fontId="24" fillId="12" borderId="5" xfId="0" applyFont="1" applyFill="1" applyBorder="1" applyAlignment="1">
      <alignment horizontal="center" vertical="center"/>
    </xf>
    <xf numFmtId="0" fontId="0" fillId="0" borderId="0" xfId="0"/>
    <xf numFmtId="1" fontId="0" fillId="4" borderId="125" xfId="0" applyNumberFormat="1" applyFill="1" applyBorder="1"/>
    <xf numFmtId="168" fontId="32" fillId="14" borderId="9" xfId="0" applyNumberFormat="1" applyFont="1" applyFill="1" applyBorder="1" applyAlignment="1">
      <alignment horizontal="right" vertical="center" wrapText="1"/>
    </xf>
    <xf numFmtId="2" fontId="27" fillId="0" borderId="6" xfId="0" applyNumberFormat="1" applyFont="1" applyBorder="1" applyAlignment="1">
      <alignment horizontal="center" vertical="center" wrapText="1"/>
    </xf>
    <xf numFmtId="0" fontId="0" fillId="0" borderId="0" xfId="0" applyBorder="1" applyAlignment="1"/>
    <xf numFmtId="0" fontId="0" fillId="0" borderId="0" xfId="0"/>
    <xf numFmtId="174" fontId="19" fillId="91" borderId="8" xfId="0" applyNumberFormat="1" applyFont="1" applyFill="1" applyBorder="1" applyAlignment="1">
      <alignment horizontal="center" vertical="center" wrapText="1"/>
    </xf>
    <xf numFmtId="17" fontId="75" fillId="92" borderId="16" xfId="0" applyNumberFormat="1" applyFont="1" applyFill="1" applyBorder="1" applyAlignment="1">
      <alignment horizontal="right" vertical="center"/>
    </xf>
    <xf numFmtId="17" fontId="75" fillId="92" borderId="11" xfId="0" applyNumberFormat="1" applyFont="1" applyFill="1" applyBorder="1" applyAlignment="1">
      <alignment horizontal="right" vertical="center"/>
    </xf>
    <xf numFmtId="17" fontId="75" fillId="92" borderId="11" xfId="0" applyNumberFormat="1" applyFont="1" applyFill="1" applyBorder="1" applyAlignment="1">
      <alignment horizontal="right" vertical="center" wrapText="1"/>
    </xf>
    <xf numFmtId="0" fontId="75" fillId="92" borderId="143" xfId="0" applyFont="1" applyFill="1" applyBorder="1" applyAlignment="1">
      <alignment horizontal="right" vertical="center"/>
    </xf>
    <xf numFmtId="0" fontId="24" fillId="93" borderId="0" xfId="0" applyFont="1" applyFill="1" applyAlignment="1">
      <alignment vertical="center" wrapText="1"/>
    </xf>
    <xf numFmtId="0" fontId="24" fillId="93" borderId="9" xfId="0" applyFont="1" applyFill="1" applyBorder="1" applyAlignment="1">
      <alignment vertical="center" wrapText="1"/>
    </xf>
    <xf numFmtId="0" fontId="27" fillId="93" borderId="0" xfId="0" applyFont="1" applyFill="1" applyAlignment="1">
      <alignment horizontal="right" vertical="center"/>
    </xf>
    <xf numFmtId="0" fontId="27" fillId="93" borderId="0" xfId="0" applyFont="1" applyFill="1" applyAlignment="1">
      <alignment horizontal="right" vertical="center" wrapText="1"/>
    </xf>
    <xf numFmtId="0" fontId="6" fillId="0" borderId="0" xfId="0" applyFont="1"/>
    <xf numFmtId="0" fontId="27" fillId="93" borderId="0" xfId="0" applyFont="1" applyFill="1" applyAlignment="1">
      <alignment vertical="center"/>
    </xf>
    <xf numFmtId="0" fontId="27" fillId="93" borderId="9" xfId="0" applyFont="1" applyFill="1" applyBorder="1" applyAlignment="1">
      <alignment vertical="center"/>
    </xf>
    <xf numFmtId="0" fontId="75" fillId="92" borderId="37" xfId="0" applyFont="1" applyFill="1" applyBorder="1" applyAlignment="1">
      <alignment horizontal="right" vertical="center"/>
    </xf>
    <xf numFmtId="0" fontId="27" fillId="93" borderId="2" xfId="0" applyFont="1" applyFill="1" applyBorder="1" applyAlignment="1">
      <alignment vertical="center"/>
    </xf>
    <xf numFmtId="0" fontId="27" fillId="93" borderId="6" xfId="0" applyFont="1" applyFill="1" applyBorder="1" applyAlignment="1">
      <alignment vertical="center"/>
    </xf>
    <xf numFmtId="0" fontId="27" fillId="93" borderId="2" xfId="0" applyFont="1" applyFill="1" applyBorder="1" applyAlignment="1">
      <alignment horizontal="right" vertical="center"/>
    </xf>
    <xf numFmtId="0" fontId="27" fillId="93" borderId="2" xfId="0" applyFont="1" applyFill="1" applyBorder="1" applyAlignment="1">
      <alignment horizontal="right" vertical="center" wrapText="1"/>
    </xf>
    <xf numFmtId="0" fontId="33" fillId="24" borderId="17" xfId="0" applyFont="1" applyFill="1" applyBorder="1" applyAlignment="1">
      <alignment horizontal="left" vertical="center" wrapText="1"/>
    </xf>
    <xf numFmtId="0" fontId="33" fillId="24" borderId="18" xfId="0" applyFont="1" applyFill="1" applyBorder="1" applyAlignment="1">
      <alignment horizontal="left" vertical="center" wrapText="1"/>
    </xf>
    <xf numFmtId="0" fontId="33" fillId="24" borderId="18" xfId="0" applyFont="1" applyFill="1" applyBorder="1" applyAlignment="1">
      <alignment horizontal="justify" vertical="center" wrapText="1"/>
    </xf>
    <xf numFmtId="1" fontId="81" fillId="4" borderId="125" xfId="0" applyNumberFormat="1" applyFont="1" applyFill="1" applyBorder="1" applyAlignment="1">
      <alignment horizontal="right" vertical="center"/>
    </xf>
    <xf numFmtId="0" fontId="22" fillId="0" borderId="0" xfId="0" applyFont="1" applyBorder="1" applyAlignment="1">
      <alignment horizontal="right" vertical="center" wrapText="1"/>
    </xf>
    <xf numFmtId="0" fontId="0" fillId="4" borderId="0" xfId="0" applyFill="1" applyAlignment="1">
      <alignment horizontal="center"/>
    </xf>
    <xf numFmtId="0" fontId="36" fillId="0" borderId="17" xfId="0" applyFont="1" applyBorder="1" applyAlignment="1">
      <alignment vertical="center" wrapText="1"/>
    </xf>
    <xf numFmtId="0" fontId="0" fillId="0" borderId="99" xfId="0" applyBorder="1" applyAlignment="1">
      <alignment vertical="center" wrapText="1"/>
    </xf>
    <xf numFmtId="0" fontId="5" fillId="0" borderId="12" xfId="0" applyFont="1" applyBorder="1" applyAlignment="1">
      <alignment vertical="center" wrapText="1"/>
    </xf>
    <xf numFmtId="0" fontId="5" fillId="0" borderId="10" xfId="0" applyFont="1" applyBorder="1" applyAlignment="1">
      <alignment vertical="center" wrapText="1"/>
    </xf>
    <xf numFmtId="0" fontId="5" fillId="0" borderId="13" xfId="0" applyFont="1" applyBorder="1" applyAlignment="1">
      <alignment vertical="center" wrapText="1"/>
    </xf>
    <xf numFmtId="0" fontId="27" fillId="0" borderId="17" xfId="0" applyFont="1" applyBorder="1" applyAlignment="1">
      <alignment vertical="center" wrapText="1"/>
    </xf>
    <xf numFmtId="0" fontId="27" fillId="0" borderId="14" xfId="0" applyFont="1" applyBorder="1" applyAlignment="1">
      <alignment vertical="center" wrapText="1"/>
    </xf>
    <xf numFmtId="0" fontId="27" fillId="0" borderId="5" xfId="0" applyFont="1" applyBorder="1" applyAlignment="1">
      <alignment vertical="center" wrapText="1"/>
    </xf>
    <xf numFmtId="0" fontId="49" fillId="4" borderId="17" xfId="0" applyFont="1" applyFill="1" applyBorder="1" applyAlignment="1">
      <alignment wrapText="1"/>
    </xf>
    <xf numFmtId="0" fontId="0" fillId="4" borderId="14" xfId="0" applyFill="1" applyBorder="1" applyAlignment="1">
      <alignment wrapText="1"/>
    </xf>
    <xf numFmtId="0" fontId="36" fillId="4" borderId="14" xfId="0" applyFont="1" applyFill="1" applyBorder="1" applyAlignment="1">
      <alignment vertical="center" wrapText="1"/>
    </xf>
    <xf numFmtId="0" fontId="0" fillId="4" borderId="14" xfId="0" applyFill="1" applyBorder="1" applyAlignment="1">
      <alignment vertical="center" wrapText="1"/>
    </xf>
    <xf numFmtId="0" fontId="0" fillId="4" borderId="5" xfId="0" applyFill="1" applyBorder="1" applyAlignment="1">
      <alignment wrapText="1"/>
    </xf>
    <xf numFmtId="0" fontId="36" fillId="0" borderId="14" xfId="0" applyFont="1" applyBorder="1" applyAlignment="1">
      <alignment vertical="center" wrapText="1"/>
    </xf>
    <xf numFmtId="0" fontId="0" fillId="0" borderId="14" xfId="0" applyBorder="1" applyAlignment="1">
      <alignment vertical="center" wrapText="1"/>
    </xf>
    <xf numFmtId="0" fontId="24" fillId="0" borderId="12" xfId="0" applyFont="1" applyBorder="1" applyAlignment="1">
      <alignment horizontal="center" vertical="center" wrapText="1"/>
    </xf>
    <xf numFmtId="0" fontId="0" fillId="0" borderId="10" xfId="0" applyBorder="1" applyAlignment="1">
      <alignment wrapText="1"/>
    </xf>
    <xf numFmtId="0" fontId="0" fillId="0" borderId="13" xfId="0" applyBorder="1" applyAlignment="1">
      <alignment wrapText="1"/>
    </xf>
    <xf numFmtId="0" fontId="5" fillId="0" borderId="17" xfId="0" applyFont="1" applyBorder="1" applyAlignment="1">
      <alignment vertical="center" wrapText="1"/>
    </xf>
    <xf numFmtId="0" fontId="0" fillId="0" borderId="14" xfId="0" applyFont="1" applyBorder="1" applyAlignment="1"/>
    <xf numFmtId="0" fontId="0" fillId="0" borderId="5" xfId="0" applyFont="1" applyBorder="1" applyAlignment="1"/>
    <xf numFmtId="0" fontId="4" fillId="0" borderId="17" xfId="0" applyFont="1" applyBorder="1" applyAlignment="1">
      <alignment vertical="center" wrapText="1"/>
    </xf>
    <xf numFmtId="0" fontId="0" fillId="0" borderId="14" xfId="0" applyFont="1" applyBorder="1" applyAlignment="1">
      <alignment wrapText="1"/>
    </xf>
    <xf numFmtId="0" fontId="0" fillId="0" borderId="5" xfId="0" applyFont="1" applyBorder="1" applyAlignment="1">
      <alignment wrapText="1"/>
    </xf>
    <xf numFmtId="0" fontId="0" fillId="0" borderId="14" xfId="0" applyFont="1" applyBorder="1" applyAlignment="1">
      <alignment vertical="center" wrapText="1"/>
    </xf>
    <xf numFmtId="0" fontId="5" fillId="0" borderId="14" xfId="0" applyFont="1" applyBorder="1" applyAlignment="1">
      <alignment vertical="center" wrapText="1"/>
    </xf>
    <xf numFmtId="0" fontId="5" fillId="0" borderId="5" xfId="0" applyFont="1" applyBorder="1" applyAlignment="1">
      <alignment vertical="center" wrapText="1"/>
    </xf>
    <xf numFmtId="0" fontId="0" fillId="0" borderId="5" xfId="0" applyBorder="1" applyAlignment="1">
      <alignment vertical="center" wrapText="1"/>
    </xf>
    <xf numFmtId="0" fontId="0" fillId="0" borderId="10" xfId="0" applyFont="1" applyBorder="1" applyAlignment="1">
      <alignment vertical="center" wrapText="1"/>
    </xf>
    <xf numFmtId="0" fontId="4" fillId="0" borderId="14" xfId="0" applyFont="1" applyBorder="1" applyAlignment="1">
      <alignment vertical="center" wrapText="1"/>
    </xf>
    <xf numFmtId="0" fontId="0" fillId="0" borderId="5" xfId="0" applyFont="1" applyBorder="1" applyAlignment="1">
      <alignment vertical="center" wrapText="1"/>
    </xf>
    <xf numFmtId="0" fontId="56" fillId="9" borderId="15" xfId="0" applyFont="1" applyFill="1" applyBorder="1" applyAlignment="1">
      <alignment vertical="center" wrapText="1"/>
    </xf>
    <xf numFmtId="0" fontId="56" fillId="9" borderId="16" xfId="0" applyFont="1" applyFill="1" applyBorder="1" applyAlignment="1">
      <alignment vertical="center" wrapText="1"/>
    </xf>
    <xf numFmtId="0" fontId="4" fillId="0" borderId="5" xfId="0" applyFont="1" applyBorder="1" applyAlignment="1">
      <alignment vertical="center" wrapText="1"/>
    </xf>
    <xf numFmtId="0" fontId="4" fillId="15" borderId="11" xfId="0" applyFont="1" applyFill="1" applyBorder="1" applyAlignment="1">
      <alignment horizontal="center" vertical="center" wrapText="1"/>
    </xf>
    <xf numFmtId="0" fontId="0" fillId="0" borderId="0" xfId="0" applyBorder="1" applyAlignment="1"/>
    <xf numFmtId="0" fontId="0" fillId="0" borderId="2" xfId="0" applyBorder="1" applyAlignment="1"/>
    <xf numFmtId="0" fontId="4" fillId="87" borderId="12" xfId="0" applyFont="1" applyFill="1" applyBorder="1" applyAlignment="1">
      <alignment horizontal="center" vertical="center" wrapText="1"/>
    </xf>
    <xf numFmtId="0" fontId="0" fillId="87" borderId="13" xfId="0" applyFill="1" applyBorder="1" applyAlignment="1">
      <alignment vertical="center"/>
    </xf>
    <xf numFmtId="0" fontId="4" fillId="4" borderId="17" xfId="0" applyFont="1" applyFill="1" applyBorder="1" applyAlignment="1">
      <alignment vertical="center" wrapText="1"/>
    </xf>
    <xf numFmtId="0" fontId="0" fillId="4" borderId="14" xfId="0" applyFont="1" applyFill="1" applyBorder="1" applyAlignment="1">
      <alignment vertical="center" wrapText="1"/>
    </xf>
    <xf numFmtId="0" fontId="0" fillId="4" borderId="5" xfId="0" applyFont="1" applyFill="1" applyBorder="1" applyAlignment="1">
      <alignment vertical="center" wrapText="1"/>
    </xf>
    <xf numFmtId="0" fontId="56" fillId="9" borderId="4" xfId="0" applyFont="1" applyFill="1" applyBorder="1" applyAlignment="1">
      <alignment vertical="center" wrapText="1"/>
    </xf>
    <xf numFmtId="0" fontId="5" fillId="10" borderId="12" xfId="0" applyFont="1" applyFill="1" applyBorder="1" applyAlignment="1">
      <alignment horizontal="center" vertical="center" wrapText="1"/>
    </xf>
    <xf numFmtId="0" fontId="0" fillId="0" borderId="13" xfId="0" applyFont="1" applyBorder="1" applyAlignment="1">
      <alignment horizontal="center" vertical="center" wrapText="1"/>
    </xf>
    <xf numFmtId="0" fontId="5" fillId="11" borderId="12" xfId="0" applyFont="1" applyFill="1" applyBorder="1" applyAlignment="1">
      <alignment horizontal="center" vertical="center" wrapText="1"/>
    </xf>
    <xf numFmtId="0" fontId="0" fillId="0" borderId="10" xfId="0" applyFont="1" applyBorder="1" applyAlignment="1">
      <alignment wrapText="1"/>
    </xf>
    <xf numFmtId="0" fontId="0" fillId="0" borderId="13" xfId="0" applyFont="1" applyBorder="1" applyAlignment="1">
      <alignment wrapText="1"/>
    </xf>
    <xf numFmtId="0" fontId="158" fillId="0" borderId="136" xfId="0" applyFont="1" applyBorder="1" applyAlignment="1" applyProtection="1">
      <alignment horizontal="center"/>
      <protection locked="0"/>
    </xf>
    <xf numFmtId="0" fontId="158" fillId="0" borderId="137" xfId="0" applyFont="1" applyBorder="1" applyAlignment="1" applyProtection="1">
      <alignment horizontal="center"/>
      <protection locked="0"/>
    </xf>
    <xf numFmtId="0" fontId="158" fillId="0" borderId="138" xfId="0" applyFont="1" applyBorder="1" applyAlignment="1" applyProtection="1">
      <alignment horizontal="center"/>
      <protection locked="0"/>
    </xf>
    <xf numFmtId="0" fontId="22" fillId="0" borderId="0" xfId="0" applyFont="1" applyAlignment="1">
      <alignment horizontal="right" vertical="center" wrapText="1"/>
    </xf>
    <xf numFmtId="0" fontId="27" fillId="0" borderId="0" xfId="0" applyFont="1" applyAlignment="1">
      <alignment horizontal="right" vertical="center" wrapText="1"/>
    </xf>
    <xf numFmtId="0" fontId="24" fillId="0" borderId="0" xfId="0" applyFont="1" applyAlignment="1">
      <alignment horizontal="right" vertical="center" wrapText="1"/>
    </xf>
    <xf numFmtId="0" fontId="25" fillId="0" borderId="0" xfId="0" applyFont="1" applyAlignment="1">
      <alignment horizontal="right" vertical="center" wrapText="1"/>
    </xf>
    <xf numFmtId="0" fontId="25" fillId="0" borderId="0" xfId="0" applyFont="1" applyAlignment="1">
      <alignment horizontal="center" vertical="center" wrapText="1"/>
    </xf>
    <xf numFmtId="0" fontId="22" fillId="0" borderId="128" xfId="0" applyFont="1" applyBorder="1" applyAlignment="1">
      <alignment horizontal="center" vertical="center" wrapText="1"/>
    </xf>
    <xf numFmtId="0" fontId="25" fillId="0" borderId="11" xfId="0" applyFont="1" applyBorder="1" applyAlignment="1">
      <alignment horizontal="right" vertical="center" wrapText="1"/>
    </xf>
    <xf numFmtId="0" fontId="27" fillId="0" borderId="11" xfId="0" applyFont="1" applyBorder="1" applyAlignment="1">
      <alignment horizontal="right" vertical="center" wrapText="1"/>
    </xf>
    <xf numFmtId="0" fontId="5" fillId="4" borderId="115" xfId="0" applyFont="1" applyFill="1" applyBorder="1" applyAlignment="1">
      <alignment horizontal="center" vertical="center" wrapText="1"/>
    </xf>
    <xf numFmtId="0" fontId="5" fillId="4" borderId="127" xfId="0" applyFont="1" applyFill="1" applyBorder="1" applyAlignment="1">
      <alignment horizontal="center" vertical="center" wrapText="1"/>
    </xf>
    <xf numFmtId="0" fontId="24" fillId="13" borderId="15" xfId="0" applyFont="1" applyFill="1" applyBorder="1" applyAlignment="1">
      <alignment horizontal="center" vertical="center" wrapText="1"/>
    </xf>
    <xf numFmtId="0" fontId="24" fillId="13" borderId="4" xfId="0" applyFont="1" applyFill="1" applyBorder="1" applyAlignment="1">
      <alignment horizontal="center" vertical="center" wrapText="1"/>
    </xf>
    <xf numFmtId="0" fontId="24" fillId="0" borderId="0" xfId="0" applyFont="1" applyFill="1" applyBorder="1" applyAlignment="1">
      <alignment horizontal="center" vertical="center"/>
    </xf>
    <xf numFmtId="0" fontId="21" fillId="0" borderId="0" xfId="0" applyFont="1" applyFill="1" applyBorder="1" applyAlignment="1">
      <alignment horizontal="center" vertical="center" wrapText="1"/>
    </xf>
    <xf numFmtId="0" fontId="24" fillId="0" borderId="0" xfId="0" applyFont="1" applyFill="1" applyBorder="1" applyAlignment="1">
      <alignment vertical="center"/>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6" xfId="0" applyFont="1" applyBorder="1" applyAlignment="1">
      <alignment vertical="center" wrapText="1"/>
    </xf>
    <xf numFmtId="0" fontId="0" fillId="0" borderId="4" xfId="0" applyBorder="1" applyAlignment="1">
      <alignment horizontal="center" vertical="center" wrapText="1"/>
    </xf>
    <xf numFmtId="0" fontId="6" fillId="0" borderId="14" xfId="0" quotePrefix="1" applyFont="1" applyBorder="1" applyAlignment="1">
      <alignment horizontal="center" vertical="center" wrapText="1"/>
    </xf>
    <xf numFmtId="0" fontId="0" fillId="0" borderId="14" xfId="0" applyBorder="1" applyAlignment="1">
      <alignment horizontal="center" vertical="center" wrapText="1"/>
    </xf>
    <xf numFmtId="0" fontId="0" fillId="0" borderId="5" xfId="0" applyBorder="1" applyAlignment="1">
      <alignment horizontal="center" vertical="center" wrapText="1"/>
    </xf>
    <xf numFmtId="0" fontId="5" fillId="0" borderId="18" xfId="0" applyFont="1" applyBorder="1" applyAlignment="1">
      <alignment vertical="center" wrapText="1"/>
    </xf>
    <xf numFmtId="0" fontId="6" fillId="0" borderId="18" xfId="0" quotePrefix="1" applyNumberFormat="1" applyFont="1" applyBorder="1" applyAlignment="1">
      <alignment horizontal="center" vertical="center" wrapText="1"/>
    </xf>
    <xf numFmtId="0" fontId="0" fillId="0" borderId="9" xfId="0" applyNumberFormat="1" applyBorder="1" applyAlignment="1">
      <alignment horizontal="center" vertical="center" wrapText="1"/>
    </xf>
    <xf numFmtId="0" fontId="0" fillId="0" borderId="6" xfId="0" applyNumberFormat="1" applyBorder="1" applyAlignment="1">
      <alignment horizontal="center" vertical="center" wrapText="1"/>
    </xf>
    <xf numFmtId="0" fontId="22" fillId="0" borderId="0" xfId="0" applyFont="1" applyBorder="1" applyAlignment="1">
      <alignment horizontal="center" vertical="center" wrapText="1"/>
    </xf>
    <xf numFmtId="0" fontId="25" fillId="0" borderId="0" xfId="0" applyFont="1" applyBorder="1" applyAlignment="1">
      <alignment horizontal="right" vertical="center" wrapText="1"/>
    </xf>
    <xf numFmtId="0" fontId="27" fillId="0" borderId="0" xfId="0" applyFont="1" applyBorder="1" applyAlignment="1">
      <alignment horizontal="right" vertical="center" wrapText="1"/>
    </xf>
    <xf numFmtId="0" fontId="24" fillId="12" borderId="17" xfId="0" applyFont="1" applyFill="1" applyBorder="1" applyAlignment="1">
      <alignment vertical="center"/>
    </xf>
    <xf numFmtId="0" fontId="24" fillId="12" borderId="5" xfId="0" applyFont="1" applyFill="1" applyBorder="1" applyAlignment="1">
      <alignment vertical="center"/>
    </xf>
    <xf numFmtId="0" fontId="75" fillId="92" borderId="16" xfId="0" applyFont="1" applyFill="1" applyBorder="1" applyAlignment="1">
      <alignment horizontal="left" vertical="center"/>
    </xf>
    <xf numFmtId="0" fontId="75" fillId="92" borderId="11" xfId="0" applyFont="1" applyFill="1" applyBorder="1" applyAlignment="1">
      <alignment horizontal="left" vertical="center"/>
    </xf>
    <xf numFmtId="0" fontId="75" fillId="92" borderId="36" xfId="0" applyFont="1" applyFill="1" applyBorder="1" applyAlignment="1">
      <alignment horizontal="left" vertical="center"/>
    </xf>
    <xf numFmtId="0" fontId="75" fillId="92" borderId="16" xfId="0" applyFont="1" applyFill="1" applyBorder="1" applyAlignment="1">
      <alignment horizontal="right" vertical="center"/>
    </xf>
    <xf numFmtId="0" fontId="75" fillId="92" borderId="11" xfId="0" applyFont="1" applyFill="1" applyBorder="1" applyAlignment="1">
      <alignment horizontal="right" vertical="center"/>
    </xf>
    <xf numFmtId="0" fontId="5" fillId="0" borderId="0" xfId="2734" applyFont="1" applyAlignment="1">
      <alignment vertical="center" wrapText="1"/>
    </xf>
    <xf numFmtId="0" fontId="21" fillId="0" borderId="0" xfId="2734" applyFont="1" applyAlignment="1">
      <alignment horizontal="center" vertical="center" wrapText="1"/>
    </xf>
    <xf numFmtId="0" fontId="2" fillId="0" borderId="0" xfId="2734" applyAlignment="1">
      <alignment horizontal="center"/>
    </xf>
    <xf numFmtId="0" fontId="2" fillId="0" borderId="12" xfId="2734" applyBorder="1" applyAlignment="1">
      <alignment horizontal="center"/>
    </xf>
    <xf numFmtId="0" fontId="2" fillId="0" borderId="11" xfId="2734" applyBorder="1" applyAlignment="1">
      <alignment horizontal="center"/>
    </xf>
    <xf numFmtId="0" fontId="2" fillId="0" borderId="18" xfId="2734" applyBorder="1" applyAlignment="1">
      <alignment horizontal="center"/>
    </xf>
    <xf numFmtId="0" fontId="2" fillId="0" borderId="12" xfId="2734" applyBorder="1" applyAlignment="1">
      <alignment horizontal="center" wrapText="1"/>
    </xf>
    <xf numFmtId="0" fontId="2" fillId="0" borderId="11" xfId="2734" applyBorder="1" applyAlignment="1">
      <alignment horizontal="center" wrapText="1"/>
    </xf>
    <xf numFmtId="0" fontId="2" fillId="0" borderId="18" xfId="2734" applyBorder="1" applyAlignment="1">
      <alignment horizontal="center" wrapText="1"/>
    </xf>
    <xf numFmtId="0" fontId="5" fillId="12" borderId="17" xfId="2734" applyFont="1" applyFill="1" applyBorder="1" applyAlignment="1">
      <alignment vertical="center" wrapText="1"/>
    </xf>
    <xf numFmtId="0" fontId="5" fillId="12" borderId="14" xfId="2734" applyFont="1" applyFill="1" applyBorder="1" applyAlignment="1">
      <alignment vertical="center" wrapText="1"/>
    </xf>
    <xf numFmtId="0" fontId="21" fillId="12" borderId="17" xfId="2734" applyFont="1" applyFill="1" applyBorder="1" applyAlignment="1">
      <alignment horizontal="center" vertical="center" wrapText="1"/>
    </xf>
    <xf numFmtId="0" fontId="21" fillId="12" borderId="14" xfId="2734" applyFont="1" applyFill="1" applyBorder="1" applyAlignment="1">
      <alignment horizontal="center" vertical="center" wrapText="1"/>
    </xf>
    <xf numFmtId="0" fontId="3" fillId="0" borderId="0" xfId="0" applyFont="1" applyAlignment="1">
      <alignment vertical="center" wrapText="1"/>
    </xf>
    <xf numFmtId="0" fontId="4" fillId="0" borderId="0" xfId="0" applyFont="1" applyAlignment="1">
      <alignment vertical="center" wrapText="1"/>
    </xf>
    <xf numFmtId="0" fontId="4" fillId="0" borderId="9" xfId="0" applyFont="1" applyBorder="1" applyAlignment="1">
      <alignment vertical="center" wrapText="1"/>
    </xf>
    <xf numFmtId="0" fontId="0" fillId="0" borderId="9" xfId="0" applyBorder="1" applyAlignment="1">
      <alignment vertical="center" wrapText="1"/>
    </xf>
    <xf numFmtId="0" fontId="4" fillId="0" borderId="0" xfId="0" applyFont="1" applyAlignment="1">
      <alignment vertical="top" wrapText="1"/>
    </xf>
    <xf numFmtId="0" fontId="0" fillId="0" borderId="0" xfId="0" applyAlignment="1">
      <alignment wrapText="1"/>
    </xf>
    <xf numFmtId="0" fontId="0" fillId="0" borderId="0" xfId="0"/>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vertical="center"/>
    </xf>
    <xf numFmtId="0" fontId="4" fillId="0" borderId="0" xfId="0" applyFont="1" applyAlignment="1">
      <alignment wrapText="1"/>
    </xf>
    <xf numFmtId="0" fontId="38" fillId="0" borderId="18" xfId="0" applyFont="1" applyBorder="1" applyAlignment="1">
      <alignment vertical="center" wrapText="1"/>
    </xf>
    <xf numFmtId="2" fontId="37" fillId="0" borderId="17" xfId="0" applyNumberFormat="1" applyFont="1" applyBorder="1" applyAlignment="1">
      <alignment horizontal="center" vertical="center" wrapText="1"/>
    </xf>
    <xf numFmtId="2" fontId="37" fillId="0" borderId="5" xfId="0" applyNumberFormat="1" applyFont="1" applyBorder="1" applyAlignment="1">
      <alignment horizontal="center" vertical="center" wrapText="1"/>
    </xf>
    <xf numFmtId="0" fontId="37" fillId="0" borderId="17" xfId="0" applyFont="1" applyBorder="1" applyAlignment="1">
      <alignment horizontal="center" vertical="center" wrapText="1"/>
    </xf>
    <xf numFmtId="0" fontId="37" fillId="0" borderId="5" xfId="0" applyFont="1" applyBorder="1" applyAlignment="1">
      <alignment horizontal="center" vertical="center" wrapText="1"/>
    </xf>
    <xf numFmtId="4" fontId="37" fillId="0" borderId="17" xfId="0" applyNumberFormat="1" applyFont="1" applyBorder="1" applyAlignment="1">
      <alignment horizontal="center" vertical="center" wrapText="1"/>
    </xf>
    <xf numFmtId="4" fontId="37" fillId="0" borderId="5" xfId="0" applyNumberFormat="1" applyFont="1" applyBorder="1" applyAlignment="1">
      <alignment horizontal="center" vertical="center" wrapText="1"/>
    </xf>
    <xf numFmtId="0" fontId="27" fillId="17" borderId="131" xfId="0" applyFont="1" applyFill="1" applyBorder="1" applyAlignment="1">
      <alignment horizontal="center" vertical="center" wrapText="1"/>
    </xf>
    <xf numFmtId="0" fontId="27" fillId="17" borderId="130" xfId="0" applyFont="1" applyFill="1" applyBorder="1" applyAlignment="1">
      <alignment horizontal="center" vertical="center" wrapText="1"/>
    </xf>
    <xf numFmtId="0" fontId="34" fillId="17" borderId="23" xfId="0" applyFont="1" applyFill="1" applyBorder="1" applyAlignment="1">
      <alignment horizontal="center" vertical="center" wrapText="1"/>
    </xf>
    <xf numFmtId="0" fontId="34" fillId="17" borderId="24" xfId="0" applyFont="1" applyFill="1" applyBorder="1" applyAlignment="1">
      <alignment horizontal="center" vertical="center" wrapText="1"/>
    </xf>
    <xf numFmtId="177" fontId="40" fillId="0" borderId="0" xfId="0" applyNumberFormat="1" applyFont="1" applyAlignment="1">
      <alignment wrapText="1"/>
    </xf>
    <xf numFmtId="0" fontId="40" fillId="0" borderId="0" xfId="0" applyFont="1" applyAlignment="1">
      <alignment wrapText="1"/>
    </xf>
    <xf numFmtId="1" fontId="81" fillId="0" borderId="0" xfId="0" applyNumberFormat="1" applyFont="1" applyAlignment="1">
      <alignment horizontal="right" vertical="center"/>
    </xf>
    <xf numFmtId="0" fontId="0" fillId="0" borderId="0" xfId="0" applyAlignment="1">
      <alignment horizontal="right" vertical="center"/>
    </xf>
    <xf numFmtId="0" fontId="81" fillId="0" borderId="0" xfId="0" applyFont="1" applyAlignment="1">
      <alignment vertical="center"/>
    </xf>
    <xf numFmtId="0" fontId="5" fillId="0" borderId="0" xfId="0" applyFont="1" applyAlignment="1">
      <alignment vertical="center" wrapText="1"/>
    </xf>
    <xf numFmtId="0" fontId="21" fillId="0" borderId="0" xfId="0" applyFont="1" applyAlignment="1">
      <alignment horizontal="center" vertical="center" wrapText="1"/>
    </xf>
    <xf numFmtId="0" fontId="21" fillId="0" borderId="0" xfId="0" applyFont="1" applyAlignment="1">
      <alignment vertical="center" wrapText="1"/>
    </xf>
    <xf numFmtId="0" fontId="27" fillId="0" borderId="131" xfId="0" applyFont="1" applyBorder="1" applyAlignment="1">
      <alignment horizontal="center" vertical="center" wrapText="1"/>
    </xf>
    <xf numFmtId="0" fontId="27" fillId="0" borderId="130" xfId="0" applyFont="1" applyBorder="1" applyAlignment="1">
      <alignment horizontal="center" vertical="center" wrapText="1"/>
    </xf>
    <xf numFmtId="0" fontId="27" fillId="18" borderId="131" xfId="0" applyFont="1" applyFill="1" applyBorder="1" applyAlignment="1">
      <alignment horizontal="center" vertical="center" wrapText="1"/>
    </xf>
    <xf numFmtId="0" fontId="27" fillId="18" borderId="130" xfId="0" applyFont="1" applyFill="1" applyBorder="1" applyAlignment="1">
      <alignment horizontal="center" vertical="center" wrapText="1"/>
    </xf>
    <xf numFmtId="0" fontId="34" fillId="18" borderId="23" xfId="0" applyFont="1" applyFill="1" applyBorder="1" applyAlignment="1">
      <alignment horizontal="center" vertical="center" wrapText="1"/>
    </xf>
    <xf numFmtId="0" fontId="34" fillId="18" borderId="24" xfId="0" applyFont="1" applyFill="1" applyBorder="1" applyAlignment="1">
      <alignment horizontal="center" vertical="center" wrapText="1"/>
    </xf>
    <xf numFmtId="0" fontId="34" fillId="0" borderId="23" xfId="0" applyFont="1" applyBorder="1" applyAlignment="1">
      <alignment horizontal="center" vertical="center" wrapText="1"/>
    </xf>
    <xf numFmtId="0" fontId="34" fillId="0" borderId="24" xfId="0" applyFont="1" applyBorder="1" applyAlignment="1">
      <alignment horizontal="center" vertical="center" wrapText="1"/>
    </xf>
    <xf numFmtId="0" fontId="24" fillId="0" borderId="126" xfId="0" applyFont="1" applyBorder="1" applyAlignment="1">
      <alignment horizontal="center" vertical="center" wrapText="1"/>
    </xf>
    <xf numFmtId="0" fontId="24" fillId="0" borderId="127" xfId="0" applyFont="1" applyBorder="1" applyAlignment="1">
      <alignment horizontal="center" vertical="center" wrapText="1"/>
    </xf>
    <xf numFmtId="0" fontId="25" fillId="0" borderId="0" xfId="0" applyFont="1" applyAlignment="1">
      <alignment horizontal="center" wrapText="1"/>
    </xf>
    <xf numFmtId="0" fontId="0" fillId="0" borderId="0" xfId="0" applyAlignment="1">
      <alignment vertical="center" wrapText="1"/>
    </xf>
    <xf numFmtId="0" fontId="0" fillId="0" borderId="12" xfId="0" applyBorder="1" applyAlignment="1">
      <alignment vertical="center" wrapText="1"/>
    </xf>
    <xf numFmtId="0" fontId="0" fillId="0" borderId="11" xfId="0" applyBorder="1" applyAlignment="1">
      <alignment vertical="center" wrapText="1"/>
    </xf>
    <xf numFmtId="0" fontId="0" fillId="0" borderId="18" xfId="0" applyBorder="1" applyAlignment="1">
      <alignment vertical="center" wrapText="1"/>
    </xf>
    <xf numFmtId="0" fontId="0" fillId="0" borderId="10" xfId="0" applyBorder="1" applyAlignment="1">
      <alignment vertical="center" wrapText="1"/>
    </xf>
    <xf numFmtId="0" fontId="0" fillId="0" borderId="13" xfId="0" applyBorder="1" applyAlignment="1">
      <alignment vertical="center" wrapText="1"/>
    </xf>
    <xf numFmtId="0" fontId="0" fillId="0" borderId="2" xfId="0" applyBorder="1" applyAlignment="1">
      <alignment vertical="center" wrapText="1"/>
    </xf>
    <xf numFmtId="0" fontId="0" fillId="0" borderId="6" xfId="0" applyBorder="1" applyAlignment="1">
      <alignment vertical="center" wrapText="1"/>
    </xf>
    <xf numFmtId="0" fontId="79" fillId="0" borderId="0" xfId="0" applyFont="1" applyAlignment="1">
      <alignment horizontal="center" vertical="center" wrapText="1"/>
    </xf>
    <xf numFmtId="0" fontId="32" fillId="0" borderId="126" xfId="0" applyFont="1" applyBorder="1" applyAlignment="1">
      <alignment horizontal="right" vertical="center" wrapText="1"/>
    </xf>
    <xf numFmtId="0" fontId="32" fillId="0" borderId="54" xfId="0" applyFont="1" applyBorder="1" applyAlignment="1">
      <alignment horizontal="right" vertical="center" wrapText="1"/>
    </xf>
    <xf numFmtId="0" fontId="0" fillId="0" borderId="12" xfId="0" applyBorder="1" applyAlignment="1">
      <alignment wrapText="1"/>
    </xf>
    <xf numFmtId="0" fontId="0" fillId="0" borderId="11" xfId="0" applyBorder="1" applyAlignment="1">
      <alignment wrapText="1"/>
    </xf>
    <xf numFmtId="0" fontId="0" fillId="0" borderId="18" xfId="0" applyBorder="1" applyAlignment="1">
      <alignment wrapText="1"/>
    </xf>
    <xf numFmtId="0" fontId="0" fillId="0" borderId="2" xfId="0" applyBorder="1" applyAlignment="1">
      <alignment wrapText="1"/>
    </xf>
    <xf numFmtId="0" fontId="0" fillId="0" borderId="6" xfId="0" applyBorder="1" applyAlignment="1">
      <alignment wrapText="1"/>
    </xf>
    <xf numFmtId="0" fontId="38" fillId="0" borderId="0" xfId="0" applyFont="1" applyAlignment="1">
      <alignment horizontal="right" vertical="center" wrapText="1"/>
    </xf>
    <xf numFmtId="0" fontId="38" fillId="0" borderId="0" xfId="0" applyFont="1" applyAlignment="1">
      <alignment horizontal="right" vertical="center"/>
    </xf>
    <xf numFmtId="3" fontId="38" fillId="0" borderId="0" xfId="0" applyNumberFormat="1" applyFont="1" applyAlignment="1">
      <alignment horizontal="right" vertical="center" wrapText="1"/>
    </xf>
    <xf numFmtId="3" fontId="38" fillId="0" borderId="0" xfId="0" applyNumberFormat="1" applyFont="1" applyAlignment="1">
      <alignment horizontal="right" vertical="center"/>
    </xf>
    <xf numFmtId="0" fontId="32" fillId="0" borderId="2" xfId="0" applyFont="1" applyBorder="1" applyAlignment="1">
      <alignment horizontal="right" vertical="center" wrapText="1"/>
    </xf>
    <xf numFmtId="0" fontId="32" fillId="0" borderId="15" xfId="0" applyFont="1" applyBorder="1" applyAlignment="1">
      <alignment horizontal="right" vertical="center" wrapText="1"/>
    </xf>
    <xf numFmtId="0" fontId="32" fillId="0" borderId="4" xfId="0" applyFont="1" applyBorder="1" applyAlignment="1">
      <alignment horizontal="right" vertical="center" wrapText="1"/>
    </xf>
    <xf numFmtId="2" fontId="32" fillId="0" borderId="10" xfId="0" applyNumberFormat="1" applyFont="1" applyBorder="1" applyAlignment="1">
      <alignment horizontal="right" vertical="center" wrapText="1"/>
    </xf>
    <xf numFmtId="0" fontId="32" fillId="0" borderId="9" xfId="0" applyFont="1" applyBorder="1" applyAlignment="1">
      <alignment horizontal="right" vertical="center" wrapText="1"/>
    </xf>
    <xf numFmtId="2" fontId="32" fillId="0" borderId="29" xfId="0" applyNumberFormat="1" applyFont="1" applyBorder="1" applyAlignment="1">
      <alignment horizontal="right" vertical="center" wrapText="1"/>
    </xf>
    <xf numFmtId="2" fontId="32" fillId="0" borderId="30" xfId="0" applyNumberFormat="1" applyFont="1" applyBorder="1" applyAlignment="1">
      <alignment horizontal="right" vertical="center" wrapText="1"/>
    </xf>
  </cellXfs>
  <cellStyles count="2736">
    <cellStyle name="%" xfId="4" xr:uid="{00000000-0005-0000-0000-000000000000}"/>
    <cellStyle name="% 10" xfId="42" xr:uid="{00000000-0005-0000-0000-000001000000}"/>
    <cellStyle name="% 10 2 3" xfId="5" xr:uid="{00000000-0005-0000-0000-000002000000}"/>
    <cellStyle name="% 2" xfId="43" xr:uid="{00000000-0005-0000-0000-000003000000}"/>
    <cellStyle name="% 2 2" xfId="44" xr:uid="{00000000-0005-0000-0000-000004000000}"/>
    <cellStyle name="% 2 2 2" xfId="45" xr:uid="{00000000-0005-0000-0000-000005000000}"/>
    <cellStyle name="% 3" xfId="46" xr:uid="{00000000-0005-0000-0000-000006000000}"/>
    <cellStyle name="% 4" xfId="47" xr:uid="{00000000-0005-0000-0000-000007000000}"/>
    <cellStyle name="% 4 2" xfId="48" xr:uid="{00000000-0005-0000-0000-000008000000}"/>
    <cellStyle name="% 4 3" xfId="49" xr:uid="{00000000-0005-0000-0000-000009000000}"/>
    <cellStyle name="% 4 4" xfId="50" xr:uid="{00000000-0005-0000-0000-00000A000000}"/>
    <cellStyle name="% 4 5" xfId="51" xr:uid="{00000000-0005-0000-0000-00000B000000}"/>
    <cellStyle name="% 4 6" xfId="52" xr:uid="{00000000-0005-0000-0000-00000C000000}"/>
    <cellStyle name="% 4 7" xfId="53" xr:uid="{00000000-0005-0000-0000-00000D000000}"/>
    <cellStyle name="% 4 8" xfId="54" xr:uid="{00000000-0005-0000-0000-00000E000000}"/>
    <cellStyle name="% 5" xfId="41" xr:uid="{00000000-0005-0000-0000-00000F000000}"/>
    <cellStyle name="%_3.3 Tax" xfId="55" xr:uid="{00000000-0005-0000-0000-000010000000}"/>
    <cellStyle name="%_3.3 Tax 2" xfId="56" xr:uid="{00000000-0005-0000-0000-000011000000}"/>
    <cellStyle name="%_BP10+ GTO Capex Split CN" xfId="57" xr:uid="{00000000-0005-0000-0000-000012000000}"/>
    <cellStyle name="%_GTO Non Operational Capex Roll-over submission (FINAL with property)" xfId="58" xr:uid="{00000000-0005-0000-0000-000013000000}"/>
    <cellStyle name="%_NGG TPCR4 MG Workings" xfId="59" xr:uid="{00000000-0005-0000-0000-000014000000}"/>
    <cellStyle name="%_Opex Input" xfId="60" xr:uid="{00000000-0005-0000-0000-000015000000}"/>
    <cellStyle name="%_Transmission PCRRP tables_SPTL_200809 V1" xfId="61" xr:uid="{00000000-0005-0000-0000-000016000000}"/>
    <cellStyle name="%_VR NGET Opex tables" xfId="62" xr:uid="{00000000-0005-0000-0000-000017000000}"/>
    <cellStyle name="%_VR Pensions Opex tables" xfId="63" xr:uid="{00000000-0005-0000-0000-000018000000}"/>
    <cellStyle name="_070323 - 5yr opex BPQ (Final)" xfId="64" xr:uid="{00000000-0005-0000-0000-000019000000}"/>
    <cellStyle name="_0708 GSO Capex RRP (detail)" xfId="65" xr:uid="{00000000-0005-0000-0000-00001A000000}"/>
    <cellStyle name="_0708 GSO Capex RRP (detail) 2" xfId="66" xr:uid="{00000000-0005-0000-0000-00001B000000}"/>
    <cellStyle name="_0708 GSO Capex RRP (detail) 2 2" xfId="67" xr:uid="{00000000-0005-0000-0000-00001C000000}"/>
    <cellStyle name="_0708 GSO Capex RRP (detail) 2 3" xfId="68" xr:uid="{00000000-0005-0000-0000-00001D000000}"/>
    <cellStyle name="_0708 GSO Capex RRP (detail) 2 4" xfId="69" xr:uid="{00000000-0005-0000-0000-00001E000000}"/>
    <cellStyle name="_0708 GSO Capex RRP (detail) 2 5" xfId="70" xr:uid="{00000000-0005-0000-0000-00001F000000}"/>
    <cellStyle name="_0708 GSO Capex RRP (detail) 2 6" xfId="71" xr:uid="{00000000-0005-0000-0000-000020000000}"/>
    <cellStyle name="_0708 GSO Capex RRP (detail) 2 7" xfId="72" xr:uid="{00000000-0005-0000-0000-000021000000}"/>
    <cellStyle name="_0708 GSO Capex RRP (detail) 2 8" xfId="73" xr:uid="{00000000-0005-0000-0000-000022000000}"/>
    <cellStyle name="_0708 GSO Capex RRP (detail)_Opex Input" xfId="74" xr:uid="{00000000-0005-0000-0000-000023000000}"/>
    <cellStyle name="_0708 TO Non-Op Capex (detail)" xfId="75" xr:uid="{00000000-0005-0000-0000-000024000000}"/>
    <cellStyle name="_Book4" xfId="76" xr:uid="{00000000-0005-0000-0000-000025000000}"/>
    <cellStyle name="_Book4 2" xfId="77" xr:uid="{00000000-0005-0000-0000-000026000000}"/>
    <cellStyle name="_Book4 2 2" xfId="78" xr:uid="{00000000-0005-0000-0000-000027000000}"/>
    <cellStyle name="_Book4 2 3" xfId="79" xr:uid="{00000000-0005-0000-0000-000028000000}"/>
    <cellStyle name="_Book4 2 4" xfId="80" xr:uid="{00000000-0005-0000-0000-000029000000}"/>
    <cellStyle name="_Book4 2 5" xfId="81" xr:uid="{00000000-0005-0000-0000-00002A000000}"/>
    <cellStyle name="_Book4 2 6" xfId="82" xr:uid="{00000000-0005-0000-0000-00002B000000}"/>
    <cellStyle name="_Book4 2 7" xfId="83" xr:uid="{00000000-0005-0000-0000-00002C000000}"/>
    <cellStyle name="_Book4 2 8" xfId="84" xr:uid="{00000000-0005-0000-0000-00002D000000}"/>
    <cellStyle name="_BP10+ GTO Capex Split CN" xfId="85" xr:uid="{00000000-0005-0000-0000-00002E000000}"/>
    <cellStyle name="_BP10+post TIC 1 Jun" xfId="86" xr:uid="{00000000-0005-0000-0000-00002F000000}"/>
    <cellStyle name="_BP10+post TIC 1 Jun 2" xfId="87" xr:uid="{00000000-0005-0000-0000-000030000000}"/>
    <cellStyle name="_BP10+post TIC 1 Jun 2 2" xfId="88" xr:uid="{00000000-0005-0000-0000-000031000000}"/>
    <cellStyle name="_BP10+post TIC 1 Jun 2 3" xfId="89" xr:uid="{00000000-0005-0000-0000-000032000000}"/>
    <cellStyle name="_BP10+post TIC 1 Jun 2 4" xfId="90" xr:uid="{00000000-0005-0000-0000-000033000000}"/>
    <cellStyle name="_BP10+post TIC 1 Jun 2 5" xfId="91" xr:uid="{00000000-0005-0000-0000-000034000000}"/>
    <cellStyle name="_BP10+post TIC 1 Jun 2 6" xfId="92" xr:uid="{00000000-0005-0000-0000-000035000000}"/>
    <cellStyle name="_BP10+post TIC 1 Jun 2 7" xfId="93" xr:uid="{00000000-0005-0000-0000-000036000000}"/>
    <cellStyle name="_BP10+post TIC 1 Jun 2 8" xfId="94" xr:uid="{00000000-0005-0000-0000-000037000000}"/>
    <cellStyle name="_Capital Plan - IS UK" xfId="95" xr:uid="{00000000-0005-0000-0000-000038000000}"/>
    <cellStyle name="_Capital Plan - IS UK_0910 GSO Capex RRP - Final (Detail) v2 220710" xfId="96" xr:uid="{00000000-0005-0000-0000-000039000000}"/>
    <cellStyle name="_Capital Plan - IS UK_0910 GSO Capex RRP - Final (Detail) v2 220710 2" xfId="97" xr:uid="{00000000-0005-0000-0000-00003A000000}"/>
    <cellStyle name="_Capital Plan - IS UK_0910 GSO Capex RRP - Final (Detail) v2 220710 2 2" xfId="98" xr:uid="{00000000-0005-0000-0000-00003B000000}"/>
    <cellStyle name="_Capital Plan - IS UK_0910 GSO Capex RRP - Final (Detail) v2 220710 2 3" xfId="99" xr:uid="{00000000-0005-0000-0000-00003C000000}"/>
    <cellStyle name="_Capital Plan - IS UK_0910 GSO Capex RRP - Final (Detail) v2 220710 2 4" xfId="100" xr:uid="{00000000-0005-0000-0000-00003D000000}"/>
    <cellStyle name="_Capital Plan - IS UK_0910 GSO Capex RRP - Final (Detail) v2 220710 2 5" xfId="101" xr:uid="{00000000-0005-0000-0000-00003E000000}"/>
    <cellStyle name="_Capital Plan - IS UK_0910 GSO Capex RRP - Final (Detail) v2 220710 2 6" xfId="102" xr:uid="{00000000-0005-0000-0000-00003F000000}"/>
    <cellStyle name="_Capital Plan - IS UK_0910 GSO Capex RRP - Final (Detail) v2 220710 2 7" xfId="103" xr:uid="{00000000-0005-0000-0000-000040000000}"/>
    <cellStyle name="_Capital Plan - IS UK_0910 GSO Capex RRP - Final (Detail) v2 220710 2 8" xfId="104" xr:uid="{00000000-0005-0000-0000-000041000000}"/>
    <cellStyle name="_Capital Plan - IS UK_0910 GSO Capex RRP - Final (Detail) v2 220710_Opex Input" xfId="105" xr:uid="{00000000-0005-0000-0000-000042000000}"/>
    <cellStyle name="_Gas TO major Projects Forecast Jun-10" xfId="106" xr:uid="{00000000-0005-0000-0000-000043000000}"/>
    <cellStyle name="_Gas TO major Projects Forecast Jun-10 2" xfId="107" xr:uid="{00000000-0005-0000-0000-000044000000}"/>
    <cellStyle name="_Gas TO major Projects Forecast Jun-10 2 2" xfId="108" xr:uid="{00000000-0005-0000-0000-000045000000}"/>
    <cellStyle name="_Gas TO major Projects Forecast Jun-10 2 3" xfId="109" xr:uid="{00000000-0005-0000-0000-000046000000}"/>
    <cellStyle name="_Gas TO major Projects Forecast Jun-10 2 4" xfId="110" xr:uid="{00000000-0005-0000-0000-000047000000}"/>
    <cellStyle name="_Gas TO major Projects Forecast Jun-10 2 5" xfId="111" xr:uid="{00000000-0005-0000-0000-000048000000}"/>
    <cellStyle name="_Gas TO major Projects Forecast Jun-10 2 6" xfId="112" xr:uid="{00000000-0005-0000-0000-000049000000}"/>
    <cellStyle name="_Gas TO major Projects Forecast Jun-10 2 7" xfId="113" xr:uid="{00000000-0005-0000-0000-00004A000000}"/>
    <cellStyle name="_Gas TO major Projects Forecast Jun-10 2 8" xfId="114" xr:uid="{00000000-0005-0000-0000-00004B000000}"/>
    <cellStyle name="_Gas TO major Projects Forecast May-10 BP10+ v5" xfId="115" xr:uid="{00000000-0005-0000-0000-00004C000000}"/>
    <cellStyle name="_Gas TO major Projects Forecast May-10 BP10+ v5 2" xfId="116" xr:uid="{00000000-0005-0000-0000-00004D000000}"/>
    <cellStyle name="_Gas TO major Projects Forecast May-10 BP10+ v5 2 2" xfId="117" xr:uid="{00000000-0005-0000-0000-00004E000000}"/>
    <cellStyle name="_Gas TO major Projects Forecast May-10 BP10+ v5 2 3" xfId="118" xr:uid="{00000000-0005-0000-0000-00004F000000}"/>
    <cellStyle name="_Gas TO major Projects Forecast May-10 BP10+ v5 2 4" xfId="119" xr:uid="{00000000-0005-0000-0000-000050000000}"/>
    <cellStyle name="_Gas TO major Projects Forecast May-10 BP10+ v5 2 5" xfId="120" xr:uid="{00000000-0005-0000-0000-000051000000}"/>
    <cellStyle name="_Gas TO major Projects Forecast May-10 BP10+ v5 2 6" xfId="121" xr:uid="{00000000-0005-0000-0000-000052000000}"/>
    <cellStyle name="_Gas TO major Projects Forecast May-10 BP10+ v5 2 7" xfId="122" xr:uid="{00000000-0005-0000-0000-000053000000}"/>
    <cellStyle name="_Gas TO major Projects Forecast May-10 BP10+ v5 2 8" xfId="123" xr:uid="{00000000-0005-0000-0000-000054000000}"/>
    <cellStyle name="_GTO Non Operational Capex Roll-over submission (FINAL with property)" xfId="124" xr:uid="{00000000-0005-0000-0000-000055000000}"/>
    <cellStyle name="_Test scoring_UKGDx_20070924_Pilot (DV)" xfId="125" xr:uid="{00000000-0005-0000-0000-000056000000}"/>
    <cellStyle name="=C:\WINNT\SYSTEM32\COMMAND.COM" xfId="35" xr:uid="{00000000-0005-0000-0000-000057000000}"/>
    <cellStyle name="=C:\WINNT\SYSTEM32\COMMAND.COM 10" xfId="33" xr:uid="{00000000-0005-0000-0000-000058000000}"/>
    <cellStyle name="=C:\WINNT\SYSTEM32\COMMAND.COM 11" xfId="126" xr:uid="{00000000-0005-0000-0000-000059000000}"/>
    <cellStyle name="=C:\WINNT\SYSTEM32\COMMAND.COM 12" xfId="127" xr:uid="{00000000-0005-0000-0000-00005A000000}"/>
    <cellStyle name="=C:\WINNT\SYSTEM32\COMMAND.COM 13" xfId="128" xr:uid="{00000000-0005-0000-0000-00005B000000}"/>
    <cellStyle name="=C:\WINNT\SYSTEM32\COMMAND.COM 14" xfId="129" xr:uid="{00000000-0005-0000-0000-00005C000000}"/>
    <cellStyle name="=C:\WINNT\SYSTEM32\COMMAND.COM 15" xfId="130" xr:uid="{00000000-0005-0000-0000-00005D000000}"/>
    <cellStyle name="=C:\WINNT\SYSTEM32\COMMAND.COM 16" xfId="131" xr:uid="{00000000-0005-0000-0000-00005E000000}"/>
    <cellStyle name="=C:\WINNT\SYSTEM32\COMMAND.COM 17" xfId="132" xr:uid="{00000000-0005-0000-0000-00005F000000}"/>
    <cellStyle name="=C:\WINNT\SYSTEM32\COMMAND.COM 18" xfId="133" xr:uid="{00000000-0005-0000-0000-000060000000}"/>
    <cellStyle name="=C:\WINNT\SYSTEM32\COMMAND.COM 19" xfId="134" xr:uid="{00000000-0005-0000-0000-000061000000}"/>
    <cellStyle name="=C:\WINNT\SYSTEM32\COMMAND.COM 2" xfId="31" xr:uid="{00000000-0005-0000-0000-000062000000}"/>
    <cellStyle name="=C:\WINNT\SYSTEM32\COMMAND.COM 2 2" xfId="7" xr:uid="{00000000-0005-0000-0000-000063000000}"/>
    <cellStyle name="=C:\WINNT\SYSTEM32\COMMAND.COM 2 2 10" xfId="1606" xr:uid="{00000000-0005-0000-0000-000064000000}"/>
    <cellStyle name="=C:\WINNT\SYSTEM32\COMMAND.COM 2 2 2" xfId="136" xr:uid="{00000000-0005-0000-0000-000065000000}"/>
    <cellStyle name="=C:\WINNT\SYSTEM32\COMMAND.COM 2 2 2 2" xfId="137" xr:uid="{00000000-0005-0000-0000-000066000000}"/>
    <cellStyle name="=C:\WINNT\SYSTEM32\COMMAND.COM 2 2 2 3" xfId="138" xr:uid="{00000000-0005-0000-0000-000067000000}"/>
    <cellStyle name="=C:\WINNT\SYSTEM32\COMMAND.COM 2 2 2_Opex Input" xfId="139" xr:uid="{00000000-0005-0000-0000-000068000000}"/>
    <cellStyle name="=C:\WINNT\SYSTEM32\COMMAND.COM 2 2 3" xfId="140" xr:uid="{00000000-0005-0000-0000-000069000000}"/>
    <cellStyle name="=C:\WINNT\SYSTEM32\COMMAND.COM 2 2 4" xfId="135" xr:uid="{00000000-0005-0000-0000-00006A000000}"/>
    <cellStyle name="=C:\WINNT\SYSTEM32\COMMAND.COM 2 2 5" xfId="1352" xr:uid="{00000000-0005-0000-0000-00006B000000}"/>
    <cellStyle name="=C:\WINNT\SYSTEM32\COMMAND.COM 2 2 6" xfId="1537" xr:uid="{00000000-0005-0000-0000-00006C000000}"/>
    <cellStyle name="=C:\WINNT\SYSTEM32\COMMAND.COM 2 2 7" xfId="1351" xr:uid="{00000000-0005-0000-0000-00006D000000}"/>
    <cellStyle name="=C:\WINNT\SYSTEM32\COMMAND.COM 2 2 8" xfId="1438" xr:uid="{00000000-0005-0000-0000-00006E000000}"/>
    <cellStyle name="=C:\WINNT\SYSTEM32\COMMAND.COM 2 2 9" xfId="1327" xr:uid="{00000000-0005-0000-0000-00006F000000}"/>
    <cellStyle name="=C:\WINNT\SYSTEM32\COMMAND.COM 2 2_Opex Input" xfId="141" xr:uid="{00000000-0005-0000-0000-000070000000}"/>
    <cellStyle name="=C:\WINNT\SYSTEM32\COMMAND.COM 2 3" xfId="142" xr:uid="{00000000-0005-0000-0000-000071000000}"/>
    <cellStyle name="=C:\WINNT\SYSTEM32\COMMAND.COM 2_Opex Input" xfId="143" xr:uid="{00000000-0005-0000-0000-000072000000}"/>
    <cellStyle name="=C:\WINNT\SYSTEM32\COMMAND.COM 20" xfId="144" xr:uid="{00000000-0005-0000-0000-000073000000}"/>
    <cellStyle name="=C:\WINNT\SYSTEM32\COMMAND.COM 21" xfId="145" xr:uid="{00000000-0005-0000-0000-000074000000}"/>
    <cellStyle name="=C:\WINNT\SYSTEM32\COMMAND.COM 22" xfId="146" xr:uid="{00000000-0005-0000-0000-000075000000}"/>
    <cellStyle name="=C:\WINNT\SYSTEM32\COMMAND.COM 23" xfId="147" xr:uid="{00000000-0005-0000-0000-000076000000}"/>
    <cellStyle name="=C:\WINNT\SYSTEM32\COMMAND.COM 23 2" xfId="148" xr:uid="{00000000-0005-0000-0000-000077000000}"/>
    <cellStyle name="=C:\WINNT\SYSTEM32\COMMAND.COM 24" xfId="149" xr:uid="{00000000-0005-0000-0000-000078000000}"/>
    <cellStyle name="=C:\WINNT\SYSTEM32\COMMAND.COM 25" xfId="150" xr:uid="{00000000-0005-0000-0000-000079000000}"/>
    <cellStyle name="=C:\WINNT\SYSTEM32\COMMAND.COM 25 2" xfId="151" xr:uid="{00000000-0005-0000-0000-00007A000000}"/>
    <cellStyle name="=C:\WINNT\SYSTEM32\COMMAND.COM 25 3" xfId="152" xr:uid="{00000000-0005-0000-0000-00007B000000}"/>
    <cellStyle name="=C:\WINNT\SYSTEM32\COMMAND.COM 26" xfId="153" xr:uid="{00000000-0005-0000-0000-00007C000000}"/>
    <cellStyle name="=C:\WINNT\SYSTEM32\COMMAND.COM 27" xfId="154" xr:uid="{00000000-0005-0000-0000-00007D000000}"/>
    <cellStyle name="=C:\WINNT\SYSTEM32\COMMAND.COM 28" xfId="155" xr:uid="{00000000-0005-0000-0000-00007E000000}"/>
    <cellStyle name="=C:\WINNT\SYSTEM32\COMMAND.COM 29" xfId="156" xr:uid="{00000000-0005-0000-0000-00007F000000}"/>
    <cellStyle name="=C:\WINNT\SYSTEM32\COMMAND.COM 3" xfId="32" xr:uid="{00000000-0005-0000-0000-000080000000}"/>
    <cellStyle name="=C:\WINNT\SYSTEM32\COMMAND.COM 30" xfId="157" xr:uid="{00000000-0005-0000-0000-000081000000}"/>
    <cellStyle name="=C:\WINNT\SYSTEM32\COMMAND.COM 31" xfId="158" xr:uid="{00000000-0005-0000-0000-000082000000}"/>
    <cellStyle name="=C:\WINNT\SYSTEM32\COMMAND.COM 32" xfId="159" xr:uid="{00000000-0005-0000-0000-000083000000}"/>
    <cellStyle name="=C:\WINNT\SYSTEM32\COMMAND.COM 33" xfId="160" xr:uid="{00000000-0005-0000-0000-000084000000}"/>
    <cellStyle name="=C:\WINNT\SYSTEM32\COMMAND.COM 4" xfId="161" xr:uid="{00000000-0005-0000-0000-000085000000}"/>
    <cellStyle name="=C:\WINNT\SYSTEM32\COMMAND.COM 4 2" xfId="162" xr:uid="{00000000-0005-0000-0000-000086000000}"/>
    <cellStyle name="=C:\WINNT\SYSTEM32\COMMAND.COM 4 3" xfId="163" xr:uid="{00000000-0005-0000-0000-000087000000}"/>
    <cellStyle name="=C:\WINNT\SYSTEM32\COMMAND.COM 4_Opex Input" xfId="164" xr:uid="{00000000-0005-0000-0000-000088000000}"/>
    <cellStyle name="=C:\WINNT\SYSTEM32\COMMAND.COM 5" xfId="165" xr:uid="{00000000-0005-0000-0000-000089000000}"/>
    <cellStyle name="=C:\WINNT\SYSTEM32\COMMAND.COM 6" xfId="166" xr:uid="{00000000-0005-0000-0000-00008A000000}"/>
    <cellStyle name="=C:\WINNT\SYSTEM32\COMMAND.COM 7" xfId="167" xr:uid="{00000000-0005-0000-0000-00008B000000}"/>
    <cellStyle name="=C:\WINNT\SYSTEM32\COMMAND.COM 8" xfId="168" xr:uid="{00000000-0005-0000-0000-00008C000000}"/>
    <cellStyle name="=C:\WINNT\SYSTEM32\COMMAND.COM 9" xfId="169" xr:uid="{00000000-0005-0000-0000-00008D000000}"/>
    <cellStyle name="=C:\WINNT\SYSTEM32\COMMAND.COM_Model_run_060901" xfId="170" xr:uid="{00000000-0005-0000-0000-00008E000000}"/>
    <cellStyle name="=C:\WINNT35\SYSTEM32\COMMAND.COM" xfId="171" xr:uid="{00000000-0005-0000-0000-00008F000000}"/>
    <cellStyle name="20% - Accent1 2" xfId="172" xr:uid="{00000000-0005-0000-0000-000090000000}"/>
    <cellStyle name="20% - Accent1 3" xfId="173" xr:uid="{00000000-0005-0000-0000-000091000000}"/>
    <cellStyle name="20% - Accent2 2" xfId="174" xr:uid="{00000000-0005-0000-0000-000092000000}"/>
    <cellStyle name="20% - Accent2 3" xfId="175" xr:uid="{00000000-0005-0000-0000-000093000000}"/>
    <cellStyle name="20% - Accent3 2" xfId="176" xr:uid="{00000000-0005-0000-0000-000094000000}"/>
    <cellStyle name="20% - Accent3 3" xfId="177" xr:uid="{00000000-0005-0000-0000-000095000000}"/>
    <cellStyle name="20% - Accent4 2" xfId="178" xr:uid="{00000000-0005-0000-0000-000096000000}"/>
    <cellStyle name="20% - Accent4 3" xfId="179" xr:uid="{00000000-0005-0000-0000-000097000000}"/>
    <cellStyle name="20% - Accent5 2" xfId="180" xr:uid="{00000000-0005-0000-0000-000098000000}"/>
    <cellStyle name="20% - Accent5 3" xfId="181" xr:uid="{00000000-0005-0000-0000-000099000000}"/>
    <cellStyle name="20% - Accent6 2" xfId="182" xr:uid="{00000000-0005-0000-0000-00009A000000}"/>
    <cellStyle name="20% - Accent6 3" xfId="183" xr:uid="{00000000-0005-0000-0000-00009B000000}"/>
    <cellStyle name="40% - Accent1 2" xfId="184" xr:uid="{00000000-0005-0000-0000-00009C000000}"/>
    <cellStyle name="40% - Accent1 3" xfId="185" xr:uid="{00000000-0005-0000-0000-00009D000000}"/>
    <cellStyle name="40% - Accent2 2" xfId="186" xr:uid="{00000000-0005-0000-0000-00009E000000}"/>
    <cellStyle name="40% - Accent2 3" xfId="187" xr:uid="{00000000-0005-0000-0000-00009F000000}"/>
    <cellStyle name="40% - Accent3 2" xfId="188" xr:uid="{00000000-0005-0000-0000-0000A0000000}"/>
    <cellStyle name="40% - Accent3 3" xfId="189" xr:uid="{00000000-0005-0000-0000-0000A1000000}"/>
    <cellStyle name="40% - Accent4 2" xfId="190" xr:uid="{00000000-0005-0000-0000-0000A2000000}"/>
    <cellStyle name="40% - Accent4 3" xfId="191" xr:uid="{00000000-0005-0000-0000-0000A3000000}"/>
    <cellStyle name="40% - Accent5 2" xfId="192" xr:uid="{00000000-0005-0000-0000-0000A4000000}"/>
    <cellStyle name="40% - Accent5 3" xfId="193" xr:uid="{00000000-0005-0000-0000-0000A5000000}"/>
    <cellStyle name="40% - Accent6 2" xfId="194" xr:uid="{00000000-0005-0000-0000-0000A6000000}"/>
    <cellStyle name="40% - Accent6 3" xfId="195" xr:uid="{00000000-0005-0000-0000-0000A7000000}"/>
    <cellStyle name="60% - Accent1 2" xfId="196" xr:uid="{00000000-0005-0000-0000-0000A8000000}"/>
    <cellStyle name="60% - Accent1 3" xfId="197" xr:uid="{00000000-0005-0000-0000-0000A9000000}"/>
    <cellStyle name="60% - Accent2 2" xfId="198" xr:uid="{00000000-0005-0000-0000-0000AA000000}"/>
    <cellStyle name="60% - Accent2 3" xfId="199" xr:uid="{00000000-0005-0000-0000-0000AB000000}"/>
    <cellStyle name="60% - Accent3 2" xfId="200" xr:uid="{00000000-0005-0000-0000-0000AC000000}"/>
    <cellStyle name="60% - Accent3 3" xfId="201" xr:uid="{00000000-0005-0000-0000-0000AD000000}"/>
    <cellStyle name="60% - Accent4 2" xfId="202" xr:uid="{00000000-0005-0000-0000-0000AE000000}"/>
    <cellStyle name="60% - Accent4 3" xfId="203" xr:uid="{00000000-0005-0000-0000-0000AF000000}"/>
    <cellStyle name="60% - Accent5 2" xfId="204" xr:uid="{00000000-0005-0000-0000-0000B0000000}"/>
    <cellStyle name="60% - Accent5 3" xfId="205" xr:uid="{00000000-0005-0000-0000-0000B1000000}"/>
    <cellStyle name="60% - Accent6 2" xfId="206" xr:uid="{00000000-0005-0000-0000-0000B2000000}"/>
    <cellStyle name="60% - Accent6 3" xfId="207" xr:uid="{00000000-0005-0000-0000-0000B3000000}"/>
    <cellStyle name="Accent1 - 20%" xfId="208" xr:uid="{00000000-0005-0000-0000-0000B4000000}"/>
    <cellStyle name="Accent1 - 40%" xfId="209" xr:uid="{00000000-0005-0000-0000-0000B5000000}"/>
    <cellStyle name="Accent1 - 60%" xfId="210" xr:uid="{00000000-0005-0000-0000-0000B6000000}"/>
    <cellStyle name="Accent1 2" xfId="211" xr:uid="{00000000-0005-0000-0000-0000B7000000}"/>
    <cellStyle name="Accent1 3" xfId="212" xr:uid="{00000000-0005-0000-0000-0000B8000000}"/>
    <cellStyle name="Accent2 - 20%" xfId="213" xr:uid="{00000000-0005-0000-0000-0000B9000000}"/>
    <cellStyle name="Accent2 - 40%" xfId="214" xr:uid="{00000000-0005-0000-0000-0000BA000000}"/>
    <cellStyle name="Accent2 - 60%" xfId="215" xr:uid="{00000000-0005-0000-0000-0000BB000000}"/>
    <cellStyle name="Accent2 2" xfId="216" xr:uid="{00000000-0005-0000-0000-0000BC000000}"/>
    <cellStyle name="Accent2 3" xfId="217" xr:uid="{00000000-0005-0000-0000-0000BD000000}"/>
    <cellStyle name="Accent3 - 20%" xfId="218" xr:uid="{00000000-0005-0000-0000-0000BE000000}"/>
    <cellStyle name="Accent3 - 40%" xfId="219" xr:uid="{00000000-0005-0000-0000-0000BF000000}"/>
    <cellStyle name="Accent3 - 60%" xfId="220" xr:uid="{00000000-0005-0000-0000-0000C0000000}"/>
    <cellStyle name="Accent3 2" xfId="221" xr:uid="{00000000-0005-0000-0000-0000C1000000}"/>
    <cellStyle name="Accent3 3" xfId="222" xr:uid="{00000000-0005-0000-0000-0000C2000000}"/>
    <cellStyle name="Accent4 - 20%" xfId="223" xr:uid="{00000000-0005-0000-0000-0000C3000000}"/>
    <cellStyle name="Accent4 - 40%" xfId="224" xr:uid="{00000000-0005-0000-0000-0000C4000000}"/>
    <cellStyle name="Accent4 - 60%" xfId="225" xr:uid="{00000000-0005-0000-0000-0000C5000000}"/>
    <cellStyle name="Accent4 2" xfId="226" xr:uid="{00000000-0005-0000-0000-0000C6000000}"/>
    <cellStyle name="Accent4 3" xfId="227" xr:uid="{00000000-0005-0000-0000-0000C7000000}"/>
    <cellStyle name="Accent5 - 20%" xfId="228" xr:uid="{00000000-0005-0000-0000-0000C8000000}"/>
    <cellStyle name="Accent5 - 40%" xfId="229" xr:uid="{00000000-0005-0000-0000-0000C9000000}"/>
    <cellStyle name="Accent5 - 60%" xfId="230" xr:uid="{00000000-0005-0000-0000-0000CA000000}"/>
    <cellStyle name="Accent5 2" xfId="231" xr:uid="{00000000-0005-0000-0000-0000CB000000}"/>
    <cellStyle name="Accent5 3" xfId="232" xr:uid="{00000000-0005-0000-0000-0000CC000000}"/>
    <cellStyle name="Accent6 - 20%" xfId="233" xr:uid="{00000000-0005-0000-0000-0000CD000000}"/>
    <cellStyle name="Accent6 - 40%" xfId="234" xr:uid="{00000000-0005-0000-0000-0000CE000000}"/>
    <cellStyle name="Accent6 - 60%" xfId="235" xr:uid="{00000000-0005-0000-0000-0000CF000000}"/>
    <cellStyle name="Accent6 2" xfId="236" xr:uid="{00000000-0005-0000-0000-0000D0000000}"/>
    <cellStyle name="Accent6 3" xfId="237" xr:uid="{00000000-0005-0000-0000-0000D1000000}"/>
    <cellStyle name="Bad 2" xfId="238" xr:uid="{00000000-0005-0000-0000-0000D2000000}"/>
    <cellStyle name="Bad 3" xfId="239" xr:uid="{00000000-0005-0000-0000-0000D3000000}"/>
    <cellStyle name="Calculation 2" xfId="240" xr:uid="{00000000-0005-0000-0000-0000D4000000}"/>
    <cellStyle name="Calculation 2 10" xfId="1972" xr:uid="{E923560B-453D-40CF-9DC7-116FCB5A0A62}"/>
    <cellStyle name="Calculation 2 2" xfId="1358" xr:uid="{00000000-0005-0000-0000-0000D5000000}"/>
    <cellStyle name="Calculation 2 2 2" xfId="2181" xr:uid="{654773E3-72AE-4AB8-9482-8B12A642420B}"/>
    <cellStyle name="Calculation 2 3" xfId="1356" xr:uid="{00000000-0005-0000-0000-0000D6000000}"/>
    <cellStyle name="Calculation 2 3 2" xfId="2179" xr:uid="{2037FEC8-6342-4612-8D4B-18C0C861D3C2}"/>
    <cellStyle name="Calculation 2 4" xfId="1353" xr:uid="{00000000-0005-0000-0000-0000D7000000}"/>
    <cellStyle name="Calculation 2 4 2" xfId="2176" xr:uid="{21BD6E0C-B603-4A19-B108-5EDDE0AB258F}"/>
    <cellStyle name="Calculation 2 5" xfId="1374" xr:uid="{00000000-0005-0000-0000-0000D8000000}"/>
    <cellStyle name="Calculation 2 5 2" xfId="2197" xr:uid="{F6352FDD-FEE6-4400-83B5-68842B15CFDE}"/>
    <cellStyle name="Calculation 2 6" xfId="1648" xr:uid="{00000000-0005-0000-0000-0000D9000000}"/>
    <cellStyle name="Calculation 2 6 2" xfId="2416" xr:uid="{9A91B577-9852-4511-A9EB-12A7461C440B}"/>
    <cellStyle name="Calculation 2 7" xfId="1582" xr:uid="{00000000-0005-0000-0000-0000DA000000}"/>
    <cellStyle name="Calculation 2 7 2" xfId="2355" xr:uid="{E7087AC8-A1FD-4168-866A-25E95D8ADEED}"/>
    <cellStyle name="Calculation 2 8" xfId="1937" xr:uid="{00000000-0005-0000-0000-0000DB000000}"/>
    <cellStyle name="Calculation 2 8 2" xfId="2703" xr:uid="{A69C1CA5-6A3D-41FE-A8F6-1415400470BE}"/>
    <cellStyle name="Calculation 2 9" xfId="1930" xr:uid="{00000000-0005-0000-0000-0000DC000000}"/>
    <cellStyle name="Calculation 2 9 2" xfId="2696" xr:uid="{9B733614-DD7E-485E-BDDF-C67E8E1CEB2D}"/>
    <cellStyle name="Calculation 3" xfId="241" xr:uid="{00000000-0005-0000-0000-0000DD000000}"/>
    <cellStyle name="Calculation 3 10" xfId="1973" xr:uid="{64424525-CC54-4C7C-A1F8-4015C6511380}"/>
    <cellStyle name="Calculation 3 2" xfId="1359" xr:uid="{00000000-0005-0000-0000-0000DE000000}"/>
    <cellStyle name="Calculation 3 2 2" xfId="2182" xr:uid="{3668923B-8519-43A2-A43C-655B89D91FD1}"/>
    <cellStyle name="Calculation 3 3" xfId="1357" xr:uid="{00000000-0005-0000-0000-0000DF000000}"/>
    <cellStyle name="Calculation 3 3 2" xfId="2180" xr:uid="{1EC0900F-844E-4D7D-8E56-3DEFF5E6AECF}"/>
    <cellStyle name="Calculation 3 4" xfId="1354" xr:uid="{00000000-0005-0000-0000-0000E0000000}"/>
    <cellStyle name="Calculation 3 4 2" xfId="2177" xr:uid="{8EB522CD-9F1B-48EB-90D8-A60E3D11BE09}"/>
    <cellStyle name="Calculation 3 5" xfId="1373" xr:uid="{00000000-0005-0000-0000-0000E1000000}"/>
    <cellStyle name="Calculation 3 5 2" xfId="2196" xr:uid="{7CD16025-18ED-4F63-9AFD-FB440F7F265F}"/>
    <cellStyle name="Calculation 3 6" xfId="1355" xr:uid="{00000000-0005-0000-0000-0000E2000000}"/>
    <cellStyle name="Calculation 3 6 2" xfId="2178" xr:uid="{5E68E340-15DD-40F4-963E-A4B931FBEDC1}"/>
    <cellStyle name="Calculation 3 7" xfId="1372" xr:uid="{00000000-0005-0000-0000-0000E3000000}"/>
    <cellStyle name="Calculation 3 7 2" xfId="2195" xr:uid="{C73A51A8-12F8-4BED-ABA6-5C89FE467259}"/>
    <cellStyle name="Calculation 3 8" xfId="1936" xr:uid="{00000000-0005-0000-0000-0000E4000000}"/>
    <cellStyle name="Calculation 3 8 2" xfId="2702" xr:uid="{38B5138F-A26F-4E7A-B3EF-71296C6B26A8}"/>
    <cellStyle name="Calculation 3 9" xfId="1931" xr:uid="{00000000-0005-0000-0000-0000E5000000}"/>
    <cellStyle name="Calculation 3 9 2" xfId="2697" xr:uid="{BF15CFAB-ED72-434C-A388-02C1FB4B1C89}"/>
    <cellStyle name="Check Cell 2" xfId="242" xr:uid="{00000000-0005-0000-0000-0000E6000000}"/>
    <cellStyle name="Check Cell 3" xfId="243" xr:uid="{00000000-0005-0000-0000-0000E7000000}"/>
    <cellStyle name="column Head Underlined" xfId="244" xr:uid="{00000000-0005-0000-0000-0000E8000000}"/>
    <cellStyle name="Column Heading" xfId="245" xr:uid="{00000000-0005-0000-0000-0000E9000000}"/>
    <cellStyle name="Comma" xfId="11" builtinId="3"/>
    <cellStyle name="Comma [1]" xfId="246" xr:uid="{00000000-0005-0000-0000-0000EB000000}"/>
    <cellStyle name="Comma [1] 2" xfId="247" xr:uid="{00000000-0005-0000-0000-0000EC000000}"/>
    <cellStyle name="Comma [1] 2 2" xfId="248" xr:uid="{00000000-0005-0000-0000-0000ED000000}"/>
    <cellStyle name="Comma [1] 2 3" xfId="249" xr:uid="{00000000-0005-0000-0000-0000EE000000}"/>
    <cellStyle name="Comma [1] 2 4" xfId="250" xr:uid="{00000000-0005-0000-0000-0000EF000000}"/>
    <cellStyle name="Comma [1] 2 5" xfId="251" xr:uid="{00000000-0005-0000-0000-0000F0000000}"/>
    <cellStyle name="Comma [1] 2 6" xfId="252" xr:uid="{00000000-0005-0000-0000-0000F1000000}"/>
    <cellStyle name="Comma [1] 2 7" xfId="253" xr:uid="{00000000-0005-0000-0000-0000F2000000}"/>
    <cellStyle name="Comma [1] 2 8" xfId="254" xr:uid="{00000000-0005-0000-0000-0000F3000000}"/>
    <cellStyle name="Comma 10" xfId="255" xr:uid="{00000000-0005-0000-0000-0000F4000000}"/>
    <cellStyle name="Comma 10 2" xfId="1974" xr:uid="{2E41270E-FD0D-48DA-A20C-C669149AFACB}"/>
    <cellStyle name="Comma 11" xfId="26" xr:uid="{00000000-0005-0000-0000-0000F5000000}"/>
    <cellStyle name="Comma 11 2" xfId="1970" xr:uid="{7D61C64F-32AD-4A17-B94C-7B2E60C4511E}"/>
    <cellStyle name="Comma 12" xfId="256" xr:uid="{00000000-0005-0000-0000-0000F6000000}"/>
    <cellStyle name="Comma 12 2" xfId="1975" xr:uid="{CC018DC7-24B8-4CB7-BD63-95A368F62D8C}"/>
    <cellStyle name="Comma 13" xfId="257" xr:uid="{00000000-0005-0000-0000-0000F7000000}"/>
    <cellStyle name="Comma 13 2" xfId="1976" xr:uid="{06186FD3-0A9A-4660-BCEB-D25E1E85683A}"/>
    <cellStyle name="Comma 14" xfId="1968" xr:uid="{7BCCA787-21F0-401C-8C3B-F73C8D47F59D}"/>
    <cellStyle name="Comma 2" xfId="258" xr:uid="{00000000-0005-0000-0000-0000F8000000}"/>
    <cellStyle name="Comma 2 10" xfId="259" xr:uid="{00000000-0005-0000-0000-0000F9000000}"/>
    <cellStyle name="Comma 2 10 2" xfId="1978" xr:uid="{4BA3555E-EC3C-4C92-94A9-5CB191D68218}"/>
    <cellStyle name="Comma 2 11" xfId="260" xr:uid="{00000000-0005-0000-0000-0000FA000000}"/>
    <cellStyle name="Comma 2 11 2" xfId="1979" xr:uid="{DFA2A76E-CF35-4D20-BA8B-68A66D3CD0A6}"/>
    <cellStyle name="Comma 2 12" xfId="261" xr:uid="{00000000-0005-0000-0000-0000FB000000}"/>
    <cellStyle name="Comma 2 12 2" xfId="1980" xr:uid="{70DEB537-FD08-415E-8EAE-710BA6CFCAE9}"/>
    <cellStyle name="Comma 2 13" xfId="262" xr:uid="{00000000-0005-0000-0000-0000FC000000}"/>
    <cellStyle name="Comma 2 13 2" xfId="1981" xr:uid="{1E4F3DEC-68D7-49BF-B8E0-A4DC1C7BDAB8}"/>
    <cellStyle name="Comma 2 14" xfId="263" xr:uid="{00000000-0005-0000-0000-0000FD000000}"/>
    <cellStyle name="Comma 2 14 2" xfId="1982" xr:uid="{F3F13E92-8F6A-458D-9882-5415DC195D86}"/>
    <cellStyle name="Comma 2 15" xfId="264" xr:uid="{00000000-0005-0000-0000-0000FE000000}"/>
    <cellStyle name="Comma 2 15 2" xfId="1983" xr:uid="{B21F1657-2ABD-47D2-82A9-EB881C208AC4}"/>
    <cellStyle name="Comma 2 16" xfId="265" xr:uid="{00000000-0005-0000-0000-0000FF000000}"/>
    <cellStyle name="Comma 2 16 2" xfId="1984" xr:uid="{E5FB9074-F47F-4BE9-91A6-A98A575EC42C}"/>
    <cellStyle name="Comma 2 17" xfId="266" xr:uid="{00000000-0005-0000-0000-000000010000}"/>
    <cellStyle name="Comma 2 17 2" xfId="1985" xr:uid="{72A18893-F58D-4F09-8576-528A384A039C}"/>
    <cellStyle name="Comma 2 18" xfId="267" xr:uid="{00000000-0005-0000-0000-000001010000}"/>
    <cellStyle name="Comma 2 18 2" xfId="1986" xr:uid="{175BC9E0-B69A-41E9-BD37-C52B6A8AC07B}"/>
    <cellStyle name="Comma 2 19" xfId="268" xr:uid="{00000000-0005-0000-0000-000002010000}"/>
    <cellStyle name="Comma 2 19 2" xfId="1987" xr:uid="{0E726536-5A82-4200-A704-5F2E398E7C63}"/>
    <cellStyle name="Comma 2 2" xfId="269" xr:uid="{00000000-0005-0000-0000-000003010000}"/>
    <cellStyle name="Comma 2 2 10" xfId="270" xr:uid="{00000000-0005-0000-0000-000004010000}"/>
    <cellStyle name="Comma 2 2 10 2" xfId="1989" xr:uid="{C023D224-7240-4A6C-A4EB-41A13463ED61}"/>
    <cellStyle name="Comma 2 2 11" xfId="271" xr:uid="{00000000-0005-0000-0000-000005010000}"/>
    <cellStyle name="Comma 2 2 11 2" xfId="1990" xr:uid="{AD3B6781-B5FB-44BB-B57A-F8C20567EFDD}"/>
    <cellStyle name="Comma 2 2 12" xfId="272" xr:uid="{00000000-0005-0000-0000-000006010000}"/>
    <cellStyle name="Comma 2 2 12 2" xfId="1991" xr:uid="{594AF16A-D680-4F21-9BAE-343C16C32F5E}"/>
    <cellStyle name="Comma 2 2 13" xfId="273" xr:uid="{00000000-0005-0000-0000-000007010000}"/>
    <cellStyle name="Comma 2 2 13 2" xfId="1992" xr:uid="{69BDEE4E-D729-42B9-B5A4-201B398D6663}"/>
    <cellStyle name="Comma 2 2 14" xfId="274" xr:uid="{00000000-0005-0000-0000-000008010000}"/>
    <cellStyle name="Comma 2 2 14 2" xfId="1993" xr:uid="{78F47108-E60B-48CF-9075-7EA7E874BDE3}"/>
    <cellStyle name="Comma 2 2 15" xfId="275" xr:uid="{00000000-0005-0000-0000-000009010000}"/>
    <cellStyle name="Comma 2 2 15 2" xfId="1994" xr:uid="{B98ED2EA-A1AE-4D3A-9427-2265763FC176}"/>
    <cellStyle name="Comma 2 2 16" xfId="276" xr:uid="{00000000-0005-0000-0000-00000A010000}"/>
    <cellStyle name="Comma 2 2 16 2" xfId="1995" xr:uid="{46DB0622-648F-486E-8260-1345A56C7089}"/>
    <cellStyle name="Comma 2 2 17" xfId="277" xr:uid="{00000000-0005-0000-0000-00000B010000}"/>
    <cellStyle name="Comma 2 2 17 2" xfId="1996" xr:uid="{00A573DB-7E3E-4E19-8889-1A22275222E7}"/>
    <cellStyle name="Comma 2 2 18" xfId="278" xr:uid="{00000000-0005-0000-0000-00000C010000}"/>
    <cellStyle name="Comma 2 2 18 2" xfId="1997" xr:uid="{8A914F7D-8501-4E48-9C11-E12A4F6A6A59}"/>
    <cellStyle name="Comma 2 2 19" xfId="279" xr:uid="{00000000-0005-0000-0000-00000D010000}"/>
    <cellStyle name="Comma 2 2 19 2" xfId="1998" xr:uid="{ADC225DE-873C-4CAB-99FE-7A6814ACA7AE}"/>
    <cellStyle name="Comma 2 2 2" xfId="280" xr:uid="{00000000-0005-0000-0000-00000E010000}"/>
    <cellStyle name="Comma 2 2 2 10" xfId="281" xr:uid="{00000000-0005-0000-0000-00000F010000}"/>
    <cellStyle name="Comma 2 2 2 11" xfId="282" xr:uid="{00000000-0005-0000-0000-000010010000}"/>
    <cellStyle name="Comma 2 2 2 12" xfId="283" xr:uid="{00000000-0005-0000-0000-000011010000}"/>
    <cellStyle name="Comma 2 2 2 13" xfId="284" xr:uid="{00000000-0005-0000-0000-000012010000}"/>
    <cellStyle name="Comma 2 2 2 14" xfId="285" xr:uid="{00000000-0005-0000-0000-000013010000}"/>
    <cellStyle name="Comma 2 2 2 15" xfId="286" xr:uid="{00000000-0005-0000-0000-000014010000}"/>
    <cellStyle name="Comma 2 2 2 16" xfId="287" xr:uid="{00000000-0005-0000-0000-000015010000}"/>
    <cellStyle name="Comma 2 2 2 17" xfId="288" xr:uid="{00000000-0005-0000-0000-000016010000}"/>
    <cellStyle name="Comma 2 2 2 18" xfId="289" xr:uid="{00000000-0005-0000-0000-000017010000}"/>
    <cellStyle name="Comma 2 2 2 19" xfId="1999" xr:uid="{C590FFB5-8CB3-4C5F-A4EE-DF93B754DA92}"/>
    <cellStyle name="Comma 2 2 2 2" xfId="290" xr:uid="{00000000-0005-0000-0000-000018010000}"/>
    <cellStyle name="Comma 2 2 2 2 2" xfId="291" xr:uid="{00000000-0005-0000-0000-000019010000}"/>
    <cellStyle name="Comma 2 2 2 2 2 2" xfId="292" xr:uid="{00000000-0005-0000-0000-00001A010000}"/>
    <cellStyle name="Comma 2 2 2 2 2 3" xfId="293" xr:uid="{00000000-0005-0000-0000-00001B010000}"/>
    <cellStyle name="Comma 2 2 2 2 2 4" xfId="294" xr:uid="{00000000-0005-0000-0000-00001C010000}"/>
    <cellStyle name="Comma 2 2 2 2 2 5" xfId="295" xr:uid="{00000000-0005-0000-0000-00001D010000}"/>
    <cellStyle name="Comma 2 2 2 2 2 6" xfId="296" xr:uid="{00000000-0005-0000-0000-00001E010000}"/>
    <cellStyle name="Comma 2 2 2 2 2 7" xfId="297" xr:uid="{00000000-0005-0000-0000-00001F010000}"/>
    <cellStyle name="Comma 2 2 2 2 2 8" xfId="2000" xr:uid="{EA404072-C049-4E00-A29F-8F17F3048134}"/>
    <cellStyle name="Comma 2 2 2 2 3" xfId="298" xr:uid="{00000000-0005-0000-0000-000020010000}"/>
    <cellStyle name="Comma 2 2 2 2 4" xfId="299" xr:uid="{00000000-0005-0000-0000-000021010000}"/>
    <cellStyle name="Comma 2 2 2 2 4 2" xfId="2001" xr:uid="{AD64E309-BA46-4723-9169-5B5CDA76FBAF}"/>
    <cellStyle name="Comma 2 2 2 2 5" xfId="300" xr:uid="{00000000-0005-0000-0000-000022010000}"/>
    <cellStyle name="Comma 2 2 2 2 5 2" xfId="2002" xr:uid="{CA56E4E0-A381-4D36-BE9A-99D7BB82E474}"/>
    <cellStyle name="Comma 2 2 2 2 6" xfId="301" xr:uid="{00000000-0005-0000-0000-000023010000}"/>
    <cellStyle name="Comma 2 2 2 2 6 2" xfId="2003" xr:uid="{B0D22BC4-8EF9-4C87-8226-03316C7B8ED7}"/>
    <cellStyle name="Comma 2 2 2 2 7" xfId="302" xr:uid="{00000000-0005-0000-0000-000024010000}"/>
    <cellStyle name="Comma 2 2 2 2 7 2" xfId="2004" xr:uid="{F279AECE-C57C-4C47-9EA3-0F7C52AA5758}"/>
    <cellStyle name="Comma 2 2 2 2 8" xfId="303" xr:uid="{00000000-0005-0000-0000-000025010000}"/>
    <cellStyle name="Comma 2 2 2 2 8 2" xfId="2005" xr:uid="{07F26F3F-38CF-405A-948D-50E2A50DB5FC}"/>
    <cellStyle name="Comma 2 2 2 3" xfId="304" xr:uid="{00000000-0005-0000-0000-000026010000}"/>
    <cellStyle name="Comma 2 2 2 4" xfId="305" xr:uid="{00000000-0005-0000-0000-000027010000}"/>
    <cellStyle name="Comma 2 2 2 5" xfId="306" xr:uid="{00000000-0005-0000-0000-000028010000}"/>
    <cellStyle name="Comma 2 2 2 5 2" xfId="307" xr:uid="{00000000-0005-0000-0000-000029010000}"/>
    <cellStyle name="Comma 2 2 2 5 2 2" xfId="2006" xr:uid="{FDD1C424-59C5-459C-929A-32F2BE833F33}"/>
    <cellStyle name="Comma 2 2 2 5 3" xfId="308" xr:uid="{00000000-0005-0000-0000-00002A010000}"/>
    <cellStyle name="Comma 2 2 2 5 3 2" xfId="2007" xr:uid="{D7B7EB99-DFD3-49D7-BCAA-932B5A6DDEB2}"/>
    <cellStyle name="Comma 2 2 2 5 4" xfId="309" xr:uid="{00000000-0005-0000-0000-00002B010000}"/>
    <cellStyle name="Comma 2 2 2 5 4 2" xfId="2008" xr:uid="{25EA52BB-FAE1-461F-87ED-7694411413D1}"/>
    <cellStyle name="Comma 2 2 2 5 5" xfId="310" xr:uid="{00000000-0005-0000-0000-00002C010000}"/>
    <cellStyle name="Comma 2 2 2 5 5 2" xfId="2009" xr:uid="{24DA45EE-14E0-4A3A-A8BE-8A36F0757D7F}"/>
    <cellStyle name="Comma 2 2 2 5 6" xfId="311" xr:uid="{00000000-0005-0000-0000-00002D010000}"/>
    <cellStyle name="Comma 2 2 2 5 6 2" xfId="2010" xr:uid="{9901C85D-8E6E-41A2-A289-1076D3189E70}"/>
    <cellStyle name="Comma 2 2 2 5 7" xfId="312" xr:uid="{00000000-0005-0000-0000-00002E010000}"/>
    <cellStyle name="Comma 2 2 2 5 7 2" xfId="2011" xr:uid="{C7805948-05A1-46F8-8C34-5C0D147C725E}"/>
    <cellStyle name="Comma 2 2 2 6" xfId="313" xr:uid="{00000000-0005-0000-0000-00002F010000}"/>
    <cellStyle name="Comma 2 2 2 7" xfId="314" xr:uid="{00000000-0005-0000-0000-000030010000}"/>
    <cellStyle name="Comma 2 2 2 8" xfId="315" xr:uid="{00000000-0005-0000-0000-000031010000}"/>
    <cellStyle name="Comma 2 2 2 9" xfId="316" xr:uid="{00000000-0005-0000-0000-000032010000}"/>
    <cellStyle name="Comma 2 2 20" xfId="1988" xr:uid="{14C78A75-5082-4349-A6CC-9CA7E1C377AA}"/>
    <cellStyle name="Comma 2 2 3" xfId="317" xr:uid="{00000000-0005-0000-0000-000033010000}"/>
    <cellStyle name="Comma 2 2 4" xfId="318" xr:uid="{00000000-0005-0000-0000-000034010000}"/>
    <cellStyle name="Comma 2 2 4 2" xfId="319" xr:uid="{00000000-0005-0000-0000-000035010000}"/>
    <cellStyle name="Comma 2 2 4 2 2" xfId="320" xr:uid="{00000000-0005-0000-0000-000036010000}"/>
    <cellStyle name="Comma 2 2 4 2 2 2" xfId="2014" xr:uid="{F5E32C6D-E11D-437F-A78B-DF3859AD3C62}"/>
    <cellStyle name="Comma 2 2 4 2 3" xfId="321" xr:uid="{00000000-0005-0000-0000-000037010000}"/>
    <cellStyle name="Comma 2 2 4 2 3 2" xfId="2015" xr:uid="{9F25A5E3-B1ED-4B61-A062-30A27C036044}"/>
    <cellStyle name="Comma 2 2 4 2 4" xfId="322" xr:uid="{00000000-0005-0000-0000-000038010000}"/>
    <cellStyle name="Comma 2 2 4 2 4 2" xfId="2016" xr:uid="{3D3AAEE6-CAB1-45A3-A5DF-DB5E1844CB37}"/>
    <cellStyle name="Comma 2 2 4 2 5" xfId="323" xr:uid="{00000000-0005-0000-0000-000039010000}"/>
    <cellStyle name="Comma 2 2 4 2 5 2" xfId="2017" xr:uid="{6DFD11FB-85AF-4464-8BF9-0DD50EB97AA5}"/>
    <cellStyle name="Comma 2 2 4 2 6" xfId="324" xr:uid="{00000000-0005-0000-0000-00003A010000}"/>
    <cellStyle name="Comma 2 2 4 2 6 2" xfId="2018" xr:uid="{183B33CC-F61E-4598-BA8F-BEA6D7A30DFA}"/>
    <cellStyle name="Comma 2 2 4 2 7" xfId="325" xr:uid="{00000000-0005-0000-0000-00003B010000}"/>
    <cellStyle name="Comma 2 2 4 2 7 2" xfId="2019" xr:uid="{9AE0C752-8965-4F9E-8DC5-30610D7F40DA}"/>
    <cellStyle name="Comma 2 2 4 2 8" xfId="2013" xr:uid="{83E2A89E-937A-4853-8986-6562958EDC32}"/>
    <cellStyle name="Comma 2 2 4 3" xfId="326" xr:uid="{00000000-0005-0000-0000-00003C010000}"/>
    <cellStyle name="Comma 2 2 4 3 2" xfId="2020" xr:uid="{7F5B6EAC-10CD-4AA2-A14A-93E0C4D0E856}"/>
    <cellStyle name="Comma 2 2 4 4" xfId="327" xr:uid="{00000000-0005-0000-0000-00003D010000}"/>
    <cellStyle name="Comma 2 2 4 4 2" xfId="2021" xr:uid="{F0F771F6-5C1C-4AD6-9B52-799060E54D4C}"/>
    <cellStyle name="Comma 2 2 4 5" xfId="328" xr:uid="{00000000-0005-0000-0000-00003E010000}"/>
    <cellStyle name="Comma 2 2 4 5 2" xfId="2022" xr:uid="{8E54CF5E-2661-4BF0-BB7A-5E19B5C3FAA4}"/>
    <cellStyle name="Comma 2 2 4 6" xfId="329" xr:uid="{00000000-0005-0000-0000-00003F010000}"/>
    <cellStyle name="Comma 2 2 4 6 2" xfId="2023" xr:uid="{936F0C71-127E-4319-B308-073F63C7C6D8}"/>
    <cellStyle name="Comma 2 2 4 7" xfId="330" xr:uid="{00000000-0005-0000-0000-000040010000}"/>
    <cellStyle name="Comma 2 2 4 7 2" xfId="2024" xr:uid="{457B8EE6-BD41-40E4-9F65-DB71239BCF5D}"/>
    <cellStyle name="Comma 2 2 4 8" xfId="331" xr:uid="{00000000-0005-0000-0000-000041010000}"/>
    <cellStyle name="Comma 2 2 4 8 2" xfId="2025" xr:uid="{864C1DDA-D490-4179-AA74-9BD69A727C3F}"/>
    <cellStyle name="Comma 2 2 4 9" xfId="2012" xr:uid="{A1E55D41-01AA-4D83-A892-3CB1D678ADB2}"/>
    <cellStyle name="Comma 2 2 5" xfId="332" xr:uid="{00000000-0005-0000-0000-000042010000}"/>
    <cellStyle name="Comma 2 2 5 2" xfId="2026" xr:uid="{D139D9DD-3B42-4824-8A29-C1CFDDEDD430}"/>
    <cellStyle name="Comma 2 2 6" xfId="333" xr:uid="{00000000-0005-0000-0000-000043010000}"/>
    <cellStyle name="Comma 2 2 6 2" xfId="334" xr:uid="{00000000-0005-0000-0000-000044010000}"/>
    <cellStyle name="Comma 2 2 6 2 2" xfId="2028" xr:uid="{7C642624-5EF7-4516-B68B-BCBD28B1DDB3}"/>
    <cellStyle name="Comma 2 2 6 3" xfId="335" xr:uid="{00000000-0005-0000-0000-000045010000}"/>
    <cellStyle name="Comma 2 2 6 3 2" xfId="2029" xr:uid="{6234C715-313D-4A75-AEE3-DDCDC3BF4F36}"/>
    <cellStyle name="Comma 2 2 6 4" xfId="336" xr:uid="{00000000-0005-0000-0000-000046010000}"/>
    <cellStyle name="Comma 2 2 6 4 2" xfId="2030" xr:uid="{D84C5D49-00D5-4B68-B878-7C70D1E793DC}"/>
    <cellStyle name="Comma 2 2 6 5" xfId="337" xr:uid="{00000000-0005-0000-0000-000047010000}"/>
    <cellStyle name="Comma 2 2 6 5 2" xfId="2031" xr:uid="{D0154E14-4553-4B01-B377-44F0E0B8239D}"/>
    <cellStyle name="Comma 2 2 6 6" xfId="338" xr:uid="{00000000-0005-0000-0000-000048010000}"/>
    <cellStyle name="Comma 2 2 6 6 2" xfId="2032" xr:uid="{EE4AFDF7-D39E-4DE5-BBE6-9D2497EA0AE8}"/>
    <cellStyle name="Comma 2 2 6 7" xfId="339" xr:uid="{00000000-0005-0000-0000-000049010000}"/>
    <cellStyle name="Comma 2 2 6 7 2" xfId="2033" xr:uid="{DB8C9223-A86B-4014-8E0F-CDFB5D12DB0B}"/>
    <cellStyle name="Comma 2 2 6 8" xfId="2027" xr:uid="{AC7DC620-7F48-4EBD-85C2-85FA91FDB481}"/>
    <cellStyle name="Comma 2 2 7" xfId="340" xr:uid="{00000000-0005-0000-0000-00004A010000}"/>
    <cellStyle name="Comma 2 2 7 2" xfId="2034" xr:uid="{D372CCE3-6083-4E53-A30C-21838C4795DF}"/>
    <cellStyle name="Comma 2 2 8" xfId="341" xr:uid="{00000000-0005-0000-0000-00004B010000}"/>
    <cellStyle name="Comma 2 2 8 2" xfId="2035" xr:uid="{0FFE1437-9D65-4CE4-8AF2-A09F2862428F}"/>
    <cellStyle name="Comma 2 2 9" xfId="342" xr:uid="{00000000-0005-0000-0000-00004C010000}"/>
    <cellStyle name="Comma 2 2 9 2" xfId="2036" xr:uid="{C55BC292-5342-455C-85CD-1FC7C3CFAD7E}"/>
    <cellStyle name="Comma 2 2_Opex Input" xfId="343" xr:uid="{00000000-0005-0000-0000-00004D010000}"/>
    <cellStyle name="Comma 2 20" xfId="344" xr:uid="{00000000-0005-0000-0000-00004E010000}"/>
    <cellStyle name="Comma 2 20 2" xfId="2037" xr:uid="{E7058D38-BA37-436F-A958-5F617ABF4C1E}"/>
    <cellStyle name="Comma 2 21" xfId="1977" xr:uid="{472CFEE2-6507-478B-8310-4F3FAA73378A}"/>
    <cellStyle name="Comma 2 3" xfId="345" xr:uid="{00000000-0005-0000-0000-00004F010000}"/>
    <cellStyle name="Comma 2 3 2" xfId="346" xr:uid="{00000000-0005-0000-0000-000050010000}"/>
    <cellStyle name="Comma 2 3 2 2" xfId="347" xr:uid="{00000000-0005-0000-0000-000051010000}"/>
    <cellStyle name="Comma 2 3 2 2 2" xfId="2040" xr:uid="{6F41B73C-B0ED-4E4C-85E8-ACC20D4FECFD}"/>
    <cellStyle name="Comma 2 3 2 3" xfId="2039" xr:uid="{45352C0B-7924-441A-B289-131673FEB3E2}"/>
    <cellStyle name="Comma 2 3 3" xfId="348" xr:uid="{00000000-0005-0000-0000-000052010000}"/>
    <cellStyle name="Comma 2 3 3 2" xfId="2041" xr:uid="{8DE405DB-0C54-49C3-BCB2-E0A6593CD318}"/>
    <cellStyle name="Comma 2 3 4" xfId="2038" xr:uid="{36714E2A-3FD6-4825-B633-DE839B105BB5}"/>
    <cellStyle name="Comma 2 4" xfId="349" xr:uid="{00000000-0005-0000-0000-000053010000}"/>
    <cellStyle name="Comma 2 4 2" xfId="2042" xr:uid="{C3C4A5B6-3383-4EDA-B82B-60D59492C18B}"/>
    <cellStyle name="Comma 2 5" xfId="350" xr:uid="{00000000-0005-0000-0000-000054010000}"/>
    <cellStyle name="Comma 2 5 2" xfId="2043" xr:uid="{4193EE49-7B53-4F2B-A95F-A8C3649625D0}"/>
    <cellStyle name="Comma 2 6" xfId="351" xr:uid="{00000000-0005-0000-0000-000055010000}"/>
    <cellStyle name="Comma 2 6 2" xfId="2044" xr:uid="{678BEB08-D073-4857-9F95-96D70C341026}"/>
    <cellStyle name="Comma 2 7" xfId="352" xr:uid="{00000000-0005-0000-0000-000056010000}"/>
    <cellStyle name="Comma 2 7 2" xfId="2045" xr:uid="{75FC7851-9DF1-4877-B176-95D8CB0E4799}"/>
    <cellStyle name="Comma 2 8" xfId="353" xr:uid="{00000000-0005-0000-0000-000057010000}"/>
    <cellStyle name="Comma 2 8 2" xfId="2046" xr:uid="{F6476BDB-4292-4563-95D2-B6F5AEB8F466}"/>
    <cellStyle name="Comma 2 9" xfId="354" xr:uid="{00000000-0005-0000-0000-000058010000}"/>
    <cellStyle name="Comma 2 9 2" xfId="2047" xr:uid="{2D0B6C37-FBF7-438C-87ED-73C22FB29CE6}"/>
    <cellStyle name="Comma 3" xfId="355" xr:uid="{00000000-0005-0000-0000-000059010000}"/>
    <cellStyle name="Comma 3 2" xfId="356" xr:uid="{00000000-0005-0000-0000-00005A010000}"/>
    <cellStyle name="Comma 3 2 2" xfId="357" xr:uid="{00000000-0005-0000-0000-00005B010000}"/>
    <cellStyle name="Comma 3 2 2 2" xfId="2050" xr:uid="{062FB8DA-1CFD-4257-A77F-A48EE89962A7}"/>
    <cellStyle name="Comma 3 2 3" xfId="358" xr:uid="{00000000-0005-0000-0000-00005C010000}"/>
    <cellStyle name="Comma 3 2 3 2" xfId="2051" xr:uid="{AABBD7CC-C8F9-47B7-8F98-A95ECC009B61}"/>
    <cellStyle name="Comma 3 2 4" xfId="2049" xr:uid="{5D84CE89-1F90-4D8C-9455-DD9E980746AA}"/>
    <cellStyle name="Comma 3 3" xfId="359" xr:uid="{00000000-0005-0000-0000-00005D010000}"/>
    <cellStyle name="Comma 3 3 2" xfId="2052" xr:uid="{99AC7702-30CF-4D89-85A9-1A833CF897F1}"/>
    <cellStyle name="Comma 3 4" xfId="2048" xr:uid="{EE926FEE-610D-4D66-AA12-69A7A5A38203}"/>
    <cellStyle name="Comma 3_Asset Health Themes (2)" xfId="360" xr:uid="{00000000-0005-0000-0000-00005E010000}"/>
    <cellStyle name="Comma 4" xfId="361" xr:uid="{00000000-0005-0000-0000-00005F010000}"/>
    <cellStyle name="Comma 4 2" xfId="2053" xr:uid="{F6D9FE43-9DF8-4FE7-83CA-29FD6D4D82EB}"/>
    <cellStyle name="Comma 5" xfId="362" xr:uid="{00000000-0005-0000-0000-000060010000}"/>
    <cellStyle name="Comma 5 2" xfId="2054" xr:uid="{31253E87-0B01-4441-A166-8719D7F606AF}"/>
    <cellStyle name="Comma 6" xfId="29" xr:uid="{00000000-0005-0000-0000-000061010000}"/>
    <cellStyle name="Comma 6 2" xfId="1971" xr:uid="{3D7B0821-E3FA-4C7D-80A4-F1665C890DFE}"/>
    <cellStyle name="Comma 7" xfId="363" xr:uid="{00000000-0005-0000-0000-000062010000}"/>
    <cellStyle name="Comma 7 2" xfId="2055" xr:uid="{6C5D09DA-4D4E-4A9E-8B9D-AA0E9A8AEA9B}"/>
    <cellStyle name="Comma 8" xfId="364" xr:uid="{00000000-0005-0000-0000-000063010000}"/>
    <cellStyle name="Comma 8 2" xfId="365" xr:uid="{00000000-0005-0000-0000-000064010000}"/>
    <cellStyle name="Comma 8 2 2" xfId="2057" xr:uid="{EE2FE53A-55FF-4BF2-A6D8-82B4665B29AE}"/>
    <cellStyle name="Comma 8 3" xfId="366" xr:uid="{00000000-0005-0000-0000-000065010000}"/>
    <cellStyle name="Comma 8 3 2" xfId="2058" xr:uid="{AD93E471-BA8D-4FDF-9706-726B53799832}"/>
    <cellStyle name="Comma 8 4" xfId="2056" xr:uid="{79294AA9-33CC-419A-B202-E7E9C75A6E42}"/>
    <cellStyle name="Comma 9" xfId="367" xr:uid="{00000000-0005-0000-0000-000066010000}"/>
    <cellStyle name="Comma 9 2" xfId="2059" xr:uid="{60078CD5-6BF6-4090-90D2-2B8AD3EF3A89}"/>
    <cellStyle name="Comment" xfId="22" xr:uid="{00000000-0005-0000-0000-000067010000}"/>
    <cellStyle name="Date" xfId="368" xr:uid="{00000000-0005-0000-0000-000068010000}"/>
    <cellStyle name="Date 2" xfId="369" xr:uid="{00000000-0005-0000-0000-000069010000}"/>
    <cellStyle name="Date_0910 GSO Capex RRP - Final (Detail) v2 220710" xfId="370" xr:uid="{00000000-0005-0000-0000-00006A010000}"/>
    <cellStyle name="Dezimal [0]_Compiling Utility Macros" xfId="371" xr:uid="{00000000-0005-0000-0000-00006B010000}"/>
    <cellStyle name="Dezimal_Compiling Utility Macros" xfId="372" xr:uid="{00000000-0005-0000-0000-00006C010000}"/>
    <cellStyle name="Emphasis 1" xfId="373" xr:uid="{00000000-0005-0000-0000-00006D010000}"/>
    <cellStyle name="Emphasis 2" xfId="374" xr:uid="{00000000-0005-0000-0000-00006E010000}"/>
    <cellStyle name="Emphasis 3" xfId="375" xr:uid="{00000000-0005-0000-0000-00006F010000}"/>
    <cellStyle name="Euro" xfId="376" xr:uid="{00000000-0005-0000-0000-000070010000}"/>
    <cellStyle name="Explanatory Text 2" xfId="377" xr:uid="{00000000-0005-0000-0000-000071010000}"/>
    <cellStyle name="Explanatory Text 3" xfId="378" xr:uid="{00000000-0005-0000-0000-000072010000}"/>
    <cellStyle name="Good 2" xfId="379" xr:uid="{00000000-0005-0000-0000-000073010000}"/>
    <cellStyle name="Good 3" xfId="380" xr:uid="{00000000-0005-0000-0000-000074010000}"/>
    <cellStyle name="GreyOrWhite" xfId="381" xr:uid="{00000000-0005-0000-0000-000075010000}"/>
    <cellStyle name="GreyOrWhite 2" xfId="382" xr:uid="{00000000-0005-0000-0000-000076010000}"/>
    <cellStyle name="GreyOrWhite 2 2" xfId="383" xr:uid="{00000000-0005-0000-0000-000077010000}"/>
    <cellStyle name="GreyOrWhite 2 3" xfId="384" xr:uid="{00000000-0005-0000-0000-000078010000}"/>
    <cellStyle name="GreyOrWhite 2 4" xfId="385" xr:uid="{00000000-0005-0000-0000-000079010000}"/>
    <cellStyle name="GreyOrWhite 2 5" xfId="386" xr:uid="{00000000-0005-0000-0000-00007A010000}"/>
    <cellStyle name="GreyOrWhite 2 6" xfId="387" xr:uid="{00000000-0005-0000-0000-00007B010000}"/>
    <cellStyle name="GreyOrWhite 2 7" xfId="388" xr:uid="{00000000-0005-0000-0000-00007C010000}"/>
    <cellStyle name="GreyOrWhite 2 8" xfId="389" xr:uid="{00000000-0005-0000-0000-00007D010000}"/>
    <cellStyle name="Heading 1 2" xfId="390" xr:uid="{00000000-0005-0000-0000-00007E010000}"/>
    <cellStyle name="Heading 1 3" xfId="391" xr:uid="{00000000-0005-0000-0000-00007F010000}"/>
    <cellStyle name="Heading 2 2" xfId="392" xr:uid="{00000000-0005-0000-0000-000080010000}"/>
    <cellStyle name="Heading 2 3" xfId="393" xr:uid="{00000000-0005-0000-0000-000081010000}"/>
    <cellStyle name="Heading 3 2" xfId="394" xr:uid="{00000000-0005-0000-0000-000082010000}"/>
    <cellStyle name="Heading 3 3" xfId="395" xr:uid="{00000000-0005-0000-0000-000083010000}"/>
    <cellStyle name="Heading 4 2" xfId="396" xr:uid="{00000000-0005-0000-0000-000084010000}"/>
    <cellStyle name="Heading 4 3" xfId="397" xr:uid="{00000000-0005-0000-0000-000085010000}"/>
    <cellStyle name="Hyperlink" xfId="9" builtinId="8"/>
    <cellStyle name="Hyperlink 2" xfId="36" xr:uid="{00000000-0005-0000-0000-000087010000}"/>
    <cellStyle name="Hyperlink 6" xfId="14" xr:uid="{00000000-0005-0000-0000-000088010000}"/>
    <cellStyle name="Hyperlink 6 3" xfId="1350" xr:uid="{00000000-0005-0000-0000-000089010000}"/>
    <cellStyle name="Input 2" xfId="398" xr:uid="{00000000-0005-0000-0000-00008A010000}"/>
    <cellStyle name="Input 2 10" xfId="2060" xr:uid="{792A036A-5516-44D6-AE57-55475439B6F8}"/>
    <cellStyle name="Input 2 2" xfId="1366" xr:uid="{00000000-0005-0000-0000-00008B010000}"/>
    <cellStyle name="Input 2 2 2" xfId="2189" xr:uid="{3A168A37-934B-4C7D-8BB6-0C7222ACAD73}"/>
    <cellStyle name="Input 2 3" xfId="1364" xr:uid="{00000000-0005-0000-0000-00008C010000}"/>
    <cellStyle name="Input 2 3 2" xfId="2187" xr:uid="{81CC2E53-2075-4B57-9594-ECC53F230FEE}"/>
    <cellStyle name="Input 2 4" xfId="1360" xr:uid="{00000000-0005-0000-0000-00008D010000}"/>
    <cellStyle name="Input 2 4 2" xfId="2183" xr:uid="{1923BB08-812C-4370-AFA0-4E55523EF485}"/>
    <cellStyle name="Input 2 5" xfId="1371" xr:uid="{00000000-0005-0000-0000-00008E010000}"/>
    <cellStyle name="Input 2 5 2" xfId="2194" xr:uid="{E082C190-23D9-4E82-84A3-D47DA0D3AD58}"/>
    <cellStyle name="Input 2 6" xfId="1362" xr:uid="{00000000-0005-0000-0000-00008F010000}"/>
    <cellStyle name="Input 2 6 2" xfId="2185" xr:uid="{6D07D974-456A-4FCC-B04D-5AA0EE824E9D}"/>
    <cellStyle name="Input 2 7" xfId="1369" xr:uid="{00000000-0005-0000-0000-000090010000}"/>
    <cellStyle name="Input 2 7 2" xfId="2192" xr:uid="{520D724A-604B-43FC-BD22-495CBBB1DFF6}"/>
    <cellStyle name="Input 2 8" xfId="1935" xr:uid="{00000000-0005-0000-0000-000091010000}"/>
    <cellStyle name="Input 2 8 2" xfId="2701" xr:uid="{EC83D2BA-AC63-45CF-93C5-AD708C6AB0CF}"/>
    <cellStyle name="Input 2 9" xfId="1932" xr:uid="{00000000-0005-0000-0000-000092010000}"/>
    <cellStyle name="Input 2 9 2" xfId="2698" xr:uid="{AEB6FDC6-AD0B-4BA6-BE99-752C4A539DCB}"/>
    <cellStyle name="Input 3" xfId="399" xr:uid="{00000000-0005-0000-0000-000093010000}"/>
    <cellStyle name="Input 3 10" xfId="2061" xr:uid="{C0370749-3748-4D54-B3B0-CEE736A7A511}"/>
    <cellStyle name="Input 3 2" xfId="1367" xr:uid="{00000000-0005-0000-0000-000094010000}"/>
    <cellStyle name="Input 3 2 2" xfId="2190" xr:uid="{E715D175-7A96-4B2B-9B6A-87C8BDC26634}"/>
    <cellStyle name="Input 3 3" xfId="1365" xr:uid="{00000000-0005-0000-0000-000095010000}"/>
    <cellStyle name="Input 3 3 2" xfId="2188" xr:uid="{8172C11D-82DA-4F3A-B6C5-445C15BBED5B}"/>
    <cellStyle name="Input 3 4" xfId="1361" xr:uid="{00000000-0005-0000-0000-000096010000}"/>
    <cellStyle name="Input 3 4 2" xfId="2184" xr:uid="{275C7EF8-DB35-415A-B00D-7F7B34B6596C}"/>
    <cellStyle name="Input 3 5" xfId="1370" xr:uid="{00000000-0005-0000-0000-000097010000}"/>
    <cellStyle name="Input 3 5 2" xfId="2193" xr:uid="{2067D81D-B2E2-4006-9803-57C1AD310C24}"/>
    <cellStyle name="Input 3 6" xfId="1363" xr:uid="{00000000-0005-0000-0000-000098010000}"/>
    <cellStyle name="Input 3 6 2" xfId="2186" xr:uid="{5F8676F4-3047-4FFD-BC6E-32C87108C9FC}"/>
    <cellStyle name="Input 3 7" xfId="1368" xr:uid="{00000000-0005-0000-0000-000099010000}"/>
    <cellStyle name="Input 3 7 2" xfId="2191" xr:uid="{458E41F4-EFD5-4324-9639-9504D409A8AB}"/>
    <cellStyle name="Input 3 8" xfId="1934" xr:uid="{00000000-0005-0000-0000-00009A010000}"/>
    <cellStyle name="Input 3 8 2" xfId="2700" xr:uid="{201F9BEB-F03C-4412-A486-6801602389CB}"/>
    <cellStyle name="Input 3 9" xfId="1933" xr:uid="{00000000-0005-0000-0000-00009B010000}"/>
    <cellStyle name="Input 3 9 2" xfId="2699" xr:uid="{6A5BC0ED-6257-49E9-93DE-DEE4E841058C}"/>
    <cellStyle name="InputData" xfId="400" xr:uid="{00000000-0005-0000-0000-00009C010000}"/>
    <cellStyle name="Level 1" xfId="19" xr:uid="{00000000-0005-0000-0000-00009D010000}"/>
    <cellStyle name="Level 2" xfId="20" xr:uid="{00000000-0005-0000-0000-00009E010000}"/>
    <cellStyle name="Level 3" xfId="21" xr:uid="{00000000-0005-0000-0000-00009F010000}"/>
    <cellStyle name="Level 4" xfId="18" xr:uid="{00000000-0005-0000-0000-0000A0010000}"/>
    <cellStyle name="Linked Cell 2" xfId="401" xr:uid="{00000000-0005-0000-0000-0000A1010000}"/>
    <cellStyle name="Linked Cell 3" xfId="402" xr:uid="{00000000-0005-0000-0000-0000A2010000}"/>
    <cellStyle name="Main Heading" xfId="403" xr:uid="{00000000-0005-0000-0000-0000A3010000}"/>
    <cellStyle name="Neutral 2" xfId="404" xr:uid="{00000000-0005-0000-0000-0000A4010000}"/>
    <cellStyle name="Neutral 3" xfId="405" xr:uid="{00000000-0005-0000-0000-0000A5010000}"/>
    <cellStyle name="Normal" xfId="0" builtinId="0"/>
    <cellStyle name="Normal 10" xfId="406" xr:uid="{00000000-0005-0000-0000-0000A7010000}"/>
    <cellStyle name="Normal 11" xfId="407" xr:uid="{00000000-0005-0000-0000-0000A8010000}"/>
    <cellStyle name="Normal 11 2" xfId="16" xr:uid="{00000000-0005-0000-0000-0000A9010000}"/>
    <cellStyle name="Normal 11 2 2" xfId="408" xr:uid="{00000000-0005-0000-0000-0000AA010000}"/>
    <cellStyle name="Normal 11 2 25" xfId="1349" xr:uid="{00000000-0005-0000-0000-0000AB010000}"/>
    <cellStyle name="Normal 12" xfId="409" xr:uid="{00000000-0005-0000-0000-0000AC010000}"/>
    <cellStyle name="Normal 12 2" xfId="410" xr:uid="{00000000-0005-0000-0000-0000AD010000}"/>
    <cellStyle name="Normal 13" xfId="411" xr:uid="{00000000-0005-0000-0000-0000AE010000}"/>
    <cellStyle name="Normal 13 2" xfId="30" xr:uid="{00000000-0005-0000-0000-0000AF010000}"/>
    <cellStyle name="Normal 13 2 10" xfId="1321" xr:uid="{00000000-0005-0000-0000-0000B0010000}"/>
    <cellStyle name="Normal 13 2 2 2" xfId="8" xr:uid="{00000000-0005-0000-0000-0000B1010000}"/>
    <cellStyle name="Normal 14" xfId="27" xr:uid="{00000000-0005-0000-0000-0000B2010000}"/>
    <cellStyle name="Normal 14 2 10" xfId="1322" xr:uid="{00000000-0005-0000-0000-0000B3010000}"/>
    <cellStyle name="Normal 14 2_List of table gaps" xfId="3" xr:uid="{00000000-0005-0000-0000-0000B4010000}"/>
    <cellStyle name="Normal 15" xfId="25" xr:uid="{00000000-0005-0000-0000-0000B5010000}"/>
    <cellStyle name="Normal 16" xfId="412" xr:uid="{00000000-0005-0000-0000-0000B6010000}"/>
    <cellStyle name="Normal 17" xfId="413" xr:uid="{00000000-0005-0000-0000-0000B7010000}"/>
    <cellStyle name="Normal 18" xfId="414" xr:uid="{00000000-0005-0000-0000-0000B8010000}"/>
    <cellStyle name="Normal 19" xfId="415" xr:uid="{00000000-0005-0000-0000-0000B9010000}"/>
    <cellStyle name="Normal 2" xfId="416" xr:uid="{00000000-0005-0000-0000-0000BA010000}"/>
    <cellStyle name="Normal 2 10" xfId="417" xr:uid="{00000000-0005-0000-0000-0000BB010000}"/>
    <cellStyle name="Normal 2 11" xfId="418" xr:uid="{00000000-0005-0000-0000-0000BC010000}"/>
    <cellStyle name="Normal 2 12" xfId="419" xr:uid="{00000000-0005-0000-0000-0000BD010000}"/>
    <cellStyle name="Normal 2 13" xfId="420" xr:uid="{00000000-0005-0000-0000-0000BE010000}"/>
    <cellStyle name="Normal 2 14" xfId="421" xr:uid="{00000000-0005-0000-0000-0000BF010000}"/>
    <cellStyle name="Normal 2 15" xfId="422" xr:uid="{00000000-0005-0000-0000-0000C0010000}"/>
    <cellStyle name="Normal 2 16" xfId="423" xr:uid="{00000000-0005-0000-0000-0000C1010000}"/>
    <cellStyle name="Normal 2 17" xfId="424" xr:uid="{00000000-0005-0000-0000-0000C2010000}"/>
    <cellStyle name="Normal 2 18" xfId="425" xr:uid="{00000000-0005-0000-0000-0000C3010000}"/>
    <cellStyle name="Normal 2 19" xfId="426" xr:uid="{00000000-0005-0000-0000-0000C4010000}"/>
    <cellStyle name="Normal 2 2" xfId="427" xr:uid="{00000000-0005-0000-0000-0000C5010000}"/>
    <cellStyle name="Normal 2 2 10" xfId="428" xr:uid="{00000000-0005-0000-0000-0000C6010000}"/>
    <cellStyle name="Normal 2 2 11" xfId="429" xr:uid="{00000000-0005-0000-0000-0000C7010000}"/>
    <cellStyle name="Normal 2 2 11 2" xfId="430" xr:uid="{00000000-0005-0000-0000-0000C8010000}"/>
    <cellStyle name="Normal 2 2 11 2 2" xfId="431" xr:uid="{00000000-0005-0000-0000-0000C9010000}"/>
    <cellStyle name="Normal 2 2 11 2 3" xfId="432" xr:uid="{00000000-0005-0000-0000-0000CA010000}"/>
    <cellStyle name="Normal 2 2 11 2 4" xfId="433" xr:uid="{00000000-0005-0000-0000-0000CB010000}"/>
    <cellStyle name="Normal 2 2 11 2 5" xfId="434" xr:uid="{00000000-0005-0000-0000-0000CC010000}"/>
    <cellStyle name="Normal 2 2 11 2 6" xfId="435" xr:uid="{00000000-0005-0000-0000-0000CD010000}"/>
    <cellStyle name="Normal 2 2 11 2 7" xfId="436" xr:uid="{00000000-0005-0000-0000-0000CE010000}"/>
    <cellStyle name="Normal 2 2 11 3" xfId="437" xr:uid="{00000000-0005-0000-0000-0000CF010000}"/>
    <cellStyle name="Normal 2 2 11 4" xfId="438" xr:uid="{00000000-0005-0000-0000-0000D0010000}"/>
    <cellStyle name="Normal 2 2 11 5" xfId="439" xr:uid="{00000000-0005-0000-0000-0000D1010000}"/>
    <cellStyle name="Normal 2 2 11 6" xfId="440" xr:uid="{00000000-0005-0000-0000-0000D2010000}"/>
    <cellStyle name="Normal 2 2 11 7" xfId="441" xr:uid="{00000000-0005-0000-0000-0000D3010000}"/>
    <cellStyle name="Normal 2 2 11 8" xfId="442" xr:uid="{00000000-0005-0000-0000-0000D4010000}"/>
    <cellStyle name="Normal 2 2 12" xfId="443" xr:uid="{00000000-0005-0000-0000-0000D5010000}"/>
    <cellStyle name="Normal 2 2 13" xfId="444" xr:uid="{00000000-0005-0000-0000-0000D6010000}"/>
    <cellStyle name="Normal 2 2 13 2" xfId="445" xr:uid="{00000000-0005-0000-0000-0000D7010000}"/>
    <cellStyle name="Normal 2 2 13 3" xfId="446" xr:uid="{00000000-0005-0000-0000-0000D8010000}"/>
    <cellStyle name="Normal 2 2 13 4" xfId="447" xr:uid="{00000000-0005-0000-0000-0000D9010000}"/>
    <cellStyle name="Normal 2 2 13 5" xfId="448" xr:uid="{00000000-0005-0000-0000-0000DA010000}"/>
    <cellStyle name="Normal 2 2 13 6" xfId="449" xr:uid="{00000000-0005-0000-0000-0000DB010000}"/>
    <cellStyle name="Normal 2 2 13 7" xfId="450" xr:uid="{00000000-0005-0000-0000-0000DC010000}"/>
    <cellStyle name="Normal 2 2 14" xfId="451" xr:uid="{00000000-0005-0000-0000-0000DD010000}"/>
    <cellStyle name="Normal 2 2 15" xfId="452" xr:uid="{00000000-0005-0000-0000-0000DE010000}"/>
    <cellStyle name="Normal 2 2 16" xfId="453" xr:uid="{00000000-0005-0000-0000-0000DF010000}"/>
    <cellStyle name="Normal 2 2 17" xfId="454" xr:uid="{00000000-0005-0000-0000-0000E0010000}"/>
    <cellStyle name="Normal 2 2 18" xfId="455" xr:uid="{00000000-0005-0000-0000-0000E1010000}"/>
    <cellStyle name="Normal 2 2 19" xfId="456" xr:uid="{00000000-0005-0000-0000-0000E2010000}"/>
    <cellStyle name="Normal 2 2 2" xfId="457" xr:uid="{00000000-0005-0000-0000-0000E3010000}"/>
    <cellStyle name="Normal 2 2 2 10" xfId="458" xr:uid="{00000000-0005-0000-0000-0000E4010000}"/>
    <cellStyle name="Normal 2 2 2 11" xfId="459" xr:uid="{00000000-0005-0000-0000-0000E5010000}"/>
    <cellStyle name="Normal 2 2 2 11 2" xfId="460" xr:uid="{00000000-0005-0000-0000-0000E6010000}"/>
    <cellStyle name="Normal 2 2 2 11 2 2" xfId="461" xr:uid="{00000000-0005-0000-0000-0000E7010000}"/>
    <cellStyle name="Normal 2 2 2 11 2 3" xfId="462" xr:uid="{00000000-0005-0000-0000-0000E8010000}"/>
    <cellStyle name="Normal 2 2 2 11 2 4" xfId="463" xr:uid="{00000000-0005-0000-0000-0000E9010000}"/>
    <cellStyle name="Normal 2 2 2 11 2 5" xfId="464" xr:uid="{00000000-0005-0000-0000-0000EA010000}"/>
    <cellStyle name="Normal 2 2 2 11 2 6" xfId="465" xr:uid="{00000000-0005-0000-0000-0000EB010000}"/>
    <cellStyle name="Normal 2 2 2 11 2 7" xfId="466" xr:uid="{00000000-0005-0000-0000-0000EC010000}"/>
    <cellStyle name="Normal 2 2 2 11 3" xfId="467" xr:uid="{00000000-0005-0000-0000-0000ED010000}"/>
    <cellStyle name="Normal 2 2 2 11 4" xfId="468" xr:uid="{00000000-0005-0000-0000-0000EE010000}"/>
    <cellStyle name="Normal 2 2 2 11 5" xfId="469" xr:uid="{00000000-0005-0000-0000-0000EF010000}"/>
    <cellStyle name="Normal 2 2 2 11 6" xfId="470" xr:uid="{00000000-0005-0000-0000-0000F0010000}"/>
    <cellStyle name="Normal 2 2 2 11 7" xfId="471" xr:uid="{00000000-0005-0000-0000-0000F1010000}"/>
    <cellStyle name="Normal 2 2 2 11 8" xfId="472" xr:uid="{00000000-0005-0000-0000-0000F2010000}"/>
    <cellStyle name="Normal 2 2 2 12" xfId="473" xr:uid="{00000000-0005-0000-0000-0000F3010000}"/>
    <cellStyle name="Normal 2 2 2 13" xfId="474" xr:uid="{00000000-0005-0000-0000-0000F4010000}"/>
    <cellStyle name="Normal 2 2 2 13 2" xfId="475" xr:uid="{00000000-0005-0000-0000-0000F5010000}"/>
    <cellStyle name="Normal 2 2 2 13 3" xfId="476" xr:uid="{00000000-0005-0000-0000-0000F6010000}"/>
    <cellStyle name="Normal 2 2 2 13 4" xfId="477" xr:uid="{00000000-0005-0000-0000-0000F7010000}"/>
    <cellStyle name="Normal 2 2 2 13 5" xfId="478" xr:uid="{00000000-0005-0000-0000-0000F8010000}"/>
    <cellStyle name="Normal 2 2 2 13 6" xfId="479" xr:uid="{00000000-0005-0000-0000-0000F9010000}"/>
    <cellStyle name="Normal 2 2 2 13 7" xfId="480" xr:uid="{00000000-0005-0000-0000-0000FA010000}"/>
    <cellStyle name="Normal 2 2 2 14" xfId="481" xr:uid="{00000000-0005-0000-0000-0000FB010000}"/>
    <cellStyle name="Normal 2 2 2 15" xfId="482" xr:uid="{00000000-0005-0000-0000-0000FC010000}"/>
    <cellStyle name="Normal 2 2 2 16" xfId="483" xr:uid="{00000000-0005-0000-0000-0000FD010000}"/>
    <cellStyle name="Normal 2 2 2 17" xfId="484" xr:uid="{00000000-0005-0000-0000-0000FE010000}"/>
    <cellStyle name="Normal 2 2 2 18" xfId="485" xr:uid="{00000000-0005-0000-0000-0000FF010000}"/>
    <cellStyle name="Normal 2 2 2 19" xfId="486" xr:uid="{00000000-0005-0000-0000-000000020000}"/>
    <cellStyle name="Normal 2 2 2 2" xfId="487" xr:uid="{00000000-0005-0000-0000-000001020000}"/>
    <cellStyle name="Normal 2 2 2 2 10" xfId="488" xr:uid="{00000000-0005-0000-0000-000002020000}"/>
    <cellStyle name="Normal 2 2 2 2 11" xfId="489" xr:uid="{00000000-0005-0000-0000-000003020000}"/>
    <cellStyle name="Normal 2 2 2 2 11 2" xfId="490" xr:uid="{00000000-0005-0000-0000-000004020000}"/>
    <cellStyle name="Normal 2 2 2 2 11 3" xfId="491" xr:uid="{00000000-0005-0000-0000-000005020000}"/>
    <cellStyle name="Normal 2 2 2 2 11 4" xfId="492" xr:uid="{00000000-0005-0000-0000-000006020000}"/>
    <cellStyle name="Normal 2 2 2 2 11 5" xfId="493" xr:uid="{00000000-0005-0000-0000-000007020000}"/>
    <cellStyle name="Normal 2 2 2 2 11 6" xfId="494" xr:uid="{00000000-0005-0000-0000-000008020000}"/>
    <cellStyle name="Normal 2 2 2 2 11 7" xfId="495" xr:uid="{00000000-0005-0000-0000-000009020000}"/>
    <cellStyle name="Normal 2 2 2 2 12" xfId="496" xr:uid="{00000000-0005-0000-0000-00000A020000}"/>
    <cellStyle name="Normal 2 2 2 2 13" xfId="497" xr:uid="{00000000-0005-0000-0000-00000B020000}"/>
    <cellStyle name="Normal 2 2 2 2 14" xfId="498" xr:uid="{00000000-0005-0000-0000-00000C020000}"/>
    <cellStyle name="Normal 2 2 2 2 15" xfId="499" xr:uid="{00000000-0005-0000-0000-00000D020000}"/>
    <cellStyle name="Normal 2 2 2 2 16" xfId="500" xr:uid="{00000000-0005-0000-0000-00000E020000}"/>
    <cellStyle name="Normal 2 2 2 2 17" xfId="501" xr:uid="{00000000-0005-0000-0000-00000F020000}"/>
    <cellStyle name="Normal 2 2 2 2 18" xfId="502" xr:uid="{00000000-0005-0000-0000-000010020000}"/>
    <cellStyle name="Normal 2 2 2 2 19" xfId="503" xr:uid="{00000000-0005-0000-0000-000011020000}"/>
    <cellStyle name="Normal 2 2 2 2 2" xfId="504" xr:uid="{00000000-0005-0000-0000-000012020000}"/>
    <cellStyle name="Normal 2 2 2 2 2 10" xfId="505" xr:uid="{00000000-0005-0000-0000-000013020000}"/>
    <cellStyle name="Normal 2 2 2 2 2 11" xfId="506" xr:uid="{00000000-0005-0000-0000-000014020000}"/>
    <cellStyle name="Normal 2 2 2 2 2 11 2" xfId="507" xr:uid="{00000000-0005-0000-0000-000015020000}"/>
    <cellStyle name="Normal 2 2 2 2 2 11 3" xfId="508" xr:uid="{00000000-0005-0000-0000-000016020000}"/>
    <cellStyle name="Normal 2 2 2 2 2 11 4" xfId="509" xr:uid="{00000000-0005-0000-0000-000017020000}"/>
    <cellStyle name="Normal 2 2 2 2 2 11 5" xfId="510" xr:uid="{00000000-0005-0000-0000-000018020000}"/>
    <cellStyle name="Normal 2 2 2 2 2 11 6" xfId="511" xr:uid="{00000000-0005-0000-0000-000019020000}"/>
    <cellStyle name="Normal 2 2 2 2 2 11 7" xfId="512" xr:uid="{00000000-0005-0000-0000-00001A020000}"/>
    <cellStyle name="Normal 2 2 2 2 2 12" xfId="513" xr:uid="{00000000-0005-0000-0000-00001B020000}"/>
    <cellStyle name="Normal 2 2 2 2 2 13" xfId="514" xr:uid="{00000000-0005-0000-0000-00001C020000}"/>
    <cellStyle name="Normal 2 2 2 2 2 14" xfId="515" xr:uid="{00000000-0005-0000-0000-00001D020000}"/>
    <cellStyle name="Normal 2 2 2 2 2 15" xfId="516" xr:uid="{00000000-0005-0000-0000-00001E020000}"/>
    <cellStyle name="Normal 2 2 2 2 2 16" xfId="517" xr:uid="{00000000-0005-0000-0000-00001F020000}"/>
    <cellStyle name="Normal 2 2 2 2 2 17" xfId="518" xr:uid="{00000000-0005-0000-0000-000020020000}"/>
    <cellStyle name="Normal 2 2 2 2 2 18" xfId="519" xr:uid="{00000000-0005-0000-0000-000021020000}"/>
    <cellStyle name="Normal 2 2 2 2 2 19" xfId="520" xr:uid="{00000000-0005-0000-0000-000022020000}"/>
    <cellStyle name="Normal 2 2 2 2 2 2" xfId="521" xr:uid="{00000000-0005-0000-0000-000023020000}"/>
    <cellStyle name="Normal 2 2 2 2 2 2 10" xfId="522" xr:uid="{00000000-0005-0000-0000-000024020000}"/>
    <cellStyle name="Normal 2 2 2 2 2 2 10 2" xfId="523" xr:uid="{00000000-0005-0000-0000-000025020000}"/>
    <cellStyle name="Normal 2 2 2 2 2 2 10 3" xfId="524" xr:uid="{00000000-0005-0000-0000-000026020000}"/>
    <cellStyle name="Normal 2 2 2 2 2 2 10 4" xfId="525" xr:uid="{00000000-0005-0000-0000-000027020000}"/>
    <cellStyle name="Normal 2 2 2 2 2 2 10 5" xfId="526" xr:uid="{00000000-0005-0000-0000-000028020000}"/>
    <cellStyle name="Normal 2 2 2 2 2 2 10 6" xfId="527" xr:uid="{00000000-0005-0000-0000-000029020000}"/>
    <cellStyle name="Normal 2 2 2 2 2 2 10 7" xfId="528" xr:uid="{00000000-0005-0000-0000-00002A020000}"/>
    <cellStyle name="Normal 2 2 2 2 2 2 11" xfId="529" xr:uid="{00000000-0005-0000-0000-00002B020000}"/>
    <cellStyle name="Normal 2 2 2 2 2 2 12" xfId="530" xr:uid="{00000000-0005-0000-0000-00002C020000}"/>
    <cellStyle name="Normal 2 2 2 2 2 2 13" xfId="531" xr:uid="{00000000-0005-0000-0000-00002D020000}"/>
    <cellStyle name="Normal 2 2 2 2 2 2 14" xfId="532" xr:uid="{00000000-0005-0000-0000-00002E020000}"/>
    <cellStyle name="Normal 2 2 2 2 2 2 15" xfId="533" xr:uid="{00000000-0005-0000-0000-00002F020000}"/>
    <cellStyle name="Normal 2 2 2 2 2 2 16" xfId="534" xr:uid="{00000000-0005-0000-0000-000030020000}"/>
    <cellStyle name="Normal 2 2 2 2 2 2 17" xfId="535" xr:uid="{00000000-0005-0000-0000-000031020000}"/>
    <cellStyle name="Normal 2 2 2 2 2 2 18" xfId="536" xr:uid="{00000000-0005-0000-0000-000032020000}"/>
    <cellStyle name="Normal 2 2 2 2 2 2 19" xfId="537" xr:uid="{00000000-0005-0000-0000-000033020000}"/>
    <cellStyle name="Normal 2 2 2 2 2 2 2" xfId="538" xr:uid="{00000000-0005-0000-0000-000034020000}"/>
    <cellStyle name="Normal 2 2 2 2 2 2 2 10" xfId="539" xr:uid="{00000000-0005-0000-0000-000035020000}"/>
    <cellStyle name="Normal 2 2 2 2 2 2 2 10 2" xfId="540" xr:uid="{00000000-0005-0000-0000-000036020000}"/>
    <cellStyle name="Normal 2 2 2 2 2 2 2 10 3" xfId="541" xr:uid="{00000000-0005-0000-0000-000037020000}"/>
    <cellStyle name="Normal 2 2 2 2 2 2 2 10 4" xfId="542" xr:uid="{00000000-0005-0000-0000-000038020000}"/>
    <cellStyle name="Normal 2 2 2 2 2 2 2 10 5" xfId="543" xr:uid="{00000000-0005-0000-0000-000039020000}"/>
    <cellStyle name="Normal 2 2 2 2 2 2 2 10 6" xfId="544" xr:uid="{00000000-0005-0000-0000-00003A020000}"/>
    <cellStyle name="Normal 2 2 2 2 2 2 2 10 7" xfId="545" xr:uid="{00000000-0005-0000-0000-00003B020000}"/>
    <cellStyle name="Normal 2 2 2 2 2 2 2 11" xfId="546" xr:uid="{00000000-0005-0000-0000-00003C020000}"/>
    <cellStyle name="Normal 2 2 2 2 2 2 2 12" xfId="547" xr:uid="{00000000-0005-0000-0000-00003D020000}"/>
    <cellStyle name="Normal 2 2 2 2 2 2 2 13" xfId="548" xr:uid="{00000000-0005-0000-0000-00003E020000}"/>
    <cellStyle name="Normal 2 2 2 2 2 2 2 14" xfId="549" xr:uid="{00000000-0005-0000-0000-00003F020000}"/>
    <cellStyle name="Normal 2 2 2 2 2 2 2 15" xfId="550" xr:uid="{00000000-0005-0000-0000-000040020000}"/>
    <cellStyle name="Normal 2 2 2 2 2 2 2 16" xfId="551" xr:uid="{00000000-0005-0000-0000-000041020000}"/>
    <cellStyle name="Normal 2 2 2 2 2 2 2 17" xfId="552" xr:uid="{00000000-0005-0000-0000-000042020000}"/>
    <cellStyle name="Normal 2 2 2 2 2 2 2 18" xfId="553" xr:uid="{00000000-0005-0000-0000-000043020000}"/>
    <cellStyle name="Normal 2 2 2 2 2 2 2 19" xfId="554" xr:uid="{00000000-0005-0000-0000-000044020000}"/>
    <cellStyle name="Normal 2 2 2 2 2 2 2 2" xfId="555" xr:uid="{00000000-0005-0000-0000-000045020000}"/>
    <cellStyle name="Normal 2 2 2 2 2 2 2 2 10" xfId="556" xr:uid="{00000000-0005-0000-0000-000046020000}"/>
    <cellStyle name="Normal 2 2 2 2 2 2 2 2 11" xfId="557" xr:uid="{00000000-0005-0000-0000-000047020000}"/>
    <cellStyle name="Normal 2 2 2 2 2 2 2 2 12" xfId="558" xr:uid="{00000000-0005-0000-0000-000048020000}"/>
    <cellStyle name="Normal 2 2 2 2 2 2 2 2 13" xfId="559" xr:uid="{00000000-0005-0000-0000-000049020000}"/>
    <cellStyle name="Normal 2 2 2 2 2 2 2 2 14" xfId="560" xr:uid="{00000000-0005-0000-0000-00004A020000}"/>
    <cellStyle name="Normal 2 2 2 2 2 2 2 2 15" xfId="561" xr:uid="{00000000-0005-0000-0000-00004B020000}"/>
    <cellStyle name="Normal 2 2 2 2 2 2 2 2 16" xfId="562" xr:uid="{00000000-0005-0000-0000-00004C020000}"/>
    <cellStyle name="Normal 2 2 2 2 2 2 2 2 17" xfId="563" xr:uid="{00000000-0005-0000-0000-00004D020000}"/>
    <cellStyle name="Normal 2 2 2 2 2 2 2 2 18" xfId="564" xr:uid="{00000000-0005-0000-0000-00004E020000}"/>
    <cellStyle name="Normal 2 2 2 2 2 2 2 2 19" xfId="565" xr:uid="{00000000-0005-0000-0000-00004F020000}"/>
    <cellStyle name="Normal 2 2 2 2 2 2 2 2 2" xfId="566" xr:uid="{00000000-0005-0000-0000-000050020000}"/>
    <cellStyle name="Normal 2 2 2 2 2 2 2 2 2 10" xfId="567" xr:uid="{00000000-0005-0000-0000-000051020000}"/>
    <cellStyle name="Normal 2 2 2 2 2 2 2 2 2 11" xfId="568" xr:uid="{00000000-0005-0000-0000-000052020000}"/>
    <cellStyle name="Normal 2 2 2 2 2 2 2 2 2 12" xfId="569" xr:uid="{00000000-0005-0000-0000-000053020000}"/>
    <cellStyle name="Normal 2 2 2 2 2 2 2 2 2 13" xfId="570" xr:uid="{00000000-0005-0000-0000-000054020000}"/>
    <cellStyle name="Normal 2 2 2 2 2 2 2 2 2 14" xfId="571" xr:uid="{00000000-0005-0000-0000-000055020000}"/>
    <cellStyle name="Normal 2 2 2 2 2 2 2 2 2 15" xfId="572" xr:uid="{00000000-0005-0000-0000-000056020000}"/>
    <cellStyle name="Normal 2 2 2 2 2 2 2 2 2 16" xfId="573" xr:uid="{00000000-0005-0000-0000-000057020000}"/>
    <cellStyle name="Normal 2 2 2 2 2 2 2 2 2 17" xfId="574" xr:uid="{00000000-0005-0000-0000-000058020000}"/>
    <cellStyle name="Normal 2 2 2 2 2 2 2 2 2 18" xfId="575" xr:uid="{00000000-0005-0000-0000-000059020000}"/>
    <cellStyle name="Normal 2 2 2 2 2 2 2 2 2 19" xfId="576" xr:uid="{00000000-0005-0000-0000-00005A020000}"/>
    <cellStyle name="Normal 2 2 2 2 2 2 2 2 2 2" xfId="577" xr:uid="{00000000-0005-0000-0000-00005B020000}"/>
    <cellStyle name="Normal 2 2 2 2 2 2 2 2 2 2 10" xfId="578" xr:uid="{00000000-0005-0000-0000-00005C020000}"/>
    <cellStyle name="Normal 2 2 2 2 2 2 2 2 2 2 11" xfId="579" xr:uid="{00000000-0005-0000-0000-00005D020000}"/>
    <cellStyle name="Normal 2 2 2 2 2 2 2 2 2 2 12" xfId="580" xr:uid="{00000000-0005-0000-0000-00005E020000}"/>
    <cellStyle name="Normal 2 2 2 2 2 2 2 2 2 2 13" xfId="581" xr:uid="{00000000-0005-0000-0000-00005F020000}"/>
    <cellStyle name="Normal 2 2 2 2 2 2 2 2 2 2 14" xfId="582" xr:uid="{00000000-0005-0000-0000-000060020000}"/>
    <cellStyle name="Normal 2 2 2 2 2 2 2 2 2 2 15" xfId="583" xr:uid="{00000000-0005-0000-0000-000061020000}"/>
    <cellStyle name="Normal 2 2 2 2 2 2 2 2 2 2 16" xfId="584" xr:uid="{00000000-0005-0000-0000-000062020000}"/>
    <cellStyle name="Normal 2 2 2 2 2 2 2 2 2 2 17" xfId="585" xr:uid="{00000000-0005-0000-0000-000063020000}"/>
    <cellStyle name="Normal 2 2 2 2 2 2 2 2 2 2 18" xfId="586" xr:uid="{00000000-0005-0000-0000-000064020000}"/>
    <cellStyle name="Normal 2 2 2 2 2 2 2 2 2 2 2" xfId="587" xr:uid="{00000000-0005-0000-0000-000065020000}"/>
    <cellStyle name="Normal 2 2 2 2 2 2 2 2 2 2 2 2" xfId="588" xr:uid="{00000000-0005-0000-0000-000066020000}"/>
    <cellStyle name="Normal 2 2 2 2 2 2 2 2 2 2 2 2 2" xfId="589" xr:uid="{00000000-0005-0000-0000-000067020000}"/>
    <cellStyle name="Normal 2 2 2 2 2 2 2 2 2 2 2 2 3" xfId="590" xr:uid="{00000000-0005-0000-0000-000068020000}"/>
    <cellStyle name="Normal 2 2 2 2 2 2 2 2 2 2 2 2 4" xfId="591" xr:uid="{00000000-0005-0000-0000-000069020000}"/>
    <cellStyle name="Normal 2 2 2 2 2 2 2 2 2 2 2 2 5" xfId="592" xr:uid="{00000000-0005-0000-0000-00006A020000}"/>
    <cellStyle name="Normal 2 2 2 2 2 2 2 2 2 2 2 2 6" xfId="593" xr:uid="{00000000-0005-0000-0000-00006B020000}"/>
    <cellStyle name="Normal 2 2 2 2 2 2 2 2 2 2 2 2 7" xfId="594" xr:uid="{00000000-0005-0000-0000-00006C020000}"/>
    <cellStyle name="Normal 2 2 2 2 2 2 2 2 2 2 2 3" xfId="595" xr:uid="{00000000-0005-0000-0000-00006D020000}"/>
    <cellStyle name="Normal 2 2 2 2 2 2 2 2 2 2 2 4" xfId="596" xr:uid="{00000000-0005-0000-0000-00006E020000}"/>
    <cellStyle name="Normal 2 2 2 2 2 2 2 2 2 2 2 5" xfId="597" xr:uid="{00000000-0005-0000-0000-00006F020000}"/>
    <cellStyle name="Normal 2 2 2 2 2 2 2 2 2 2 2 6" xfId="598" xr:uid="{00000000-0005-0000-0000-000070020000}"/>
    <cellStyle name="Normal 2 2 2 2 2 2 2 2 2 2 2 7" xfId="599" xr:uid="{00000000-0005-0000-0000-000071020000}"/>
    <cellStyle name="Normal 2 2 2 2 2 2 2 2 2 2 2 8" xfId="600" xr:uid="{00000000-0005-0000-0000-000072020000}"/>
    <cellStyle name="Normal 2 2 2 2 2 2 2 2 2 2 3" xfId="601" xr:uid="{00000000-0005-0000-0000-000073020000}"/>
    <cellStyle name="Normal 2 2 2 2 2 2 2 2 2 2 4" xfId="602" xr:uid="{00000000-0005-0000-0000-000074020000}"/>
    <cellStyle name="Normal 2 2 2 2 2 2 2 2 2 2 5" xfId="603" xr:uid="{00000000-0005-0000-0000-000075020000}"/>
    <cellStyle name="Normal 2 2 2 2 2 2 2 2 2 2 5 2" xfId="604" xr:uid="{00000000-0005-0000-0000-000076020000}"/>
    <cellStyle name="Normal 2 2 2 2 2 2 2 2 2 2 5 3" xfId="605" xr:uid="{00000000-0005-0000-0000-000077020000}"/>
    <cellStyle name="Normal 2 2 2 2 2 2 2 2 2 2 5 4" xfId="606" xr:uid="{00000000-0005-0000-0000-000078020000}"/>
    <cellStyle name="Normal 2 2 2 2 2 2 2 2 2 2 5 5" xfId="607" xr:uid="{00000000-0005-0000-0000-000079020000}"/>
    <cellStyle name="Normal 2 2 2 2 2 2 2 2 2 2 5 6" xfId="608" xr:uid="{00000000-0005-0000-0000-00007A020000}"/>
    <cellStyle name="Normal 2 2 2 2 2 2 2 2 2 2 5 7" xfId="609" xr:uid="{00000000-0005-0000-0000-00007B020000}"/>
    <cellStyle name="Normal 2 2 2 2 2 2 2 2 2 2 6" xfId="610" xr:uid="{00000000-0005-0000-0000-00007C020000}"/>
    <cellStyle name="Normal 2 2 2 2 2 2 2 2 2 2 7" xfId="611" xr:uid="{00000000-0005-0000-0000-00007D020000}"/>
    <cellStyle name="Normal 2 2 2 2 2 2 2 2 2 2 8" xfId="612" xr:uid="{00000000-0005-0000-0000-00007E020000}"/>
    <cellStyle name="Normal 2 2 2 2 2 2 2 2 2 2 9" xfId="613" xr:uid="{00000000-0005-0000-0000-00007F020000}"/>
    <cellStyle name="Normal 2 2 2 2 2 2 2 2 2 3" xfId="614" xr:uid="{00000000-0005-0000-0000-000080020000}"/>
    <cellStyle name="Normal 2 2 2 2 2 2 2 2 2 4" xfId="615" xr:uid="{00000000-0005-0000-0000-000081020000}"/>
    <cellStyle name="Normal 2 2 2 2 2 2 2 2 2 4 2" xfId="616" xr:uid="{00000000-0005-0000-0000-000082020000}"/>
    <cellStyle name="Normal 2 2 2 2 2 2 2 2 2 4 2 2" xfId="617" xr:uid="{00000000-0005-0000-0000-000083020000}"/>
    <cellStyle name="Normal 2 2 2 2 2 2 2 2 2 4 2 3" xfId="618" xr:uid="{00000000-0005-0000-0000-000084020000}"/>
    <cellStyle name="Normal 2 2 2 2 2 2 2 2 2 4 2 4" xfId="619" xr:uid="{00000000-0005-0000-0000-000085020000}"/>
    <cellStyle name="Normal 2 2 2 2 2 2 2 2 2 4 2 5" xfId="620" xr:uid="{00000000-0005-0000-0000-000086020000}"/>
    <cellStyle name="Normal 2 2 2 2 2 2 2 2 2 4 2 6" xfId="621" xr:uid="{00000000-0005-0000-0000-000087020000}"/>
    <cellStyle name="Normal 2 2 2 2 2 2 2 2 2 4 2 7" xfId="622" xr:uid="{00000000-0005-0000-0000-000088020000}"/>
    <cellStyle name="Normal 2 2 2 2 2 2 2 2 2 4 3" xfId="623" xr:uid="{00000000-0005-0000-0000-000089020000}"/>
    <cellStyle name="Normal 2 2 2 2 2 2 2 2 2 4 4" xfId="624" xr:uid="{00000000-0005-0000-0000-00008A020000}"/>
    <cellStyle name="Normal 2 2 2 2 2 2 2 2 2 4 5" xfId="625" xr:uid="{00000000-0005-0000-0000-00008B020000}"/>
    <cellStyle name="Normal 2 2 2 2 2 2 2 2 2 4 6" xfId="626" xr:uid="{00000000-0005-0000-0000-00008C020000}"/>
    <cellStyle name="Normal 2 2 2 2 2 2 2 2 2 4 7" xfId="627" xr:uid="{00000000-0005-0000-0000-00008D020000}"/>
    <cellStyle name="Normal 2 2 2 2 2 2 2 2 2 4 8" xfId="628" xr:uid="{00000000-0005-0000-0000-00008E020000}"/>
    <cellStyle name="Normal 2 2 2 2 2 2 2 2 2 5" xfId="629" xr:uid="{00000000-0005-0000-0000-00008F020000}"/>
    <cellStyle name="Normal 2 2 2 2 2 2 2 2 2 6" xfId="630" xr:uid="{00000000-0005-0000-0000-000090020000}"/>
    <cellStyle name="Normal 2 2 2 2 2 2 2 2 2 6 2" xfId="631" xr:uid="{00000000-0005-0000-0000-000091020000}"/>
    <cellStyle name="Normal 2 2 2 2 2 2 2 2 2 6 3" xfId="632" xr:uid="{00000000-0005-0000-0000-000092020000}"/>
    <cellStyle name="Normal 2 2 2 2 2 2 2 2 2 6 4" xfId="633" xr:uid="{00000000-0005-0000-0000-000093020000}"/>
    <cellStyle name="Normal 2 2 2 2 2 2 2 2 2 6 5" xfId="634" xr:uid="{00000000-0005-0000-0000-000094020000}"/>
    <cellStyle name="Normal 2 2 2 2 2 2 2 2 2 6 6" xfId="635" xr:uid="{00000000-0005-0000-0000-000095020000}"/>
    <cellStyle name="Normal 2 2 2 2 2 2 2 2 2 6 7" xfId="636" xr:uid="{00000000-0005-0000-0000-000096020000}"/>
    <cellStyle name="Normal 2 2 2 2 2 2 2 2 2 7" xfId="637" xr:uid="{00000000-0005-0000-0000-000097020000}"/>
    <cellStyle name="Normal 2 2 2 2 2 2 2 2 2 8" xfId="638" xr:uid="{00000000-0005-0000-0000-000098020000}"/>
    <cellStyle name="Normal 2 2 2 2 2 2 2 2 2 9" xfId="639" xr:uid="{00000000-0005-0000-0000-000099020000}"/>
    <cellStyle name="Normal 2 2 2 2 2 2 2 2 2_Opex Input" xfId="640" xr:uid="{00000000-0005-0000-0000-00009A020000}"/>
    <cellStyle name="Normal 2 2 2 2 2 2 2 2 20" xfId="641" xr:uid="{00000000-0005-0000-0000-00009B020000}"/>
    <cellStyle name="Normal 2 2 2 2 2 2 2 2 3" xfId="642" xr:uid="{00000000-0005-0000-0000-00009C020000}"/>
    <cellStyle name="Normal 2 2 2 2 2 2 2 2 4" xfId="643" xr:uid="{00000000-0005-0000-0000-00009D020000}"/>
    <cellStyle name="Normal 2 2 2 2 2 2 2 2 5" xfId="644" xr:uid="{00000000-0005-0000-0000-00009E020000}"/>
    <cellStyle name="Normal 2 2 2 2 2 2 2 2 5 2" xfId="645" xr:uid="{00000000-0005-0000-0000-00009F020000}"/>
    <cellStyle name="Normal 2 2 2 2 2 2 2 2 5 2 2" xfId="646" xr:uid="{00000000-0005-0000-0000-0000A0020000}"/>
    <cellStyle name="Normal 2 2 2 2 2 2 2 2 5 2 3" xfId="647" xr:uid="{00000000-0005-0000-0000-0000A1020000}"/>
    <cellStyle name="Normal 2 2 2 2 2 2 2 2 5 2 4" xfId="648" xr:uid="{00000000-0005-0000-0000-0000A2020000}"/>
    <cellStyle name="Normal 2 2 2 2 2 2 2 2 5 2 5" xfId="649" xr:uid="{00000000-0005-0000-0000-0000A3020000}"/>
    <cellStyle name="Normal 2 2 2 2 2 2 2 2 5 2 6" xfId="650" xr:uid="{00000000-0005-0000-0000-0000A4020000}"/>
    <cellStyle name="Normal 2 2 2 2 2 2 2 2 5 2 7" xfId="651" xr:uid="{00000000-0005-0000-0000-0000A5020000}"/>
    <cellStyle name="Normal 2 2 2 2 2 2 2 2 5 3" xfId="652" xr:uid="{00000000-0005-0000-0000-0000A6020000}"/>
    <cellStyle name="Normal 2 2 2 2 2 2 2 2 5 4" xfId="653" xr:uid="{00000000-0005-0000-0000-0000A7020000}"/>
    <cellStyle name="Normal 2 2 2 2 2 2 2 2 5 5" xfId="654" xr:uid="{00000000-0005-0000-0000-0000A8020000}"/>
    <cellStyle name="Normal 2 2 2 2 2 2 2 2 5 6" xfId="655" xr:uid="{00000000-0005-0000-0000-0000A9020000}"/>
    <cellStyle name="Normal 2 2 2 2 2 2 2 2 5 7" xfId="656" xr:uid="{00000000-0005-0000-0000-0000AA020000}"/>
    <cellStyle name="Normal 2 2 2 2 2 2 2 2 5 8" xfId="657" xr:uid="{00000000-0005-0000-0000-0000AB020000}"/>
    <cellStyle name="Normal 2 2 2 2 2 2 2 2 6" xfId="658" xr:uid="{00000000-0005-0000-0000-0000AC020000}"/>
    <cellStyle name="Normal 2 2 2 2 2 2 2 2 7" xfId="659" xr:uid="{00000000-0005-0000-0000-0000AD020000}"/>
    <cellStyle name="Normal 2 2 2 2 2 2 2 2 7 2" xfId="660" xr:uid="{00000000-0005-0000-0000-0000AE020000}"/>
    <cellStyle name="Normal 2 2 2 2 2 2 2 2 7 3" xfId="661" xr:uid="{00000000-0005-0000-0000-0000AF020000}"/>
    <cellStyle name="Normal 2 2 2 2 2 2 2 2 7 4" xfId="662" xr:uid="{00000000-0005-0000-0000-0000B0020000}"/>
    <cellStyle name="Normal 2 2 2 2 2 2 2 2 7 5" xfId="663" xr:uid="{00000000-0005-0000-0000-0000B1020000}"/>
    <cellStyle name="Normal 2 2 2 2 2 2 2 2 7 6" xfId="664" xr:uid="{00000000-0005-0000-0000-0000B2020000}"/>
    <cellStyle name="Normal 2 2 2 2 2 2 2 2 7 7" xfId="665" xr:uid="{00000000-0005-0000-0000-0000B3020000}"/>
    <cellStyle name="Normal 2 2 2 2 2 2 2 2 8" xfId="666" xr:uid="{00000000-0005-0000-0000-0000B4020000}"/>
    <cellStyle name="Normal 2 2 2 2 2 2 2 2 9" xfId="667" xr:uid="{00000000-0005-0000-0000-0000B5020000}"/>
    <cellStyle name="Normal 2 2 2 2 2 2 2 2_ELEC SAP FCST UPLOAD" xfId="668" xr:uid="{00000000-0005-0000-0000-0000B6020000}"/>
    <cellStyle name="Normal 2 2 2 2 2 2 2 20" xfId="669" xr:uid="{00000000-0005-0000-0000-0000B7020000}"/>
    <cellStyle name="Normal 2 2 2 2 2 2 2 21" xfId="670" xr:uid="{00000000-0005-0000-0000-0000B8020000}"/>
    <cellStyle name="Normal 2 2 2 2 2 2 2 22" xfId="671" xr:uid="{00000000-0005-0000-0000-0000B9020000}"/>
    <cellStyle name="Normal 2 2 2 2 2 2 2 23" xfId="672" xr:uid="{00000000-0005-0000-0000-0000BA020000}"/>
    <cellStyle name="Normal 2 2 2 2 2 2 2 3" xfId="673" xr:uid="{00000000-0005-0000-0000-0000BB020000}"/>
    <cellStyle name="Normal 2 2 2 2 2 2 2 4" xfId="674" xr:uid="{00000000-0005-0000-0000-0000BC020000}"/>
    <cellStyle name="Normal 2 2 2 2 2 2 2 5" xfId="675" xr:uid="{00000000-0005-0000-0000-0000BD020000}"/>
    <cellStyle name="Normal 2 2 2 2 2 2 2 6" xfId="676" xr:uid="{00000000-0005-0000-0000-0000BE020000}"/>
    <cellStyle name="Normal 2 2 2 2 2 2 2 7" xfId="677" xr:uid="{00000000-0005-0000-0000-0000BF020000}"/>
    <cellStyle name="Normal 2 2 2 2 2 2 2 8" xfId="678" xr:uid="{00000000-0005-0000-0000-0000C0020000}"/>
    <cellStyle name="Normal 2 2 2 2 2 2 2 8 2" xfId="679" xr:uid="{00000000-0005-0000-0000-0000C1020000}"/>
    <cellStyle name="Normal 2 2 2 2 2 2 2 8 2 2" xfId="680" xr:uid="{00000000-0005-0000-0000-0000C2020000}"/>
    <cellStyle name="Normal 2 2 2 2 2 2 2 8 2 3" xfId="681" xr:uid="{00000000-0005-0000-0000-0000C3020000}"/>
    <cellStyle name="Normal 2 2 2 2 2 2 2 8 2 4" xfId="682" xr:uid="{00000000-0005-0000-0000-0000C4020000}"/>
    <cellStyle name="Normal 2 2 2 2 2 2 2 8 2 5" xfId="683" xr:uid="{00000000-0005-0000-0000-0000C5020000}"/>
    <cellStyle name="Normal 2 2 2 2 2 2 2 8 2 6" xfId="684" xr:uid="{00000000-0005-0000-0000-0000C6020000}"/>
    <cellStyle name="Normal 2 2 2 2 2 2 2 8 2 7" xfId="685" xr:uid="{00000000-0005-0000-0000-0000C7020000}"/>
    <cellStyle name="Normal 2 2 2 2 2 2 2 8 3" xfId="686" xr:uid="{00000000-0005-0000-0000-0000C8020000}"/>
    <cellStyle name="Normal 2 2 2 2 2 2 2 8 4" xfId="687" xr:uid="{00000000-0005-0000-0000-0000C9020000}"/>
    <cellStyle name="Normal 2 2 2 2 2 2 2 8 5" xfId="688" xr:uid="{00000000-0005-0000-0000-0000CA020000}"/>
    <cellStyle name="Normal 2 2 2 2 2 2 2 8 6" xfId="689" xr:uid="{00000000-0005-0000-0000-0000CB020000}"/>
    <cellStyle name="Normal 2 2 2 2 2 2 2 8 7" xfId="690" xr:uid="{00000000-0005-0000-0000-0000CC020000}"/>
    <cellStyle name="Normal 2 2 2 2 2 2 2 8 8" xfId="691" xr:uid="{00000000-0005-0000-0000-0000CD020000}"/>
    <cellStyle name="Normal 2 2 2 2 2 2 2 9" xfId="692" xr:uid="{00000000-0005-0000-0000-0000CE020000}"/>
    <cellStyle name="Normal 2 2 2 2 2 2 2_ELEC SAP FCST UPLOAD" xfId="693" xr:uid="{00000000-0005-0000-0000-0000CF020000}"/>
    <cellStyle name="Normal 2 2 2 2 2 2 20" xfId="694" xr:uid="{00000000-0005-0000-0000-0000D0020000}"/>
    <cellStyle name="Normal 2 2 2 2 2 2 21" xfId="695" xr:uid="{00000000-0005-0000-0000-0000D1020000}"/>
    <cellStyle name="Normal 2 2 2 2 2 2 22" xfId="696" xr:uid="{00000000-0005-0000-0000-0000D2020000}"/>
    <cellStyle name="Normal 2 2 2 2 2 2 23" xfId="697" xr:uid="{00000000-0005-0000-0000-0000D3020000}"/>
    <cellStyle name="Normal 2 2 2 2 2 2 3" xfId="698" xr:uid="{00000000-0005-0000-0000-0000D4020000}"/>
    <cellStyle name="Normal 2 2 2 2 2 2 3 2" xfId="699" xr:uid="{00000000-0005-0000-0000-0000D5020000}"/>
    <cellStyle name="Normal 2 2 2 2 2 2 3 3" xfId="700" xr:uid="{00000000-0005-0000-0000-0000D6020000}"/>
    <cellStyle name="Normal 2 2 2 2 2 2 3_ELEC SAP FCST UPLOAD" xfId="701" xr:uid="{00000000-0005-0000-0000-0000D7020000}"/>
    <cellStyle name="Normal 2 2 2 2 2 2 4" xfId="702" xr:uid="{00000000-0005-0000-0000-0000D8020000}"/>
    <cellStyle name="Normal 2 2 2 2 2 2 5" xfId="703" xr:uid="{00000000-0005-0000-0000-0000D9020000}"/>
    <cellStyle name="Normal 2 2 2 2 2 2 6" xfId="704" xr:uid="{00000000-0005-0000-0000-0000DA020000}"/>
    <cellStyle name="Normal 2 2 2 2 2 2 7" xfId="705" xr:uid="{00000000-0005-0000-0000-0000DB020000}"/>
    <cellStyle name="Normal 2 2 2 2 2 2 8" xfId="706" xr:uid="{00000000-0005-0000-0000-0000DC020000}"/>
    <cellStyle name="Normal 2 2 2 2 2 2 8 2" xfId="707" xr:uid="{00000000-0005-0000-0000-0000DD020000}"/>
    <cellStyle name="Normal 2 2 2 2 2 2 8 2 2" xfId="708" xr:uid="{00000000-0005-0000-0000-0000DE020000}"/>
    <cellStyle name="Normal 2 2 2 2 2 2 8 2 3" xfId="709" xr:uid="{00000000-0005-0000-0000-0000DF020000}"/>
    <cellStyle name="Normal 2 2 2 2 2 2 8 2 4" xfId="710" xr:uid="{00000000-0005-0000-0000-0000E0020000}"/>
    <cellStyle name="Normal 2 2 2 2 2 2 8 2 5" xfId="711" xr:uid="{00000000-0005-0000-0000-0000E1020000}"/>
    <cellStyle name="Normal 2 2 2 2 2 2 8 2 6" xfId="712" xr:uid="{00000000-0005-0000-0000-0000E2020000}"/>
    <cellStyle name="Normal 2 2 2 2 2 2 8 2 7" xfId="713" xr:uid="{00000000-0005-0000-0000-0000E3020000}"/>
    <cellStyle name="Normal 2 2 2 2 2 2 8 3" xfId="714" xr:uid="{00000000-0005-0000-0000-0000E4020000}"/>
    <cellStyle name="Normal 2 2 2 2 2 2 8 4" xfId="715" xr:uid="{00000000-0005-0000-0000-0000E5020000}"/>
    <cellStyle name="Normal 2 2 2 2 2 2 8 5" xfId="716" xr:uid="{00000000-0005-0000-0000-0000E6020000}"/>
    <cellStyle name="Normal 2 2 2 2 2 2 8 6" xfId="717" xr:uid="{00000000-0005-0000-0000-0000E7020000}"/>
    <cellStyle name="Normal 2 2 2 2 2 2 8 7" xfId="718" xr:uid="{00000000-0005-0000-0000-0000E8020000}"/>
    <cellStyle name="Normal 2 2 2 2 2 2 8 8" xfId="719" xr:uid="{00000000-0005-0000-0000-0000E9020000}"/>
    <cellStyle name="Normal 2 2 2 2 2 2 9" xfId="720" xr:uid="{00000000-0005-0000-0000-0000EA020000}"/>
    <cellStyle name="Normal 2 2 2 2 2 2_ELEC SAP FCST UPLOAD" xfId="721" xr:uid="{00000000-0005-0000-0000-0000EB020000}"/>
    <cellStyle name="Normal 2 2 2 2 2 20" xfId="722" xr:uid="{00000000-0005-0000-0000-0000EC020000}"/>
    <cellStyle name="Normal 2 2 2 2 2 21" xfId="723" xr:uid="{00000000-0005-0000-0000-0000ED020000}"/>
    <cellStyle name="Normal 2 2 2 2 2 22" xfId="724" xr:uid="{00000000-0005-0000-0000-0000EE020000}"/>
    <cellStyle name="Normal 2 2 2 2 2 23" xfId="725" xr:uid="{00000000-0005-0000-0000-0000EF020000}"/>
    <cellStyle name="Normal 2 2 2 2 2 24" xfId="726" xr:uid="{00000000-0005-0000-0000-0000F0020000}"/>
    <cellStyle name="Normal 2 2 2 2 2 3" xfId="727" xr:uid="{00000000-0005-0000-0000-0000F1020000}"/>
    <cellStyle name="Normal 2 2 2 2 2 3 2" xfId="728" xr:uid="{00000000-0005-0000-0000-0000F2020000}"/>
    <cellStyle name="Normal 2 2 2 2 2 3 3" xfId="729" xr:uid="{00000000-0005-0000-0000-0000F3020000}"/>
    <cellStyle name="Normal 2 2 2 2 2 3_ELEC SAP FCST UPLOAD" xfId="730" xr:uid="{00000000-0005-0000-0000-0000F4020000}"/>
    <cellStyle name="Normal 2 2 2 2 2 4" xfId="731" xr:uid="{00000000-0005-0000-0000-0000F5020000}"/>
    <cellStyle name="Normal 2 2 2 2 2 5" xfId="732" xr:uid="{00000000-0005-0000-0000-0000F6020000}"/>
    <cellStyle name="Normal 2 2 2 2 2 6" xfId="733" xr:uid="{00000000-0005-0000-0000-0000F7020000}"/>
    <cellStyle name="Normal 2 2 2 2 2 7" xfId="734" xr:uid="{00000000-0005-0000-0000-0000F8020000}"/>
    <cellStyle name="Normal 2 2 2 2 2 8" xfId="735" xr:uid="{00000000-0005-0000-0000-0000F9020000}"/>
    <cellStyle name="Normal 2 2 2 2 2 9" xfId="736" xr:uid="{00000000-0005-0000-0000-0000FA020000}"/>
    <cellStyle name="Normal 2 2 2 2 2 9 2" xfId="737" xr:uid="{00000000-0005-0000-0000-0000FB020000}"/>
    <cellStyle name="Normal 2 2 2 2 2 9 2 2" xfId="738" xr:uid="{00000000-0005-0000-0000-0000FC020000}"/>
    <cellStyle name="Normal 2 2 2 2 2 9 2 3" xfId="739" xr:uid="{00000000-0005-0000-0000-0000FD020000}"/>
    <cellStyle name="Normal 2 2 2 2 2 9 2 4" xfId="740" xr:uid="{00000000-0005-0000-0000-0000FE020000}"/>
    <cellStyle name="Normal 2 2 2 2 2 9 2 5" xfId="741" xr:uid="{00000000-0005-0000-0000-0000FF020000}"/>
    <cellStyle name="Normal 2 2 2 2 2 9 2 6" xfId="742" xr:uid="{00000000-0005-0000-0000-000000030000}"/>
    <cellStyle name="Normal 2 2 2 2 2 9 2 7" xfId="743" xr:uid="{00000000-0005-0000-0000-000001030000}"/>
    <cellStyle name="Normal 2 2 2 2 2 9 3" xfId="744" xr:uid="{00000000-0005-0000-0000-000002030000}"/>
    <cellStyle name="Normal 2 2 2 2 2 9 4" xfId="745" xr:uid="{00000000-0005-0000-0000-000003030000}"/>
    <cellStyle name="Normal 2 2 2 2 2 9 5" xfId="746" xr:uid="{00000000-0005-0000-0000-000004030000}"/>
    <cellStyle name="Normal 2 2 2 2 2 9 6" xfId="747" xr:uid="{00000000-0005-0000-0000-000005030000}"/>
    <cellStyle name="Normal 2 2 2 2 2 9 7" xfId="748" xr:uid="{00000000-0005-0000-0000-000006030000}"/>
    <cellStyle name="Normal 2 2 2 2 2 9 8" xfId="749" xr:uid="{00000000-0005-0000-0000-000007030000}"/>
    <cellStyle name="Normal 2 2 2 2 2_ELEC SAP FCST UPLOAD" xfId="750" xr:uid="{00000000-0005-0000-0000-000008030000}"/>
    <cellStyle name="Normal 2 2 2 2 20" xfId="751" xr:uid="{00000000-0005-0000-0000-000009030000}"/>
    <cellStyle name="Normal 2 2 2 2 21" xfId="752" xr:uid="{00000000-0005-0000-0000-00000A030000}"/>
    <cellStyle name="Normal 2 2 2 2 22" xfId="753" xr:uid="{00000000-0005-0000-0000-00000B030000}"/>
    <cellStyle name="Normal 2 2 2 2 23" xfId="754" xr:uid="{00000000-0005-0000-0000-00000C030000}"/>
    <cellStyle name="Normal 2 2 2 2 24" xfId="755" xr:uid="{00000000-0005-0000-0000-00000D030000}"/>
    <cellStyle name="Normal 2 2 2 2 3" xfId="756" xr:uid="{00000000-0005-0000-0000-00000E030000}"/>
    <cellStyle name="Normal 2 2 2 2 3 2" xfId="757" xr:uid="{00000000-0005-0000-0000-00000F030000}"/>
    <cellStyle name="Normal 2 2 2 2 3 2 2" xfId="758" xr:uid="{00000000-0005-0000-0000-000010030000}"/>
    <cellStyle name="Normal 2 2 2 2 3 2 3" xfId="759" xr:uid="{00000000-0005-0000-0000-000011030000}"/>
    <cellStyle name="Normal 2 2 2 2 3 2_ELEC SAP FCST UPLOAD" xfId="760" xr:uid="{00000000-0005-0000-0000-000012030000}"/>
    <cellStyle name="Normal 2 2 2 2 3 3" xfId="761" xr:uid="{00000000-0005-0000-0000-000013030000}"/>
    <cellStyle name="Normal 2 2 2 2 3 4" xfId="762" xr:uid="{00000000-0005-0000-0000-000014030000}"/>
    <cellStyle name="Normal 2 2 2 2 3 5" xfId="763" xr:uid="{00000000-0005-0000-0000-000015030000}"/>
    <cellStyle name="Normal 2 2 2 2 3 6" xfId="764" xr:uid="{00000000-0005-0000-0000-000016030000}"/>
    <cellStyle name="Normal 2 2 2 2 3_ELEC SAP FCST UPLOAD" xfId="765" xr:uid="{00000000-0005-0000-0000-000017030000}"/>
    <cellStyle name="Normal 2 2 2 2 4" xfId="766" xr:uid="{00000000-0005-0000-0000-000018030000}"/>
    <cellStyle name="Normal 2 2 2 2 4 2" xfId="767" xr:uid="{00000000-0005-0000-0000-000019030000}"/>
    <cellStyle name="Normal 2 2 2 2 4 3" xfId="768" xr:uid="{00000000-0005-0000-0000-00001A030000}"/>
    <cellStyle name="Normal 2 2 2 2 4_ELEC SAP FCST UPLOAD" xfId="769" xr:uid="{00000000-0005-0000-0000-00001B030000}"/>
    <cellStyle name="Normal 2 2 2 2 5" xfId="770" xr:uid="{00000000-0005-0000-0000-00001C030000}"/>
    <cellStyle name="Normal 2 2 2 2 6" xfId="771" xr:uid="{00000000-0005-0000-0000-00001D030000}"/>
    <cellStyle name="Normal 2 2 2 2 7" xfId="772" xr:uid="{00000000-0005-0000-0000-00001E030000}"/>
    <cellStyle name="Normal 2 2 2 2 8" xfId="773" xr:uid="{00000000-0005-0000-0000-00001F030000}"/>
    <cellStyle name="Normal 2 2 2 2 9" xfId="774" xr:uid="{00000000-0005-0000-0000-000020030000}"/>
    <cellStyle name="Normal 2 2 2 2 9 2" xfId="775" xr:uid="{00000000-0005-0000-0000-000021030000}"/>
    <cellStyle name="Normal 2 2 2 2 9 2 2" xfId="776" xr:uid="{00000000-0005-0000-0000-000022030000}"/>
    <cellStyle name="Normal 2 2 2 2 9 2 3" xfId="777" xr:uid="{00000000-0005-0000-0000-000023030000}"/>
    <cellStyle name="Normal 2 2 2 2 9 2 4" xfId="778" xr:uid="{00000000-0005-0000-0000-000024030000}"/>
    <cellStyle name="Normal 2 2 2 2 9 2 5" xfId="779" xr:uid="{00000000-0005-0000-0000-000025030000}"/>
    <cellStyle name="Normal 2 2 2 2 9 2 6" xfId="780" xr:uid="{00000000-0005-0000-0000-000026030000}"/>
    <cellStyle name="Normal 2 2 2 2 9 2 7" xfId="781" xr:uid="{00000000-0005-0000-0000-000027030000}"/>
    <cellStyle name="Normal 2 2 2 2 9 3" xfId="782" xr:uid="{00000000-0005-0000-0000-000028030000}"/>
    <cellStyle name="Normal 2 2 2 2 9 4" xfId="783" xr:uid="{00000000-0005-0000-0000-000029030000}"/>
    <cellStyle name="Normal 2 2 2 2 9 5" xfId="784" xr:uid="{00000000-0005-0000-0000-00002A030000}"/>
    <cellStyle name="Normal 2 2 2 2 9 6" xfId="785" xr:uid="{00000000-0005-0000-0000-00002B030000}"/>
    <cellStyle name="Normal 2 2 2 2 9 7" xfId="786" xr:uid="{00000000-0005-0000-0000-00002C030000}"/>
    <cellStyle name="Normal 2 2 2 2 9 8" xfId="787" xr:uid="{00000000-0005-0000-0000-00002D030000}"/>
    <cellStyle name="Normal 2 2 2 2_ELEC SAP FCST UPLOAD" xfId="788" xr:uid="{00000000-0005-0000-0000-00002E030000}"/>
    <cellStyle name="Normal 2 2 2 20" xfId="789" xr:uid="{00000000-0005-0000-0000-00002F030000}"/>
    <cellStyle name="Normal 2 2 2 21" xfId="790" xr:uid="{00000000-0005-0000-0000-000030030000}"/>
    <cellStyle name="Normal 2 2 2 22" xfId="791" xr:uid="{00000000-0005-0000-0000-000031030000}"/>
    <cellStyle name="Normal 2 2 2 23" xfId="792" xr:uid="{00000000-0005-0000-0000-000032030000}"/>
    <cellStyle name="Normal 2 2 2 24" xfId="793" xr:uid="{00000000-0005-0000-0000-000033030000}"/>
    <cellStyle name="Normal 2 2 2 25" xfId="794" xr:uid="{00000000-0005-0000-0000-000034030000}"/>
    <cellStyle name="Normal 2 2 2 26" xfId="795" xr:uid="{00000000-0005-0000-0000-000035030000}"/>
    <cellStyle name="Normal 2 2 2 3" xfId="796" xr:uid="{00000000-0005-0000-0000-000036030000}"/>
    <cellStyle name="Normal 2 2 2 4" xfId="797" xr:uid="{00000000-0005-0000-0000-000037030000}"/>
    <cellStyle name="Normal 2 2 2 4 2" xfId="798" xr:uid="{00000000-0005-0000-0000-000038030000}"/>
    <cellStyle name="Normal 2 2 2 4 2 2" xfId="799" xr:uid="{00000000-0005-0000-0000-000039030000}"/>
    <cellStyle name="Normal 2 2 2 4 2 2 2" xfId="800" xr:uid="{00000000-0005-0000-0000-00003A030000}"/>
    <cellStyle name="Normal 2 2 2 4 2 2 3" xfId="801" xr:uid="{00000000-0005-0000-0000-00003B030000}"/>
    <cellStyle name="Normal 2 2 2 4 2 2_ELEC SAP FCST UPLOAD" xfId="802" xr:uid="{00000000-0005-0000-0000-00003C030000}"/>
    <cellStyle name="Normal 2 2 2 4 2 3" xfId="803" xr:uid="{00000000-0005-0000-0000-00003D030000}"/>
    <cellStyle name="Normal 2 2 2 4 2 4" xfId="804" xr:uid="{00000000-0005-0000-0000-00003E030000}"/>
    <cellStyle name="Normal 2 2 2 4 2 5" xfId="805" xr:uid="{00000000-0005-0000-0000-00003F030000}"/>
    <cellStyle name="Normal 2 2 2 4 2 6" xfId="806" xr:uid="{00000000-0005-0000-0000-000040030000}"/>
    <cellStyle name="Normal 2 2 2 4 2_ELEC SAP FCST UPLOAD" xfId="807" xr:uid="{00000000-0005-0000-0000-000041030000}"/>
    <cellStyle name="Normal 2 2 2 4 3" xfId="808" xr:uid="{00000000-0005-0000-0000-000042030000}"/>
    <cellStyle name="Normal 2 2 2 4 3 2" xfId="809" xr:uid="{00000000-0005-0000-0000-000043030000}"/>
    <cellStyle name="Normal 2 2 2 4 3 3" xfId="810" xr:uid="{00000000-0005-0000-0000-000044030000}"/>
    <cellStyle name="Normal 2 2 2 4 3_ELEC SAP FCST UPLOAD" xfId="811" xr:uid="{00000000-0005-0000-0000-000045030000}"/>
    <cellStyle name="Normal 2 2 2 4 4" xfId="812" xr:uid="{00000000-0005-0000-0000-000046030000}"/>
    <cellStyle name="Normal 2 2 2 4 5" xfId="813" xr:uid="{00000000-0005-0000-0000-000047030000}"/>
    <cellStyle name="Normal 2 2 2 4 6" xfId="814" xr:uid="{00000000-0005-0000-0000-000048030000}"/>
    <cellStyle name="Normal 2 2 2 4_ELEC SAP FCST UPLOAD" xfId="815" xr:uid="{00000000-0005-0000-0000-000049030000}"/>
    <cellStyle name="Normal 2 2 2 5" xfId="816" xr:uid="{00000000-0005-0000-0000-00004A030000}"/>
    <cellStyle name="Normal 2 2 2 5 2" xfId="817" xr:uid="{00000000-0005-0000-0000-00004B030000}"/>
    <cellStyle name="Normal 2 2 2 5 3" xfId="818" xr:uid="{00000000-0005-0000-0000-00004C030000}"/>
    <cellStyle name="Normal 2 2 2 5_ELEC SAP FCST UPLOAD" xfId="819" xr:uid="{00000000-0005-0000-0000-00004D030000}"/>
    <cellStyle name="Normal 2 2 2 6" xfId="820" xr:uid="{00000000-0005-0000-0000-00004E030000}"/>
    <cellStyle name="Normal 2 2 2 7" xfId="821" xr:uid="{00000000-0005-0000-0000-00004F030000}"/>
    <cellStyle name="Normal 2 2 2 8" xfId="822" xr:uid="{00000000-0005-0000-0000-000050030000}"/>
    <cellStyle name="Normal 2 2 2 9" xfId="823" xr:uid="{00000000-0005-0000-0000-000051030000}"/>
    <cellStyle name="Normal 2 2 2_ELEC SAP FCST UPLOAD" xfId="824" xr:uid="{00000000-0005-0000-0000-000052030000}"/>
    <cellStyle name="Normal 2 2 20" xfId="825" xr:uid="{00000000-0005-0000-0000-000053030000}"/>
    <cellStyle name="Normal 2 2 21" xfId="826" xr:uid="{00000000-0005-0000-0000-000054030000}"/>
    <cellStyle name="Normal 2 2 22" xfId="827" xr:uid="{00000000-0005-0000-0000-000055030000}"/>
    <cellStyle name="Normal 2 2 23" xfId="828" xr:uid="{00000000-0005-0000-0000-000056030000}"/>
    <cellStyle name="Normal 2 2 24" xfId="829" xr:uid="{00000000-0005-0000-0000-000057030000}"/>
    <cellStyle name="Normal 2 2 25" xfId="830" xr:uid="{00000000-0005-0000-0000-000058030000}"/>
    <cellStyle name="Normal 2 2 26" xfId="831" xr:uid="{00000000-0005-0000-0000-000059030000}"/>
    <cellStyle name="Normal 2 2 3" xfId="832" xr:uid="{00000000-0005-0000-0000-00005A030000}"/>
    <cellStyle name="Normal 2 2 3 2" xfId="833" xr:uid="{00000000-0005-0000-0000-00005B030000}"/>
    <cellStyle name="Normal 2 2 3 2 2" xfId="834" xr:uid="{00000000-0005-0000-0000-00005C030000}"/>
    <cellStyle name="Normal 2 2 3 2 2 2" xfId="835" xr:uid="{00000000-0005-0000-0000-00005D030000}"/>
    <cellStyle name="Normal 2 2 3 2 2 2 2" xfId="836" xr:uid="{00000000-0005-0000-0000-00005E030000}"/>
    <cellStyle name="Normal 2 2 3 2 2 2 2 2" xfId="837" xr:uid="{00000000-0005-0000-0000-00005F030000}"/>
    <cellStyle name="Normal 2 2 3 2 2 2 2 3" xfId="838" xr:uid="{00000000-0005-0000-0000-000060030000}"/>
    <cellStyle name="Normal 2 2 3 2 2 2 2_ELEC SAP FCST UPLOAD" xfId="839" xr:uid="{00000000-0005-0000-0000-000061030000}"/>
    <cellStyle name="Normal 2 2 3 2 2 2 3" xfId="840" xr:uid="{00000000-0005-0000-0000-000062030000}"/>
    <cellStyle name="Normal 2 2 3 2 2 2 4" xfId="841" xr:uid="{00000000-0005-0000-0000-000063030000}"/>
    <cellStyle name="Normal 2 2 3 2 2 2 5" xfId="842" xr:uid="{00000000-0005-0000-0000-000064030000}"/>
    <cellStyle name="Normal 2 2 3 2 2 2 6" xfId="843" xr:uid="{00000000-0005-0000-0000-000065030000}"/>
    <cellStyle name="Normal 2 2 3 2 2 2_ELEC SAP FCST UPLOAD" xfId="844" xr:uid="{00000000-0005-0000-0000-000066030000}"/>
    <cellStyle name="Normal 2 2 3 2 2 3" xfId="845" xr:uid="{00000000-0005-0000-0000-000067030000}"/>
    <cellStyle name="Normal 2 2 3 2 2 3 2" xfId="846" xr:uid="{00000000-0005-0000-0000-000068030000}"/>
    <cellStyle name="Normal 2 2 3 2 2 3 3" xfId="847" xr:uid="{00000000-0005-0000-0000-000069030000}"/>
    <cellStyle name="Normal 2 2 3 2 2 3_ELEC SAP FCST UPLOAD" xfId="848" xr:uid="{00000000-0005-0000-0000-00006A030000}"/>
    <cellStyle name="Normal 2 2 3 2 2 4" xfId="849" xr:uid="{00000000-0005-0000-0000-00006B030000}"/>
    <cellStyle name="Normal 2 2 3 2 2 5" xfId="850" xr:uid="{00000000-0005-0000-0000-00006C030000}"/>
    <cellStyle name="Normal 2 2 3 2 2 6" xfId="851" xr:uid="{00000000-0005-0000-0000-00006D030000}"/>
    <cellStyle name="Normal 2 2 3 2 2_ELEC SAP FCST UPLOAD" xfId="852" xr:uid="{00000000-0005-0000-0000-00006E030000}"/>
    <cellStyle name="Normal 2 2 3 2 3" xfId="853" xr:uid="{00000000-0005-0000-0000-00006F030000}"/>
    <cellStyle name="Normal 2 2 3 2 3 2" xfId="854" xr:uid="{00000000-0005-0000-0000-000070030000}"/>
    <cellStyle name="Normal 2 2 3 2 3 3" xfId="855" xr:uid="{00000000-0005-0000-0000-000071030000}"/>
    <cellStyle name="Normal 2 2 3 2 3_ELEC SAP FCST UPLOAD" xfId="856" xr:uid="{00000000-0005-0000-0000-000072030000}"/>
    <cellStyle name="Normal 2 2 3 2 4" xfId="857" xr:uid="{00000000-0005-0000-0000-000073030000}"/>
    <cellStyle name="Normal 2 2 3 2 5" xfId="858" xr:uid="{00000000-0005-0000-0000-000074030000}"/>
    <cellStyle name="Normal 2 2 3 2 6" xfId="859" xr:uid="{00000000-0005-0000-0000-000075030000}"/>
    <cellStyle name="Normal 2 2 3 2 7" xfId="860" xr:uid="{00000000-0005-0000-0000-000076030000}"/>
    <cellStyle name="Normal 2 2 3 2_ELEC SAP FCST UPLOAD" xfId="861" xr:uid="{00000000-0005-0000-0000-000077030000}"/>
    <cellStyle name="Normal 2 2 3 3" xfId="862" xr:uid="{00000000-0005-0000-0000-000078030000}"/>
    <cellStyle name="Normal 2 2 3 3 2" xfId="863" xr:uid="{00000000-0005-0000-0000-000079030000}"/>
    <cellStyle name="Normal 2 2 3 3 2 2" xfId="864" xr:uid="{00000000-0005-0000-0000-00007A030000}"/>
    <cellStyle name="Normal 2 2 3 3 2 3" xfId="865" xr:uid="{00000000-0005-0000-0000-00007B030000}"/>
    <cellStyle name="Normal 2 2 3 3 2_ELEC SAP FCST UPLOAD" xfId="866" xr:uid="{00000000-0005-0000-0000-00007C030000}"/>
    <cellStyle name="Normal 2 2 3 3 3" xfId="867" xr:uid="{00000000-0005-0000-0000-00007D030000}"/>
    <cellStyle name="Normal 2 2 3 3 4" xfId="868" xr:uid="{00000000-0005-0000-0000-00007E030000}"/>
    <cellStyle name="Normal 2 2 3 3 5" xfId="869" xr:uid="{00000000-0005-0000-0000-00007F030000}"/>
    <cellStyle name="Normal 2 2 3 3 6" xfId="870" xr:uid="{00000000-0005-0000-0000-000080030000}"/>
    <cellStyle name="Normal 2 2 3 3_ELEC SAP FCST UPLOAD" xfId="871" xr:uid="{00000000-0005-0000-0000-000081030000}"/>
    <cellStyle name="Normal 2 2 3 4" xfId="872" xr:uid="{00000000-0005-0000-0000-000082030000}"/>
    <cellStyle name="Normal 2 2 3 4 2" xfId="873" xr:uid="{00000000-0005-0000-0000-000083030000}"/>
    <cellStyle name="Normal 2 2 3 4 3" xfId="874" xr:uid="{00000000-0005-0000-0000-000084030000}"/>
    <cellStyle name="Normal 2 2 3 4_ELEC SAP FCST UPLOAD" xfId="875" xr:uid="{00000000-0005-0000-0000-000085030000}"/>
    <cellStyle name="Normal 2 2 3 5" xfId="876" xr:uid="{00000000-0005-0000-0000-000086030000}"/>
    <cellStyle name="Normal 2 2 3 6" xfId="877" xr:uid="{00000000-0005-0000-0000-000087030000}"/>
    <cellStyle name="Normal 2 2 3 7" xfId="878" xr:uid="{00000000-0005-0000-0000-000088030000}"/>
    <cellStyle name="Normal 2 2 3_ELEC SAP FCST UPLOAD" xfId="879" xr:uid="{00000000-0005-0000-0000-000089030000}"/>
    <cellStyle name="Normal 2 2 4" xfId="880" xr:uid="{00000000-0005-0000-0000-00008A030000}"/>
    <cellStyle name="Normal 2 2 4 2" xfId="881" xr:uid="{00000000-0005-0000-0000-00008B030000}"/>
    <cellStyle name="Normal 2 2 4 2 2" xfId="882" xr:uid="{00000000-0005-0000-0000-00008C030000}"/>
    <cellStyle name="Normal 2 2 4 2 2 2" xfId="883" xr:uid="{00000000-0005-0000-0000-00008D030000}"/>
    <cellStyle name="Normal 2 2 4 2 2 3" xfId="884" xr:uid="{00000000-0005-0000-0000-00008E030000}"/>
    <cellStyle name="Normal 2 2 4 2 2_ELEC SAP FCST UPLOAD" xfId="885" xr:uid="{00000000-0005-0000-0000-00008F030000}"/>
    <cellStyle name="Normal 2 2 4 2 3" xfId="886" xr:uid="{00000000-0005-0000-0000-000090030000}"/>
    <cellStyle name="Normal 2 2 4 2 4" xfId="887" xr:uid="{00000000-0005-0000-0000-000091030000}"/>
    <cellStyle name="Normal 2 2 4 2 5" xfId="888" xr:uid="{00000000-0005-0000-0000-000092030000}"/>
    <cellStyle name="Normal 2 2 4 2 6" xfId="889" xr:uid="{00000000-0005-0000-0000-000093030000}"/>
    <cellStyle name="Normal 2 2 4 2_ELEC SAP FCST UPLOAD" xfId="890" xr:uid="{00000000-0005-0000-0000-000094030000}"/>
    <cellStyle name="Normal 2 2 4 3" xfId="891" xr:uid="{00000000-0005-0000-0000-000095030000}"/>
    <cellStyle name="Normal 2 2 4 3 2" xfId="892" xr:uid="{00000000-0005-0000-0000-000096030000}"/>
    <cellStyle name="Normal 2 2 4 3 3" xfId="893" xr:uid="{00000000-0005-0000-0000-000097030000}"/>
    <cellStyle name="Normal 2 2 4 3_ELEC SAP FCST UPLOAD" xfId="894" xr:uid="{00000000-0005-0000-0000-000098030000}"/>
    <cellStyle name="Normal 2 2 4 4" xfId="895" xr:uid="{00000000-0005-0000-0000-000099030000}"/>
    <cellStyle name="Normal 2 2 4 5" xfId="896" xr:uid="{00000000-0005-0000-0000-00009A030000}"/>
    <cellStyle name="Normal 2 2 4 6" xfId="897" xr:uid="{00000000-0005-0000-0000-00009B030000}"/>
    <cellStyle name="Normal 2 2 4_ELEC SAP FCST UPLOAD" xfId="898" xr:uid="{00000000-0005-0000-0000-00009C030000}"/>
    <cellStyle name="Normal 2 2 5" xfId="899" xr:uid="{00000000-0005-0000-0000-00009D030000}"/>
    <cellStyle name="Normal 2 2 5 2" xfId="900" xr:uid="{00000000-0005-0000-0000-00009E030000}"/>
    <cellStyle name="Normal 2 2 5 3" xfId="901" xr:uid="{00000000-0005-0000-0000-00009F030000}"/>
    <cellStyle name="Normal 2 2 5_ELEC SAP FCST UPLOAD" xfId="902" xr:uid="{00000000-0005-0000-0000-0000A0030000}"/>
    <cellStyle name="Normal 2 2 6" xfId="903" xr:uid="{00000000-0005-0000-0000-0000A1030000}"/>
    <cellStyle name="Normal 2 2 7" xfId="904" xr:uid="{00000000-0005-0000-0000-0000A2030000}"/>
    <cellStyle name="Normal 2 2 8" xfId="905" xr:uid="{00000000-0005-0000-0000-0000A3030000}"/>
    <cellStyle name="Normal 2 2 9" xfId="906" xr:uid="{00000000-0005-0000-0000-0000A4030000}"/>
    <cellStyle name="Normal 2 2_ELEC SAP FCST UPLOAD" xfId="907" xr:uid="{00000000-0005-0000-0000-0000A5030000}"/>
    <cellStyle name="Normal 2 20" xfId="908" xr:uid="{00000000-0005-0000-0000-0000A6030000}"/>
    <cellStyle name="Normal 2 21" xfId="909" xr:uid="{00000000-0005-0000-0000-0000A7030000}"/>
    <cellStyle name="Normal 2 22" xfId="910" xr:uid="{00000000-0005-0000-0000-0000A8030000}"/>
    <cellStyle name="Normal 2 23" xfId="911" xr:uid="{00000000-0005-0000-0000-0000A9030000}"/>
    <cellStyle name="Normal 2 24" xfId="912" xr:uid="{00000000-0005-0000-0000-0000AA030000}"/>
    <cellStyle name="Normal 2 25" xfId="913" xr:uid="{00000000-0005-0000-0000-0000AB030000}"/>
    <cellStyle name="Normal 2 26" xfId="914" xr:uid="{00000000-0005-0000-0000-0000AC030000}"/>
    <cellStyle name="Normal 2 27" xfId="38" xr:uid="{00000000-0005-0000-0000-0000AD030000}"/>
    <cellStyle name="Normal 2 3" xfId="915" xr:uid="{00000000-0005-0000-0000-0000AE030000}"/>
    <cellStyle name="Normal 2 3 2" xfId="916" xr:uid="{00000000-0005-0000-0000-0000AF030000}"/>
    <cellStyle name="Normal 2 3 2 2" xfId="917" xr:uid="{00000000-0005-0000-0000-0000B0030000}"/>
    <cellStyle name="Normal 2 3 2 2 2" xfId="918" xr:uid="{00000000-0005-0000-0000-0000B1030000}"/>
    <cellStyle name="Normal 2 3 2 2 2 2" xfId="919" xr:uid="{00000000-0005-0000-0000-0000B2030000}"/>
    <cellStyle name="Normal 2 3 2 2 2 2 2" xfId="920" xr:uid="{00000000-0005-0000-0000-0000B3030000}"/>
    <cellStyle name="Normal 2 3 2 2 2 2 3" xfId="921" xr:uid="{00000000-0005-0000-0000-0000B4030000}"/>
    <cellStyle name="Normal 2 3 2 2 2 2_ELEC SAP FCST UPLOAD" xfId="922" xr:uid="{00000000-0005-0000-0000-0000B5030000}"/>
    <cellStyle name="Normal 2 3 2 2 2 3" xfId="923" xr:uid="{00000000-0005-0000-0000-0000B6030000}"/>
    <cellStyle name="Normal 2 3 2 2 2 4" xfId="924" xr:uid="{00000000-0005-0000-0000-0000B7030000}"/>
    <cellStyle name="Normal 2 3 2 2 2 5" xfId="925" xr:uid="{00000000-0005-0000-0000-0000B8030000}"/>
    <cellStyle name="Normal 2 3 2 2 2 6" xfId="926" xr:uid="{00000000-0005-0000-0000-0000B9030000}"/>
    <cellStyle name="Normal 2 3 2 2 2_ELEC SAP FCST UPLOAD" xfId="927" xr:uid="{00000000-0005-0000-0000-0000BA030000}"/>
    <cellStyle name="Normal 2 3 2 2 3" xfId="928" xr:uid="{00000000-0005-0000-0000-0000BB030000}"/>
    <cellStyle name="Normal 2 3 2 2 3 2" xfId="929" xr:uid="{00000000-0005-0000-0000-0000BC030000}"/>
    <cellStyle name="Normal 2 3 2 2 3 3" xfId="930" xr:uid="{00000000-0005-0000-0000-0000BD030000}"/>
    <cellStyle name="Normal 2 3 2 2 3_ELEC SAP FCST UPLOAD" xfId="931" xr:uid="{00000000-0005-0000-0000-0000BE030000}"/>
    <cellStyle name="Normal 2 3 2 2 4" xfId="932" xr:uid="{00000000-0005-0000-0000-0000BF030000}"/>
    <cellStyle name="Normal 2 3 2 2 5" xfId="933" xr:uid="{00000000-0005-0000-0000-0000C0030000}"/>
    <cellStyle name="Normal 2 3 2 2 6" xfId="934" xr:uid="{00000000-0005-0000-0000-0000C1030000}"/>
    <cellStyle name="Normal 2 3 2 2_ELEC SAP FCST UPLOAD" xfId="935" xr:uid="{00000000-0005-0000-0000-0000C2030000}"/>
    <cellStyle name="Normal 2 3 2 3" xfId="936" xr:uid="{00000000-0005-0000-0000-0000C3030000}"/>
    <cellStyle name="Normal 2 3 2 3 2" xfId="937" xr:uid="{00000000-0005-0000-0000-0000C4030000}"/>
    <cellStyle name="Normal 2 3 2 3 3" xfId="938" xr:uid="{00000000-0005-0000-0000-0000C5030000}"/>
    <cellStyle name="Normal 2 3 2 3_ELEC SAP FCST UPLOAD" xfId="939" xr:uid="{00000000-0005-0000-0000-0000C6030000}"/>
    <cellStyle name="Normal 2 3 2 4" xfId="940" xr:uid="{00000000-0005-0000-0000-0000C7030000}"/>
    <cellStyle name="Normal 2 3 2 5" xfId="941" xr:uid="{00000000-0005-0000-0000-0000C8030000}"/>
    <cellStyle name="Normal 2 3 2 6" xfId="942" xr:uid="{00000000-0005-0000-0000-0000C9030000}"/>
    <cellStyle name="Normal 2 3 2 7" xfId="943" xr:uid="{00000000-0005-0000-0000-0000CA030000}"/>
    <cellStyle name="Normal 2 3 2_ELEC SAP FCST UPLOAD" xfId="944" xr:uid="{00000000-0005-0000-0000-0000CB030000}"/>
    <cellStyle name="Normal 2 3 3" xfId="945" xr:uid="{00000000-0005-0000-0000-0000CC030000}"/>
    <cellStyle name="Normal 2 3 3 2" xfId="946" xr:uid="{00000000-0005-0000-0000-0000CD030000}"/>
    <cellStyle name="Normal 2 3 3 2 2" xfId="947" xr:uid="{00000000-0005-0000-0000-0000CE030000}"/>
    <cellStyle name="Normal 2 3 3 2 3" xfId="948" xr:uid="{00000000-0005-0000-0000-0000CF030000}"/>
    <cellStyle name="Normal 2 3 3 2_ELEC SAP FCST UPLOAD" xfId="949" xr:uid="{00000000-0005-0000-0000-0000D0030000}"/>
    <cellStyle name="Normal 2 3 3 3" xfId="950" xr:uid="{00000000-0005-0000-0000-0000D1030000}"/>
    <cellStyle name="Normal 2 3 3 4" xfId="951" xr:uid="{00000000-0005-0000-0000-0000D2030000}"/>
    <cellStyle name="Normal 2 3 3 5" xfId="952" xr:uid="{00000000-0005-0000-0000-0000D3030000}"/>
    <cellStyle name="Normal 2 3 3 6" xfId="953" xr:uid="{00000000-0005-0000-0000-0000D4030000}"/>
    <cellStyle name="Normal 2 3 3_ELEC SAP FCST UPLOAD" xfId="954" xr:uid="{00000000-0005-0000-0000-0000D5030000}"/>
    <cellStyle name="Normal 2 3 4" xfId="955" xr:uid="{00000000-0005-0000-0000-0000D6030000}"/>
    <cellStyle name="Normal 2 3 4 2" xfId="956" xr:uid="{00000000-0005-0000-0000-0000D7030000}"/>
    <cellStyle name="Normal 2 3 4 3" xfId="957" xr:uid="{00000000-0005-0000-0000-0000D8030000}"/>
    <cellStyle name="Normal 2 3 4_ELEC SAP FCST UPLOAD" xfId="958" xr:uid="{00000000-0005-0000-0000-0000D9030000}"/>
    <cellStyle name="Normal 2 3 5" xfId="959" xr:uid="{00000000-0005-0000-0000-0000DA030000}"/>
    <cellStyle name="Normal 2 3 6" xfId="960" xr:uid="{00000000-0005-0000-0000-0000DB030000}"/>
    <cellStyle name="Normal 2 3 7" xfId="961" xr:uid="{00000000-0005-0000-0000-0000DC030000}"/>
    <cellStyle name="Normal 2 3_ELEC SAP FCST UPLOAD" xfId="962" xr:uid="{00000000-0005-0000-0000-0000DD030000}"/>
    <cellStyle name="Normal 2 4" xfId="963" xr:uid="{00000000-0005-0000-0000-0000DE030000}"/>
    <cellStyle name="Normal 2 5" xfId="2" xr:uid="{00000000-0005-0000-0000-0000DF030000}"/>
    <cellStyle name="Normal 2 5 2" xfId="965" xr:uid="{00000000-0005-0000-0000-0000E0030000}"/>
    <cellStyle name="Normal 2 5 2 2" xfId="966" xr:uid="{00000000-0005-0000-0000-0000E1030000}"/>
    <cellStyle name="Normal 2 5 2 2 2" xfId="967" xr:uid="{00000000-0005-0000-0000-0000E2030000}"/>
    <cellStyle name="Normal 2 5 2 2 3" xfId="968" xr:uid="{00000000-0005-0000-0000-0000E3030000}"/>
    <cellStyle name="Normal 2 5 2 2_ELEC SAP FCST UPLOAD" xfId="969" xr:uid="{00000000-0005-0000-0000-0000E4030000}"/>
    <cellStyle name="Normal 2 5 2 3" xfId="970" xr:uid="{00000000-0005-0000-0000-0000E5030000}"/>
    <cellStyle name="Normal 2 5 2 4" xfId="971" xr:uid="{00000000-0005-0000-0000-0000E6030000}"/>
    <cellStyle name="Normal 2 5 2 5" xfId="972" xr:uid="{00000000-0005-0000-0000-0000E7030000}"/>
    <cellStyle name="Normal 2 5 2 6" xfId="973" xr:uid="{00000000-0005-0000-0000-0000E8030000}"/>
    <cellStyle name="Normal 2 5 2_ELEC SAP FCST UPLOAD" xfId="974" xr:uid="{00000000-0005-0000-0000-0000E9030000}"/>
    <cellStyle name="Normal 2 5 3" xfId="975" xr:uid="{00000000-0005-0000-0000-0000EA030000}"/>
    <cellStyle name="Normal 2 5 3 2" xfId="976" xr:uid="{00000000-0005-0000-0000-0000EB030000}"/>
    <cellStyle name="Normal 2 5 3 3" xfId="977" xr:uid="{00000000-0005-0000-0000-0000EC030000}"/>
    <cellStyle name="Normal 2 5 3_ELEC SAP FCST UPLOAD" xfId="978" xr:uid="{00000000-0005-0000-0000-0000ED030000}"/>
    <cellStyle name="Normal 2 5 4" xfId="979" xr:uid="{00000000-0005-0000-0000-0000EE030000}"/>
    <cellStyle name="Normal 2 5 5" xfId="980" xr:uid="{00000000-0005-0000-0000-0000EF030000}"/>
    <cellStyle name="Normal 2 5 6" xfId="981" xr:uid="{00000000-0005-0000-0000-0000F0030000}"/>
    <cellStyle name="Normal 2 5 7" xfId="964" xr:uid="{00000000-0005-0000-0000-0000F1030000}"/>
    <cellStyle name="Normal 2 5_ELEC SAP FCST UPLOAD" xfId="982" xr:uid="{00000000-0005-0000-0000-0000F2030000}"/>
    <cellStyle name="Normal 2 6" xfId="983" xr:uid="{00000000-0005-0000-0000-0000F3030000}"/>
    <cellStyle name="Normal 2 7" xfId="984" xr:uid="{00000000-0005-0000-0000-0000F4030000}"/>
    <cellStyle name="Normal 2 8" xfId="985" xr:uid="{00000000-0005-0000-0000-0000F5030000}"/>
    <cellStyle name="Normal 2 9" xfId="986" xr:uid="{00000000-0005-0000-0000-0000F6030000}"/>
    <cellStyle name="Normal 20" xfId="987" xr:uid="{00000000-0005-0000-0000-0000F7030000}"/>
    <cellStyle name="Normal 21" xfId="988" xr:uid="{00000000-0005-0000-0000-0000F8030000}"/>
    <cellStyle name="Normal 22" xfId="989" xr:uid="{00000000-0005-0000-0000-0000F9030000}"/>
    <cellStyle name="Normal 23" xfId="37" xr:uid="{00000000-0005-0000-0000-0000FA030000}"/>
    <cellStyle name="Normal 24" xfId="2734" xr:uid="{57D07B41-5205-4B7D-8C7F-420365F5E86B}"/>
    <cellStyle name="Normal 3" xfId="39" xr:uid="{00000000-0005-0000-0000-0000FB030000}"/>
    <cellStyle name="Normal 3 10" xfId="990" xr:uid="{00000000-0005-0000-0000-0000FC030000}"/>
    <cellStyle name="Normal 3 10 2" xfId="991" xr:uid="{00000000-0005-0000-0000-0000FD030000}"/>
    <cellStyle name="Normal 3 10 3" xfId="992" xr:uid="{00000000-0005-0000-0000-0000FE030000}"/>
    <cellStyle name="Normal 3 10 4" xfId="993" xr:uid="{00000000-0005-0000-0000-0000FF030000}"/>
    <cellStyle name="Normal 3 10 5" xfId="994" xr:uid="{00000000-0005-0000-0000-000000040000}"/>
    <cellStyle name="Normal 3 10 6" xfId="995" xr:uid="{00000000-0005-0000-0000-000001040000}"/>
    <cellStyle name="Normal 3 10 7" xfId="996" xr:uid="{00000000-0005-0000-0000-000002040000}"/>
    <cellStyle name="Normal 3 11" xfId="997" xr:uid="{00000000-0005-0000-0000-000003040000}"/>
    <cellStyle name="Normal 3 12" xfId="998" xr:uid="{00000000-0005-0000-0000-000004040000}"/>
    <cellStyle name="Normal 3 13" xfId="999" xr:uid="{00000000-0005-0000-0000-000005040000}"/>
    <cellStyle name="Normal 3 14" xfId="1000" xr:uid="{00000000-0005-0000-0000-000006040000}"/>
    <cellStyle name="Normal 3 15" xfId="1001" xr:uid="{00000000-0005-0000-0000-000007040000}"/>
    <cellStyle name="Normal 3 16" xfId="1002" xr:uid="{00000000-0005-0000-0000-000008040000}"/>
    <cellStyle name="Normal 3 17" xfId="1003" xr:uid="{00000000-0005-0000-0000-000009040000}"/>
    <cellStyle name="Normal 3 18" xfId="1004" xr:uid="{00000000-0005-0000-0000-00000A040000}"/>
    <cellStyle name="Normal 3 19" xfId="1005" xr:uid="{00000000-0005-0000-0000-00000B040000}"/>
    <cellStyle name="Normal 3 2" xfId="1006" xr:uid="{00000000-0005-0000-0000-00000C040000}"/>
    <cellStyle name="Normal 3 2 10" xfId="1007" xr:uid="{00000000-0005-0000-0000-00000D040000}"/>
    <cellStyle name="Normal 3 2 11" xfId="1008" xr:uid="{00000000-0005-0000-0000-00000E040000}"/>
    <cellStyle name="Normal 3 2 12" xfId="1009" xr:uid="{00000000-0005-0000-0000-00000F040000}"/>
    <cellStyle name="Normal 3 2 13" xfId="1010" xr:uid="{00000000-0005-0000-0000-000010040000}"/>
    <cellStyle name="Normal 3 2 14" xfId="1011" xr:uid="{00000000-0005-0000-0000-000011040000}"/>
    <cellStyle name="Normal 3 2 15" xfId="1012" xr:uid="{00000000-0005-0000-0000-000012040000}"/>
    <cellStyle name="Normal 3 2 16" xfId="1013" xr:uid="{00000000-0005-0000-0000-000013040000}"/>
    <cellStyle name="Normal 3 2 2" xfId="1014" xr:uid="{00000000-0005-0000-0000-000014040000}"/>
    <cellStyle name="Normal 3 2 2 2" xfId="1015" xr:uid="{00000000-0005-0000-0000-000015040000}"/>
    <cellStyle name="Normal 3 2 2 3" xfId="1016" xr:uid="{00000000-0005-0000-0000-000016040000}"/>
    <cellStyle name="Normal 3 2 2 4" xfId="1017" xr:uid="{00000000-0005-0000-0000-000017040000}"/>
    <cellStyle name="Normal 3 2 2 5" xfId="1018" xr:uid="{00000000-0005-0000-0000-000018040000}"/>
    <cellStyle name="Normal 3 2 2 6" xfId="1019" xr:uid="{00000000-0005-0000-0000-000019040000}"/>
    <cellStyle name="Normal 3 2 2 7" xfId="1020" xr:uid="{00000000-0005-0000-0000-00001A040000}"/>
    <cellStyle name="Normal 3 2 3" xfId="1021" xr:uid="{00000000-0005-0000-0000-00001B040000}"/>
    <cellStyle name="Normal 3 2 4" xfId="1022" xr:uid="{00000000-0005-0000-0000-00001C040000}"/>
    <cellStyle name="Normal 3 2 5" xfId="1023" xr:uid="{00000000-0005-0000-0000-00001D040000}"/>
    <cellStyle name="Normal 3 2 6" xfId="1024" xr:uid="{00000000-0005-0000-0000-00001E040000}"/>
    <cellStyle name="Normal 3 2 7" xfId="1025" xr:uid="{00000000-0005-0000-0000-00001F040000}"/>
    <cellStyle name="Normal 3 2 8" xfId="1026" xr:uid="{00000000-0005-0000-0000-000020040000}"/>
    <cellStyle name="Normal 3 2 9" xfId="1027" xr:uid="{00000000-0005-0000-0000-000021040000}"/>
    <cellStyle name="Normal 3 20" xfId="1028" xr:uid="{00000000-0005-0000-0000-000022040000}"/>
    <cellStyle name="Normal 3 3" xfId="1029" xr:uid="{00000000-0005-0000-0000-000023040000}"/>
    <cellStyle name="Normal 3 3 2" xfId="1030" xr:uid="{00000000-0005-0000-0000-000024040000}"/>
    <cellStyle name="Normal 3 3 2 5 10" xfId="6" xr:uid="{00000000-0005-0000-0000-000025040000}"/>
    <cellStyle name="Normal 3 3_GTO Non Operational Capex Roll-over submission (FINAL with property)" xfId="1031" xr:uid="{00000000-0005-0000-0000-000026040000}"/>
    <cellStyle name="Normal 3 4" xfId="1032" xr:uid="{00000000-0005-0000-0000-000027040000}"/>
    <cellStyle name="Normal 3 5" xfId="1033" xr:uid="{00000000-0005-0000-0000-000028040000}"/>
    <cellStyle name="Normal 3 6" xfId="1034" xr:uid="{00000000-0005-0000-0000-000029040000}"/>
    <cellStyle name="Normal 3 7" xfId="1035" xr:uid="{00000000-0005-0000-0000-00002A040000}"/>
    <cellStyle name="Normal 3 8" xfId="1036" xr:uid="{00000000-0005-0000-0000-00002B040000}"/>
    <cellStyle name="Normal 3 9" xfId="1037" xr:uid="{00000000-0005-0000-0000-00002C040000}"/>
    <cellStyle name="Normal 3_ELEC SAP FCST UPLOAD" xfId="1038" xr:uid="{00000000-0005-0000-0000-00002D040000}"/>
    <cellStyle name="Normal 4" xfId="1039" xr:uid="{00000000-0005-0000-0000-00002E040000}"/>
    <cellStyle name="Normal 4 2" xfId="1040" xr:uid="{00000000-0005-0000-0000-00002F040000}"/>
    <cellStyle name="Normal 4 2 2" xfId="1041" xr:uid="{00000000-0005-0000-0000-000030040000}"/>
    <cellStyle name="Normal 4 2 2 2" xfId="1042" xr:uid="{00000000-0005-0000-0000-000031040000}"/>
    <cellStyle name="Normal 4 2 2 2 2" xfId="1043" xr:uid="{00000000-0005-0000-0000-000032040000}"/>
    <cellStyle name="Normal 4 2 2 2 2 2" xfId="1044" xr:uid="{00000000-0005-0000-0000-000033040000}"/>
    <cellStyle name="Normal 4 2 2 2 2 3" xfId="1045" xr:uid="{00000000-0005-0000-0000-000034040000}"/>
    <cellStyle name="Normal 4 2 2 2 2_ELEC SAP FCST UPLOAD" xfId="1046" xr:uid="{00000000-0005-0000-0000-000035040000}"/>
    <cellStyle name="Normal 4 2 2 2 3" xfId="1047" xr:uid="{00000000-0005-0000-0000-000036040000}"/>
    <cellStyle name="Normal 4 2 2 2 4" xfId="1048" xr:uid="{00000000-0005-0000-0000-000037040000}"/>
    <cellStyle name="Normal 4 2 2 2 5" xfId="1049" xr:uid="{00000000-0005-0000-0000-000038040000}"/>
    <cellStyle name="Normal 4 2 2 2 6" xfId="1050" xr:uid="{00000000-0005-0000-0000-000039040000}"/>
    <cellStyle name="Normal 4 2 2 2_ELEC SAP FCST UPLOAD" xfId="1051" xr:uid="{00000000-0005-0000-0000-00003A040000}"/>
    <cellStyle name="Normal 4 2 2 3" xfId="1052" xr:uid="{00000000-0005-0000-0000-00003B040000}"/>
    <cellStyle name="Normal 4 2 2 3 2" xfId="1053" xr:uid="{00000000-0005-0000-0000-00003C040000}"/>
    <cellStyle name="Normal 4 2 2 3 3" xfId="1054" xr:uid="{00000000-0005-0000-0000-00003D040000}"/>
    <cellStyle name="Normal 4 2 2 3_ELEC SAP FCST UPLOAD" xfId="1055" xr:uid="{00000000-0005-0000-0000-00003E040000}"/>
    <cellStyle name="Normal 4 2 2 4" xfId="1056" xr:uid="{00000000-0005-0000-0000-00003F040000}"/>
    <cellStyle name="Normal 4 2 2 5" xfId="1057" xr:uid="{00000000-0005-0000-0000-000040040000}"/>
    <cellStyle name="Normal 4 2 2 6" xfId="1058" xr:uid="{00000000-0005-0000-0000-000041040000}"/>
    <cellStyle name="Normal 4 2 2_ELEC SAP FCST UPLOAD" xfId="1059" xr:uid="{00000000-0005-0000-0000-000042040000}"/>
    <cellStyle name="Normal 4 2 3" xfId="1060" xr:uid="{00000000-0005-0000-0000-000043040000}"/>
    <cellStyle name="Normal 4 2 3 2" xfId="1061" xr:uid="{00000000-0005-0000-0000-000044040000}"/>
    <cellStyle name="Normal 4 2 3 3" xfId="1062" xr:uid="{00000000-0005-0000-0000-000045040000}"/>
    <cellStyle name="Normal 4 2 3_ELEC SAP FCST UPLOAD" xfId="1063" xr:uid="{00000000-0005-0000-0000-000046040000}"/>
    <cellStyle name="Normal 4 2 4" xfId="1064" xr:uid="{00000000-0005-0000-0000-000047040000}"/>
    <cellStyle name="Normal 4 2 5" xfId="1065" xr:uid="{00000000-0005-0000-0000-000048040000}"/>
    <cellStyle name="Normal 4 2 6" xfId="1066" xr:uid="{00000000-0005-0000-0000-000049040000}"/>
    <cellStyle name="Normal 4 2 7" xfId="1067" xr:uid="{00000000-0005-0000-0000-00004A040000}"/>
    <cellStyle name="Normal 4 2_ELEC SAP FCST UPLOAD" xfId="1068" xr:uid="{00000000-0005-0000-0000-00004B040000}"/>
    <cellStyle name="Normal 4 3" xfId="1069" xr:uid="{00000000-0005-0000-0000-00004C040000}"/>
    <cellStyle name="Normal 4 3 2" xfId="1070" xr:uid="{00000000-0005-0000-0000-00004D040000}"/>
    <cellStyle name="Normal 4 3 2 2" xfId="1071" xr:uid="{00000000-0005-0000-0000-00004E040000}"/>
    <cellStyle name="Normal 4 3 2 3" xfId="1072" xr:uid="{00000000-0005-0000-0000-00004F040000}"/>
    <cellStyle name="Normal 4 3 2_ELEC SAP FCST UPLOAD" xfId="1073" xr:uid="{00000000-0005-0000-0000-000050040000}"/>
    <cellStyle name="Normal 4 3 3" xfId="1074" xr:uid="{00000000-0005-0000-0000-000051040000}"/>
    <cellStyle name="Normal 4 3 4" xfId="1075" xr:uid="{00000000-0005-0000-0000-000052040000}"/>
    <cellStyle name="Normal 4 3 5" xfId="1076" xr:uid="{00000000-0005-0000-0000-000053040000}"/>
    <cellStyle name="Normal 4 3 6" xfId="1077" xr:uid="{00000000-0005-0000-0000-000054040000}"/>
    <cellStyle name="Normal 4 3_ELEC SAP FCST UPLOAD" xfId="1078" xr:uid="{00000000-0005-0000-0000-000055040000}"/>
    <cellStyle name="Normal 4 4" xfId="1079" xr:uid="{00000000-0005-0000-0000-000056040000}"/>
    <cellStyle name="Normal 4 5" xfId="1080" xr:uid="{00000000-0005-0000-0000-000057040000}"/>
    <cellStyle name="Normal 4 6" xfId="1081" xr:uid="{00000000-0005-0000-0000-000058040000}"/>
    <cellStyle name="Normal 4_ELEC SAP FCST UPLOAD" xfId="1082" xr:uid="{00000000-0005-0000-0000-000059040000}"/>
    <cellStyle name="Normal 5" xfId="12" xr:uid="{00000000-0005-0000-0000-00005A040000}"/>
    <cellStyle name="Normal 5 2" xfId="1084" xr:uid="{00000000-0005-0000-0000-00005B040000}"/>
    <cellStyle name="Normal 5 2 2" xfId="1085" xr:uid="{00000000-0005-0000-0000-00005C040000}"/>
    <cellStyle name="Normal 5 2 2 2" xfId="1086" xr:uid="{00000000-0005-0000-0000-00005D040000}"/>
    <cellStyle name="Normal 5 2 2 3" xfId="1087" xr:uid="{00000000-0005-0000-0000-00005E040000}"/>
    <cellStyle name="Normal 5 2 2_ELEC SAP FCST UPLOAD" xfId="1088" xr:uid="{00000000-0005-0000-0000-00005F040000}"/>
    <cellStyle name="Normal 5 2 3" xfId="1089" xr:uid="{00000000-0005-0000-0000-000060040000}"/>
    <cellStyle name="Normal 5 2 4" xfId="1090" xr:uid="{00000000-0005-0000-0000-000061040000}"/>
    <cellStyle name="Normal 5 2 5" xfId="1091" xr:uid="{00000000-0005-0000-0000-000062040000}"/>
    <cellStyle name="Normal 5 2 6" xfId="1092" xr:uid="{00000000-0005-0000-0000-000063040000}"/>
    <cellStyle name="Normal 5 2_ELEC SAP FCST UPLOAD" xfId="1093" xr:uid="{00000000-0005-0000-0000-000064040000}"/>
    <cellStyle name="Normal 5 3" xfId="1094" xr:uid="{00000000-0005-0000-0000-000065040000}"/>
    <cellStyle name="Normal 5 4" xfId="1095" xr:uid="{00000000-0005-0000-0000-000066040000}"/>
    <cellStyle name="Normal 5 5" xfId="1096" xr:uid="{00000000-0005-0000-0000-000067040000}"/>
    <cellStyle name="Normal 5 6" xfId="1083" xr:uid="{00000000-0005-0000-0000-000068040000}"/>
    <cellStyle name="Normal 5_ELEC SAP FCST UPLOAD" xfId="1097" xr:uid="{00000000-0005-0000-0000-000069040000}"/>
    <cellStyle name="Normal 54 2 14" xfId="15" xr:uid="{00000000-0005-0000-0000-00006A040000}"/>
    <cellStyle name="Normal 54 25" xfId="13" xr:uid="{00000000-0005-0000-0000-00006B040000}"/>
    <cellStyle name="Normal 58" xfId="17" xr:uid="{00000000-0005-0000-0000-00006C040000}"/>
    <cellStyle name="Normal 6" xfId="1098" xr:uid="{00000000-0005-0000-0000-00006D040000}"/>
    <cellStyle name="Normal 7" xfId="1099" xr:uid="{00000000-0005-0000-0000-00006E040000}"/>
    <cellStyle name="Normal 8" xfId="1100" xr:uid="{00000000-0005-0000-0000-00006F040000}"/>
    <cellStyle name="Normal 9" xfId="1101" xr:uid="{00000000-0005-0000-0000-000070040000}"/>
    <cellStyle name="Normal 9 2" xfId="1102" xr:uid="{00000000-0005-0000-0000-000071040000}"/>
    <cellStyle name="Normal 9_GTO Non Operational Capex Roll-over submission (FINAL with property)" xfId="1103" xr:uid="{00000000-0005-0000-0000-000072040000}"/>
    <cellStyle name="Normal 92" xfId="1836" xr:uid="{00000000-0005-0000-0000-000073040000}"/>
    <cellStyle name="Normal U" xfId="1104" xr:uid="{00000000-0005-0000-0000-000074040000}"/>
    <cellStyle name="Normal_Financial tables_NG 2" xfId="1" xr:uid="{00000000-0005-0000-0000-000075040000}"/>
    <cellStyle name="Note 2" xfId="1105" xr:uid="{00000000-0005-0000-0000-000076040000}"/>
    <cellStyle name="Note 2 10" xfId="2062" xr:uid="{84D5DC4E-CC00-4EA2-B3C1-E928CF9E1279}"/>
    <cellStyle name="Note 2 2" xfId="1469" xr:uid="{00000000-0005-0000-0000-000077040000}"/>
    <cellStyle name="Note 2 2 2" xfId="2276" xr:uid="{81D6C208-F42C-4AC2-952C-CCB5A7CFF377}"/>
    <cellStyle name="Note 2 3" xfId="1422" xr:uid="{00000000-0005-0000-0000-000078040000}"/>
    <cellStyle name="Note 2 3 2" xfId="2245" xr:uid="{5BCC4E73-CF8E-4DB5-8834-06B7BD16C66B}"/>
    <cellStyle name="Note 2 4" xfId="1382" xr:uid="{00000000-0005-0000-0000-000079040000}"/>
    <cellStyle name="Note 2 4 2" xfId="2205" xr:uid="{C2DCBA1F-330D-42C8-9870-B4B65AF0CF8E}"/>
    <cellStyle name="Note 2 5" xfId="1338" xr:uid="{00000000-0005-0000-0000-00007A040000}"/>
    <cellStyle name="Note 2 5 2" xfId="2165" xr:uid="{CF4BB15B-CB13-4D21-BE9E-8423223CA963}"/>
    <cellStyle name="Note 2 6" xfId="1375" xr:uid="{00000000-0005-0000-0000-00007B040000}"/>
    <cellStyle name="Note 2 6 2" xfId="2198" xr:uid="{3BFD4B66-5D97-4486-AEF2-0BB3AAB84470}"/>
    <cellStyle name="Note 2 7" xfId="1348" xr:uid="{00000000-0005-0000-0000-00007C040000}"/>
    <cellStyle name="Note 2 7 2" xfId="2175" xr:uid="{09C5A2EB-1344-4EC3-92E6-0BD2F5AE7C23}"/>
    <cellStyle name="Note 2 8" xfId="1929" xr:uid="{00000000-0005-0000-0000-00007D040000}"/>
    <cellStyle name="Note 2 8 2" xfId="2695" xr:uid="{AF9FCBF0-37D0-4420-A3FD-A0C5A659325B}"/>
    <cellStyle name="Note 2 9" xfId="1938" xr:uid="{00000000-0005-0000-0000-00007E040000}"/>
    <cellStyle name="Note 2 9 2" xfId="2704" xr:uid="{34701F7A-D90C-4A99-9C1E-549902B4D382}"/>
    <cellStyle name="Note 3" xfId="1106" xr:uid="{00000000-0005-0000-0000-00007F040000}"/>
    <cellStyle name="Note 3 10" xfId="1423" xr:uid="{00000000-0005-0000-0000-000080040000}"/>
    <cellStyle name="Note 3 10 2" xfId="2246" xr:uid="{7E0D648C-F80A-45EF-9945-D79A7E10146D}"/>
    <cellStyle name="Note 3 11" xfId="1383" xr:uid="{00000000-0005-0000-0000-000081040000}"/>
    <cellStyle name="Note 3 11 2" xfId="2206" xr:uid="{BDD3A430-7F8C-4C04-8C85-02524B552034}"/>
    <cellStyle name="Note 3 12" xfId="1337" xr:uid="{00000000-0005-0000-0000-000082040000}"/>
    <cellStyle name="Note 3 12 2" xfId="2164" xr:uid="{472C7EFB-7103-4740-AAE5-53C90773FAE0}"/>
    <cellStyle name="Note 3 13" xfId="1376" xr:uid="{00000000-0005-0000-0000-000083040000}"/>
    <cellStyle name="Note 3 13 2" xfId="2199" xr:uid="{BD077FA1-2320-4E99-BF10-E78D17F0F073}"/>
    <cellStyle name="Note 3 14" xfId="1347" xr:uid="{00000000-0005-0000-0000-000084040000}"/>
    <cellStyle name="Note 3 14 2" xfId="2174" xr:uid="{426CFC67-13A5-47F6-86C4-CF8F1C2BA995}"/>
    <cellStyle name="Note 3 15" xfId="1928" xr:uid="{00000000-0005-0000-0000-000085040000}"/>
    <cellStyle name="Note 3 15 2" xfId="2694" xr:uid="{3C98431F-A3F1-4CDC-A74A-D329F9C631CA}"/>
    <cellStyle name="Note 3 16" xfId="1939" xr:uid="{00000000-0005-0000-0000-000086040000}"/>
    <cellStyle name="Note 3 16 2" xfId="2705" xr:uid="{571A11BD-7D40-40DB-ADCC-3E0ECD0702BA}"/>
    <cellStyle name="Note 3 17" xfId="2063" xr:uid="{69FD6996-3795-48C2-B1F9-C7DDCBD90EFF}"/>
    <cellStyle name="Note 3 2" xfId="1107" xr:uid="{00000000-0005-0000-0000-000087040000}"/>
    <cellStyle name="Note 3 2 10" xfId="2064" xr:uid="{753F8122-BAB9-4E4E-836F-AA1BBF169273}"/>
    <cellStyle name="Note 3 2 2" xfId="1471" xr:uid="{00000000-0005-0000-0000-000088040000}"/>
    <cellStyle name="Note 3 2 2 2" xfId="2278" xr:uid="{2061F44C-D006-4E73-A253-CCF87EA4ADF8}"/>
    <cellStyle name="Note 3 2 3" xfId="1424" xr:uid="{00000000-0005-0000-0000-000089040000}"/>
    <cellStyle name="Note 3 2 3 2" xfId="2247" xr:uid="{9DD1F886-D393-4C25-BF4C-92C68FD80A9D}"/>
    <cellStyle name="Note 3 2 4" xfId="1384" xr:uid="{00000000-0005-0000-0000-00008A040000}"/>
    <cellStyle name="Note 3 2 4 2" xfId="2207" xr:uid="{B1CDBA25-5FA5-4ED1-B90A-4B554955D9FD}"/>
    <cellStyle name="Note 3 2 5" xfId="1336" xr:uid="{00000000-0005-0000-0000-00008B040000}"/>
    <cellStyle name="Note 3 2 5 2" xfId="2163" xr:uid="{27524F87-2F42-4592-85AE-943C77597BBC}"/>
    <cellStyle name="Note 3 2 6" xfId="1377" xr:uid="{00000000-0005-0000-0000-00008C040000}"/>
    <cellStyle name="Note 3 2 6 2" xfId="2200" xr:uid="{C9572B10-6F72-4FC0-A836-9423A9B38697}"/>
    <cellStyle name="Note 3 2 7" xfId="1346" xr:uid="{00000000-0005-0000-0000-00008D040000}"/>
    <cellStyle name="Note 3 2 7 2" xfId="2173" xr:uid="{5AC1D319-AF54-40D9-B4FA-573BD562E8E4}"/>
    <cellStyle name="Note 3 2 8" xfId="1927" xr:uid="{00000000-0005-0000-0000-00008E040000}"/>
    <cellStyle name="Note 3 2 8 2" xfId="2693" xr:uid="{1EDD550E-EBC3-409D-A2A5-E106541B03AF}"/>
    <cellStyle name="Note 3 2 9" xfId="1940" xr:uid="{00000000-0005-0000-0000-00008F040000}"/>
    <cellStyle name="Note 3 2 9 2" xfId="2706" xr:uid="{CD08DA69-4890-472B-AF1D-580E46D33C92}"/>
    <cellStyle name="Note 3 3" xfId="1108" xr:uid="{00000000-0005-0000-0000-000090040000}"/>
    <cellStyle name="Note 3 3 10" xfId="2065" xr:uid="{202134DE-BF0A-42B2-97EB-B43DFED3F6E5}"/>
    <cellStyle name="Note 3 3 2" xfId="1472" xr:uid="{00000000-0005-0000-0000-000091040000}"/>
    <cellStyle name="Note 3 3 2 2" xfId="2279" xr:uid="{894B5467-2019-4DE3-A101-2034CF621B52}"/>
    <cellStyle name="Note 3 3 3" xfId="1425" xr:uid="{00000000-0005-0000-0000-000092040000}"/>
    <cellStyle name="Note 3 3 3 2" xfId="2248" xr:uid="{C0FA932B-4A2D-4F8C-9DA9-943E865C5D83}"/>
    <cellStyle name="Note 3 3 4" xfId="1385" xr:uid="{00000000-0005-0000-0000-000093040000}"/>
    <cellStyle name="Note 3 3 4 2" xfId="2208" xr:uid="{2DCD1A67-7E21-4E94-A347-F944A86BFD24}"/>
    <cellStyle name="Note 3 3 5" xfId="1335" xr:uid="{00000000-0005-0000-0000-000094040000}"/>
    <cellStyle name="Note 3 3 5 2" xfId="2162" xr:uid="{48FCB696-8991-40FB-9F06-4AD305D576D3}"/>
    <cellStyle name="Note 3 3 6" xfId="23" xr:uid="{00000000-0005-0000-0000-000095040000}"/>
    <cellStyle name="Note 3 3 6 2" xfId="1969" xr:uid="{C083054E-8E45-4DE3-B223-A5058D1D4525}"/>
    <cellStyle name="Note 3 3 7" xfId="1345" xr:uid="{00000000-0005-0000-0000-000096040000}"/>
    <cellStyle name="Note 3 3 7 2" xfId="2172" xr:uid="{2EBD7F30-5C69-495C-AF8B-A804BE7EFBB2}"/>
    <cellStyle name="Note 3 3 8" xfId="1926" xr:uid="{00000000-0005-0000-0000-000097040000}"/>
    <cellStyle name="Note 3 3 8 2" xfId="2692" xr:uid="{673F534F-4B66-47C5-AA4C-FF5BE486F5C6}"/>
    <cellStyle name="Note 3 3 9" xfId="1941" xr:uid="{00000000-0005-0000-0000-000098040000}"/>
    <cellStyle name="Note 3 3 9 2" xfId="2707" xr:uid="{4880636A-FA0E-4679-9482-5377EFE04536}"/>
    <cellStyle name="Note 3 4" xfId="1109" xr:uid="{00000000-0005-0000-0000-000099040000}"/>
    <cellStyle name="Note 3 4 10" xfId="2066" xr:uid="{034B5A5B-2080-4AAB-B734-F70D5C08EEA4}"/>
    <cellStyle name="Note 3 4 2" xfId="1473" xr:uid="{00000000-0005-0000-0000-00009A040000}"/>
    <cellStyle name="Note 3 4 2 2" xfId="2280" xr:uid="{B9FA75B0-A957-4532-B581-0DDF149A617F}"/>
    <cellStyle name="Note 3 4 3" xfId="1426" xr:uid="{00000000-0005-0000-0000-00009B040000}"/>
    <cellStyle name="Note 3 4 3 2" xfId="2249" xr:uid="{C282108D-C405-4ECB-87D7-7E7D2199CA72}"/>
    <cellStyle name="Note 3 4 4" xfId="1386" xr:uid="{00000000-0005-0000-0000-00009C040000}"/>
    <cellStyle name="Note 3 4 4 2" xfId="2209" xr:uid="{C824CE11-2144-4CFA-8F26-53B63E58CE75}"/>
    <cellStyle name="Note 3 4 5" xfId="1334" xr:uid="{00000000-0005-0000-0000-00009D040000}"/>
    <cellStyle name="Note 3 4 5 2" xfId="2161" xr:uid="{56326366-FE90-4246-B125-D31E31AD4C89}"/>
    <cellStyle name="Note 3 4 6" xfId="1605" xr:uid="{00000000-0005-0000-0000-00009E040000}"/>
    <cellStyle name="Note 3 4 6 2" xfId="2376" xr:uid="{0AC7D14F-3A11-428F-AE59-D15AD745AC15}"/>
    <cellStyle name="Note 3 4 7" xfId="1344" xr:uid="{00000000-0005-0000-0000-00009F040000}"/>
    <cellStyle name="Note 3 4 7 2" xfId="2171" xr:uid="{CE3BC40E-0EB5-44F0-822D-EBCB3BEC059F}"/>
    <cellStyle name="Note 3 4 8" xfId="1925" xr:uid="{00000000-0005-0000-0000-0000A0040000}"/>
    <cellStyle name="Note 3 4 8 2" xfId="2691" xr:uid="{D4660EAC-9F95-4B84-9B42-4050B4440A27}"/>
    <cellStyle name="Note 3 4 9" xfId="1942" xr:uid="{00000000-0005-0000-0000-0000A1040000}"/>
    <cellStyle name="Note 3 4 9 2" xfId="2708" xr:uid="{E67248DB-6D37-4A4B-987E-E0C239C70FC9}"/>
    <cellStyle name="Note 3 5" xfId="1110" xr:uid="{00000000-0005-0000-0000-0000A2040000}"/>
    <cellStyle name="Note 3 5 10" xfId="2067" xr:uid="{0A54F6A5-84BE-41E2-8C72-CB50A302562F}"/>
    <cellStyle name="Note 3 5 2" xfId="1474" xr:uid="{00000000-0005-0000-0000-0000A3040000}"/>
    <cellStyle name="Note 3 5 2 2" xfId="2281" xr:uid="{7DB88D87-218F-4813-B683-C354B5763382}"/>
    <cellStyle name="Note 3 5 3" xfId="1427" xr:uid="{00000000-0005-0000-0000-0000A4040000}"/>
    <cellStyle name="Note 3 5 3 2" xfId="2250" xr:uid="{14D04106-1B0A-4AC1-86D5-AD31D5718EE7}"/>
    <cellStyle name="Note 3 5 4" xfId="1387" xr:uid="{00000000-0005-0000-0000-0000A5040000}"/>
    <cellStyle name="Note 3 5 4 2" xfId="2210" xr:uid="{AC6A634D-9107-4D7F-8258-B7B3ACD0CD14}"/>
    <cellStyle name="Note 3 5 5" xfId="1333" xr:uid="{00000000-0005-0000-0000-0000A6040000}"/>
    <cellStyle name="Note 3 5 5 2" xfId="2160" xr:uid="{DB5EE1DD-446F-4EAF-94EA-36A226566292}"/>
    <cellStyle name="Note 3 5 6" xfId="1611" xr:uid="{00000000-0005-0000-0000-0000A7040000}"/>
    <cellStyle name="Note 3 5 6 2" xfId="2380" xr:uid="{457D366F-EDEF-47B6-9A53-3D7192DB1668}"/>
    <cellStyle name="Note 3 5 7" xfId="1343" xr:uid="{00000000-0005-0000-0000-0000A8040000}"/>
    <cellStyle name="Note 3 5 7 2" xfId="2170" xr:uid="{3D2D18DF-77F4-42B1-8160-600DB1481EB6}"/>
    <cellStyle name="Note 3 5 8" xfId="1924" xr:uid="{00000000-0005-0000-0000-0000A9040000}"/>
    <cellStyle name="Note 3 5 8 2" xfId="2690" xr:uid="{C60CB36B-A68C-4379-B74D-D2CF298B940C}"/>
    <cellStyle name="Note 3 5 9" xfId="1943" xr:uid="{00000000-0005-0000-0000-0000AA040000}"/>
    <cellStyle name="Note 3 5 9 2" xfId="2709" xr:uid="{ECD4BEDA-3259-49BF-B929-91739DB87875}"/>
    <cellStyle name="Note 3 6" xfId="1111" xr:uid="{00000000-0005-0000-0000-0000AB040000}"/>
    <cellStyle name="Note 3 6 10" xfId="2068" xr:uid="{6FD5D654-BAF4-4DD4-BB74-8CE6D7EC11DE}"/>
    <cellStyle name="Note 3 6 2" xfId="1475" xr:uid="{00000000-0005-0000-0000-0000AC040000}"/>
    <cellStyle name="Note 3 6 2 2" xfId="2282" xr:uid="{327D0B4A-48C1-4887-B66A-3F51A9A03B91}"/>
    <cellStyle name="Note 3 6 3" xfId="1428" xr:uid="{00000000-0005-0000-0000-0000AD040000}"/>
    <cellStyle name="Note 3 6 3 2" xfId="2251" xr:uid="{7D58FDB6-9A5B-4687-9469-BA2D3335F0E8}"/>
    <cellStyle name="Note 3 6 4" xfId="1388" xr:uid="{00000000-0005-0000-0000-0000AE040000}"/>
    <cellStyle name="Note 3 6 4 2" xfId="2211" xr:uid="{E7710B02-27B4-40E9-AF64-EB45F0AB28F9}"/>
    <cellStyle name="Note 3 6 5" xfId="1332" xr:uid="{00000000-0005-0000-0000-0000AF040000}"/>
    <cellStyle name="Note 3 6 5 2" xfId="2159" xr:uid="{B36B3990-5267-4224-AF4A-49EEF6B3F49A}"/>
    <cellStyle name="Note 3 6 6" xfId="1610" xr:uid="{00000000-0005-0000-0000-0000B0040000}"/>
    <cellStyle name="Note 3 6 6 2" xfId="2379" xr:uid="{D7C14EB8-A9CD-48B0-BCB7-05D98B5F131E}"/>
    <cellStyle name="Note 3 6 7" xfId="1647" xr:uid="{00000000-0005-0000-0000-0000B1040000}"/>
    <cellStyle name="Note 3 6 7 2" xfId="2415" xr:uid="{4DF87710-A614-40DC-A2AB-B4EEDA3FE56B}"/>
    <cellStyle name="Note 3 6 8" xfId="1923" xr:uid="{00000000-0005-0000-0000-0000B2040000}"/>
    <cellStyle name="Note 3 6 8 2" xfId="2689" xr:uid="{9DD3A087-9199-4ADB-A8C1-527613145E50}"/>
    <cellStyle name="Note 3 6 9" xfId="1944" xr:uid="{00000000-0005-0000-0000-0000B3040000}"/>
    <cellStyle name="Note 3 6 9 2" xfId="2710" xr:uid="{45E2E595-2D31-4105-8085-A74014477C91}"/>
    <cellStyle name="Note 3 7" xfId="1112" xr:uid="{00000000-0005-0000-0000-0000B4040000}"/>
    <cellStyle name="Note 3 7 10" xfId="2069" xr:uid="{CFFE9202-BC95-445D-B761-CF76F07F3688}"/>
    <cellStyle name="Note 3 7 2" xfId="1476" xr:uid="{00000000-0005-0000-0000-0000B5040000}"/>
    <cellStyle name="Note 3 7 2 2" xfId="2283" xr:uid="{26777E1D-2E5C-43AE-B32B-DB0316CB603B}"/>
    <cellStyle name="Note 3 7 3" xfId="1429" xr:uid="{00000000-0005-0000-0000-0000B6040000}"/>
    <cellStyle name="Note 3 7 3 2" xfId="2252" xr:uid="{40C224AC-FB47-4488-BBAB-400683BAEC9C}"/>
    <cellStyle name="Note 3 7 4" xfId="1389" xr:uid="{00000000-0005-0000-0000-0000B7040000}"/>
    <cellStyle name="Note 3 7 4 2" xfId="2212" xr:uid="{D373C338-7814-41B3-9B9A-92ADA8965E56}"/>
    <cellStyle name="Note 3 7 5" xfId="1331" xr:uid="{00000000-0005-0000-0000-0000B8040000}"/>
    <cellStyle name="Note 3 7 5 2" xfId="2158" xr:uid="{92F1906A-32C3-441D-845C-4565CD23831A}"/>
    <cellStyle name="Note 3 7 6" xfId="1378" xr:uid="{00000000-0005-0000-0000-0000B9040000}"/>
    <cellStyle name="Note 3 7 6 2" xfId="2201" xr:uid="{ACABF553-77D6-4015-9C08-F139B5B3BA7B}"/>
    <cellStyle name="Note 3 7 7" xfId="1342" xr:uid="{00000000-0005-0000-0000-0000BA040000}"/>
    <cellStyle name="Note 3 7 7 2" xfId="2169" xr:uid="{AC06C72B-1079-4EA3-8B5A-46147E0B06B2}"/>
    <cellStyle name="Note 3 7 8" xfId="1922" xr:uid="{00000000-0005-0000-0000-0000BB040000}"/>
    <cellStyle name="Note 3 7 8 2" xfId="2688" xr:uid="{7FF5B055-6BBB-449A-9202-2D7C3596F969}"/>
    <cellStyle name="Note 3 7 9" xfId="1945" xr:uid="{00000000-0005-0000-0000-0000BC040000}"/>
    <cellStyle name="Note 3 7 9 2" xfId="2711" xr:uid="{965B3291-DB7A-4348-9892-FC2E74F54935}"/>
    <cellStyle name="Note 3 8" xfId="1113" xr:uid="{00000000-0005-0000-0000-0000BD040000}"/>
    <cellStyle name="Note 3 8 10" xfId="2070" xr:uid="{AD3DAEDD-1125-4901-AEB0-1771C52A373B}"/>
    <cellStyle name="Note 3 8 2" xfId="1477" xr:uid="{00000000-0005-0000-0000-0000BE040000}"/>
    <cellStyle name="Note 3 8 2 2" xfId="2284" xr:uid="{E1B80EDF-4325-4833-A605-67A277CFC6E1}"/>
    <cellStyle name="Note 3 8 3" xfId="1430" xr:uid="{00000000-0005-0000-0000-0000BF040000}"/>
    <cellStyle name="Note 3 8 3 2" xfId="2253" xr:uid="{26149A4D-432B-4024-8A7C-C1A1F2F58CBA}"/>
    <cellStyle name="Note 3 8 4" xfId="1390" xr:uid="{00000000-0005-0000-0000-0000C0040000}"/>
    <cellStyle name="Note 3 8 4 2" xfId="2213" xr:uid="{68CB84A6-D858-4AB9-8F03-B4E0E11605A8}"/>
    <cellStyle name="Note 3 8 5" xfId="1330" xr:uid="{00000000-0005-0000-0000-0000C1040000}"/>
    <cellStyle name="Note 3 8 5 2" xfId="2157" xr:uid="{F71A2EF5-D4B2-43C8-8851-207BE8008861}"/>
    <cellStyle name="Note 3 8 6" xfId="1379" xr:uid="{00000000-0005-0000-0000-0000C2040000}"/>
    <cellStyle name="Note 3 8 6 2" xfId="2202" xr:uid="{39BEB227-B44C-4EFE-AE74-4B0C1B6BAFD9}"/>
    <cellStyle name="Note 3 8 7" xfId="1341" xr:uid="{00000000-0005-0000-0000-0000C3040000}"/>
    <cellStyle name="Note 3 8 7 2" xfId="2168" xr:uid="{B8898467-C2CB-4B6A-8B79-2B9491D688F4}"/>
    <cellStyle name="Note 3 8 8" xfId="1921" xr:uid="{00000000-0005-0000-0000-0000C4040000}"/>
    <cellStyle name="Note 3 8 8 2" xfId="2687" xr:uid="{F34470F4-E871-4659-B360-82DAE073A569}"/>
    <cellStyle name="Note 3 8 9" xfId="1946" xr:uid="{00000000-0005-0000-0000-0000C5040000}"/>
    <cellStyle name="Note 3 8 9 2" xfId="2712" xr:uid="{5E735AD0-3652-4901-83FC-5D33EF5CD984}"/>
    <cellStyle name="Note 3 9" xfId="1470" xr:uid="{00000000-0005-0000-0000-0000C6040000}"/>
    <cellStyle name="Note 3 9 2" xfId="2277" xr:uid="{E7346095-D651-4E67-BFFD-22E3A7DAED73}"/>
    <cellStyle name="Output 2" xfId="1114" xr:uid="{00000000-0005-0000-0000-0000C7040000}"/>
    <cellStyle name="Output 2 2" xfId="1391" xr:uid="{00000000-0005-0000-0000-0000C8040000}"/>
    <cellStyle name="Output 2 2 2" xfId="2214" xr:uid="{A1CA9399-54AF-4C2D-81BF-361BDCB10A2F}"/>
    <cellStyle name="Output 2 3" xfId="1329" xr:uid="{00000000-0005-0000-0000-0000C9040000}"/>
    <cellStyle name="Output 2 3 2" xfId="2156" xr:uid="{552ADC7D-33E5-4B6B-9A44-46272323896D}"/>
    <cellStyle name="Output 2 4" xfId="1380" xr:uid="{00000000-0005-0000-0000-0000CA040000}"/>
    <cellStyle name="Output 2 4 2" xfId="2203" xr:uid="{2F62D5DD-B5F3-4492-B904-F1BA0FEC4FB7}"/>
    <cellStyle name="Output 2 5" xfId="1340" xr:uid="{00000000-0005-0000-0000-0000CB040000}"/>
    <cellStyle name="Output 2 5 2" xfId="2167" xr:uid="{A0C0EDA3-3C2D-469B-849F-33C6D35664B5}"/>
    <cellStyle name="Output 2 6" xfId="1920" xr:uid="{00000000-0005-0000-0000-0000CC040000}"/>
    <cellStyle name="Output 2 6 2" xfId="2686" xr:uid="{948B37FB-8764-4369-871E-1461C28C378D}"/>
    <cellStyle name="Output 2 7" xfId="2071" xr:uid="{D89F3864-8E0C-462A-B404-F28A0B8F6ACA}"/>
    <cellStyle name="Output 3" xfId="1115" xr:uid="{00000000-0005-0000-0000-0000CD040000}"/>
    <cellStyle name="Output 3 2" xfId="1392" xr:uid="{00000000-0005-0000-0000-0000CE040000}"/>
    <cellStyle name="Output 3 2 2" xfId="2215" xr:uid="{36F6A80F-F0E0-4263-A191-36EFD505E90B}"/>
    <cellStyle name="Output 3 3" xfId="1328" xr:uid="{00000000-0005-0000-0000-0000CF040000}"/>
    <cellStyle name="Output 3 3 2" xfId="2155" xr:uid="{DB66ABB7-C604-4FAC-87B4-301982E45270}"/>
    <cellStyle name="Output 3 4" xfId="1381" xr:uid="{00000000-0005-0000-0000-0000D0040000}"/>
    <cellStyle name="Output 3 4 2" xfId="2204" xr:uid="{44F2412D-59E8-497B-BCE0-E107B248B1CB}"/>
    <cellStyle name="Output 3 5" xfId="1339" xr:uid="{00000000-0005-0000-0000-0000D1040000}"/>
    <cellStyle name="Output 3 5 2" xfId="2166" xr:uid="{B6C3C55E-0658-4B34-9A16-684B37806077}"/>
    <cellStyle name="Output 3 6" xfId="1919" xr:uid="{00000000-0005-0000-0000-0000D2040000}"/>
    <cellStyle name="Output 3 6 2" xfId="2685" xr:uid="{EF2BAB72-583A-4654-BB6C-E22E15847AFB}"/>
    <cellStyle name="Output 3 7" xfId="2072" xr:uid="{B1175B26-4F5A-42BF-8147-207A2A66AE2B}"/>
    <cellStyle name="Percent" xfId="10" builtinId="5"/>
    <cellStyle name="Percent 10" xfId="1116" xr:uid="{00000000-0005-0000-0000-0000D4040000}"/>
    <cellStyle name="Percent 11" xfId="1117" xr:uid="{00000000-0005-0000-0000-0000D5040000}"/>
    <cellStyle name="Percent 12" xfId="1118" xr:uid="{00000000-0005-0000-0000-0000D6040000}"/>
    <cellStyle name="Percent 13" xfId="1119" xr:uid="{00000000-0005-0000-0000-0000D7040000}"/>
    <cellStyle name="Percent 14" xfId="1120" xr:uid="{00000000-0005-0000-0000-0000D8040000}"/>
    <cellStyle name="Percent 15" xfId="24" xr:uid="{00000000-0005-0000-0000-0000D9040000}"/>
    <cellStyle name="Percent 16" xfId="2735" xr:uid="{2E20515B-3E91-4229-B255-022F777DF54B}"/>
    <cellStyle name="Percent 2" xfId="40" xr:uid="{00000000-0005-0000-0000-0000DA040000}"/>
    <cellStyle name="Percent 2 2" xfId="1121" xr:uid="{00000000-0005-0000-0000-0000DB040000}"/>
    <cellStyle name="Percent 2 2 2" xfId="1122" xr:uid="{00000000-0005-0000-0000-0000DC040000}"/>
    <cellStyle name="Percent 2 2 3" xfId="1123" xr:uid="{00000000-0005-0000-0000-0000DD040000}"/>
    <cellStyle name="Percent 2 3" xfId="1124" xr:uid="{00000000-0005-0000-0000-0000DE040000}"/>
    <cellStyle name="Percent 2 3 2" xfId="1125" xr:uid="{00000000-0005-0000-0000-0000DF040000}"/>
    <cellStyle name="Percent 2 4" xfId="1126" xr:uid="{00000000-0005-0000-0000-0000E0040000}"/>
    <cellStyle name="Percent 2 5" xfId="1320" xr:uid="{00000000-0005-0000-0000-0000E1040000}"/>
    <cellStyle name="Percent 3" xfId="1127" xr:uid="{00000000-0005-0000-0000-0000E2040000}"/>
    <cellStyle name="Percent 4" xfId="1128" xr:uid="{00000000-0005-0000-0000-0000E3040000}"/>
    <cellStyle name="Percent 4 2" xfId="1129" xr:uid="{00000000-0005-0000-0000-0000E4040000}"/>
    <cellStyle name="Percent 4 2 2" xfId="1130" xr:uid="{00000000-0005-0000-0000-0000E5040000}"/>
    <cellStyle name="Percent 4 3" xfId="1131" xr:uid="{00000000-0005-0000-0000-0000E6040000}"/>
    <cellStyle name="Percent 5" xfId="1132" xr:uid="{00000000-0005-0000-0000-0000E7040000}"/>
    <cellStyle name="Percent 6" xfId="1133" xr:uid="{00000000-0005-0000-0000-0000E8040000}"/>
    <cellStyle name="Percent 6 2" xfId="1134" xr:uid="{00000000-0005-0000-0000-0000E9040000}"/>
    <cellStyle name="Percent 7" xfId="1135" xr:uid="{00000000-0005-0000-0000-0000EA040000}"/>
    <cellStyle name="Percent 8" xfId="1136" xr:uid="{00000000-0005-0000-0000-0000EB040000}"/>
    <cellStyle name="Percent 8 2" xfId="1137" xr:uid="{00000000-0005-0000-0000-0000EC040000}"/>
    <cellStyle name="Percent 9" xfId="28" xr:uid="{00000000-0005-0000-0000-0000ED040000}"/>
    <cellStyle name="Percent 9 2" xfId="1138" xr:uid="{00000000-0005-0000-0000-0000EE040000}"/>
    <cellStyle name="Pre-inputted cells" xfId="1139" xr:uid="{00000000-0005-0000-0000-0000EF040000}"/>
    <cellStyle name="Pre-inputted cells 2" xfId="1140" xr:uid="{00000000-0005-0000-0000-0000F0040000}"/>
    <cellStyle name="Pre-inputted cells 2 2" xfId="1141" xr:uid="{00000000-0005-0000-0000-0000F1040000}"/>
    <cellStyle name="Pre-inputted cells 2 2 2" xfId="1454" xr:uid="{00000000-0005-0000-0000-0000F2040000}"/>
    <cellStyle name="Pre-inputted cells 2 3" xfId="1453" xr:uid="{00000000-0005-0000-0000-0000F3040000}"/>
    <cellStyle name="Pre-inputted cells 3" xfId="1142" xr:uid="{00000000-0005-0000-0000-0000F4040000}"/>
    <cellStyle name="Pre-inputted cells 3 2" xfId="1143" xr:uid="{00000000-0005-0000-0000-0000F5040000}"/>
    <cellStyle name="Pre-inputted cells 3 2 2" xfId="1456" xr:uid="{00000000-0005-0000-0000-0000F6040000}"/>
    <cellStyle name="Pre-inputted cells 3 3" xfId="1455" xr:uid="{00000000-0005-0000-0000-0000F7040000}"/>
    <cellStyle name="Pre-inputted cells 4" xfId="1144" xr:uid="{00000000-0005-0000-0000-0000F8040000}"/>
    <cellStyle name="Pre-inputted cells 4 2" xfId="1145" xr:uid="{00000000-0005-0000-0000-0000F9040000}"/>
    <cellStyle name="Pre-inputted cells 4 2 2" xfId="1458" xr:uid="{00000000-0005-0000-0000-0000FA040000}"/>
    <cellStyle name="Pre-inputted cells 4 3" xfId="1457" xr:uid="{00000000-0005-0000-0000-0000FB040000}"/>
    <cellStyle name="Pre-inputted cells 5" xfId="1146" xr:uid="{00000000-0005-0000-0000-0000FC040000}"/>
    <cellStyle name="Pre-inputted cells 5 2" xfId="1147" xr:uid="{00000000-0005-0000-0000-0000FD040000}"/>
    <cellStyle name="Pre-inputted cells 5 2 2" xfId="1460" xr:uid="{00000000-0005-0000-0000-0000FE040000}"/>
    <cellStyle name="Pre-inputted cells 5 3" xfId="1459" xr:uid="{00000000-0005-0000-0000-0000FF040000}"/>
    <cellStyle name="Pre-inputted cells 6" xfId="34" xr:uid="{00000000-0005-0000-0000-000000050000}"/>
    <cellStyle name="Pre-inputted cells 6 2" xfId="1612" xr:uid="{00000000-0005-0000-0000-000001050000}"/>
    <cellStyle name="Pre-inputted cells 7" xfId="1148" xr:uid="{00000000-0005-0000-0000-000002050000}"/>
    <cellStyle name="Pre-inputted cells 7 2" xfId="1461" xr:uid="{00000000-0005-0000-0000-000003050000}"/>
    <cellStyle name="Pre-inputted cells 8" xfId="1452" xr:uid="{00000000-0005-0000-0000-000004050000}"/>
    <cellStyle name="RangeName" xfId="1149" xr:uid="{00000000-0005-0000-0000-000005050000}"/>
    <cellStyle name="RIGs" xfId="1150" xr:uid="{00000000-0005-0000-0000-000006050000}"/>
    <cellStyle name="RIGs 2" xfId="1151" xr:uid="{00000000-0005-0000-0000-000007050000}"/>
    <cellStyle name="RIGs input cells" xfId="1152" xr:uid="{00000000-0005-0000-0000-000008050000}"/>
    <cellStyle name="RIGs input cells 2" xfId="1153" xr:uid="{00000000-0005-0000-0000-000009050000}"/>
    <cellStyle name="RIGs input cells 2 2" xfId="1154" xr:uid="{00000000-0005-0000-0000-00000A050000}"/>
    <cellStyle name="RIGs input cells 2 2 2" xfId="1155" xr:uid="{00000000-0005-0000-0000-00000B050000}"/>
    <cellStyle name="RIGs input cells 2 2 2 2" xfId="1467" xr:uid="{00000000-0005-0000-0000-00000C050000}"/>
    <cellStyle name="RIGs input cells 2 2 3" xfId="1466" xr:uid="{00000000-0005-0000-0000-00000D050000}"/>
    <cellStyle name="RIGs input cells 2 3" xfId="1156" xr:uid="{00000000-0005-0000-0000-00000E050000}"/>
    <cellStyle name="RIGs input cells 2 3 2" xfId="1468" xr:uid="{00000000-0005-0000-0000-00000F050000}"/>
    <cellStyle name="RIGs input cells 2 4" xfId="1465" xr:uid="{00000000-0005-0000-0000-000010050000}"/>
    <cellStyle name="RIGs input cells 3" xfId="1157" xr:uid="{00000000-0005-0000-0000-000011050000}"/>
    <cellStyle name="RIGs input cells 3 2" xfId="1158" xr:uid="{00000000-0005-0000-0000-000012050000}"/>
    <cellStyle name="RIGs input cells 3 2 2" xfId="1159" xr:uid="{00000000-0005-0000-0000-000013050000}"/>
    <cellStyle name="RIGs input cells 3 2 2 2" xfId="1323" xr:uid="{00000000-0005-0000-0000-000014050000}"/>
    <cellStyle name="RIGs input cells 3 2 3" xfId="1479" xr:uid="{00000000-0005-0000-0000-000015050000}"/>
    <cellStyle name="RIGs input cells 3 3" xfId="1160" xr:uid="{00000000-0005-0000-0000-000016050000}"/>
    <cellStyle name="RIGs input cells 3 3 2" xfId="1480" xr:uid="{00000000-0005-0000-0000-000017050000}"/>
    <cellStyle name="RIGs input cells 3 4" xfId="1478" xr:uid="{00000000-0005-0000-0000-000018050000}"/>
    <cellStyle name="RIGs input cells 4" xfId="1161" xr:uid="{00000000-0005-0000-0000-000019050000}"/>
    <cellStyle name="RIGs input cells 4 2" xfId="1162" xr:uid="{00000000-0005-0000-0000-00001A050000}"/>
    <cellStyle name="RIGs input cells 4 2 2" xfId="1482" xr:uid="{00000000-0005-0000-0000-00001B050000}"/>
    <cellStyle name="RIGs input cells 4 3" xfId="1481" xr:uid="{00000000-0005-0000-0000-00001C050000}"/>
    <cellStyle name="RIGs input cells 5" xfId="1163" xr:uid="{00000000-0005-0000-0000-00001D050000}"/>
    <cellStyle name="RIGs input cells 5 2" xfId="1164" xr:uid="{00000000-0005-0000-0000-00001E050000}"/>
    <cellStyle name="RIGs input cells 5 2 2" xfId="1484" xr:uid="{00000000-0005-0000-0000-00001F050000}"/>
    <cellStyle name="RIGs input cells 5 3" xfId="1483" xr:uid="{00000000-0005-0000-0000-000020050000}"/>
    <cellStyle name="RIGs input cells 6" xfId="1165" xr:uid="{00000000-0005-0000-0000-000021050000}"/>
    <cellStyle name="RIGs input cells 6 2" xfId="1166" xr:uid="{00000000-0005-0000-0000-000022050000}"/>
    <cellStyle name="RIGs input cells 6 2 2" xfId="1485" xr:uid="{00000000-0005-0000-0000-000023050000}"/>
    <cellStyle name="RIGs input cells 6 3" xfId="1326" xr:uid="{00000000-0005-0000-0000-000024050000}"/>
    <cellStyle name="RIGs input cells 7" xfId="1167" xr:uid="{00000000-0005-0000-0000-000025050000}"/>
    <cellStyle name="RIGs input cells 7 2" xfId="1486" xr:uid="{00000000-0005-0000-0000-000026050000}"/>
    <cellStyle name="RIGs input cells 8" xfId="1464" xr:uid="{00000000-0005-0000-0000-000027050000}"/>
    <cellStyle name="RIGs input totals" xfId="1168" xr:uid="{00000000-0005-0000-0000-000028050000}"/>
    <cellStyle name="RIGs input totals 2" xfId="1169" xr:uid="{00000000-0005-0000-0000-000029050000}"/>
    <cellStyle name="RIGs input totals 2 2" xfId="1170" xr:uid="{00000000-0005-0000-0000-00002A050000}"/>
    <cellStyle name="RIGs input totals 2 2 2" xfId="1171" xr:uid="{00000000-0005-0000-0000-00002B050000}"/>
    <cellStyle name="RIGs input totals 2 2 2 2" xfId="1490" xr:uid="{00000000-0005-0000-0000-00002C050000}"/>
    <cellStyle name="RIGs input totals 2 2 3" xfId="1489" xr:uid="{00000000-0005-0000-0000-00002D050000}"/>
    <cellStyle name="RIGs input totals 2 3" xfId="1172" xr:uid="{00000000-0005-0000-0000-00002E050000}"/>
    <cellStyle name="RIGs input totals 2 3 2" xfId="1173" xr:uid="{00000000-0005-0000-0000-00002F050000}"/>
    <cellStyle name="RIGs input totals 2 3 2 2" xfId="1491" xr:uid="{00000000-0005-0000-0000-000030050000}"/>
    <cellStyle name="RIGs input totals 2 3 3" xfId="1608" xr:uid="{00000000-0005-0000-0000-000031050000}"/>
    <cellStyle name="RIGs input totals 2 4" xfId="1174" xr:uid="{00000000-0005-0000-0000-000032050000}"/>
    <cellStyle name="RIGs input totals 2 4 2" xfId="1492" xr:uid="{00000000-0005-0000-0000-000033050000}"/>
    <cellStyle name="RIGs input totals 2 5" xfId="1175" xr:uid="{00000000-0005-0000-0000-000034050000}"/>
    <cellStyle name="RIGs input totals 2 5 2" xfId="1493" xr:uid="{00000000-0005-0000-0000-000035050000}"/>
    <cellStyle name="RIGs input totals 2 6" xfId="1488" xr:uid="{00000000-0005-0000-0000-000036050000}"/>
    <cellStyle name="RIGs input totals 3" xfId="1176" xr:uid="{00000000-0005-0000-0000-000037050000}"/>
    <cellStyle name="RIGs input totals 3 2" xfId="1177" xr:uid="{00000000-0005-0000-0000-000038050000}"/>
    <cellStyle name="RIGs input totals 3 2 2" xfId="1495" xr:uid="{00000000-0005-0000-0000-000039050000}"/>
    <cellStyle name="RIGs input totals 3 3" xfId="1494" xr:uid="{00000000-0005-0000-0000-00003A050000}"/>
    <cellStyle name="RIGs input totals 4" xfId="1178" xr:uid="{00000000-0005-0000-0000-00003B050000}"/>
    <cellStyle name="RIGs input totals 4 2" xfId="1179" xr:uid="{00000000-0005-0000-0000-00003C050000}"/>
    <cellStyle name="RIGs input totals 4 2 2" xfId="1497" xr:uid="{00000000-0005-0000-0000-00003D050000}"/>
    <cellStyle name="RIGs input totals 4 3" xfId="1496" xr:uid="{00000000-0005-0000-0000-00003E050000}"/>
    <cellStyle name="RIGs input totals 5" xfId="1180" xr:uid="{00000000-0005-0000-0000-00003F050000}"/>
    <cellStyle name="RIGs input totals 5 2" xfId="1181" xr:uid="{00000000-0005-0000-0000-000040050000}"/>
    <cellStyle name="RIGs input totals 5 2 2" xfId="1499" xr:uid="{00000000-0005-0000-0000-000041050000}"/>
    <cellStyle name="RIGs input totals 5 3" xfId="1498" xr:uid="{00000000-0005-0000-0000-000042050000}"/>
    <cellStyle name="RIGs input totals 6" xfId="1182" xr:uid="{00000000-0005-0000-0000-000043050000}"/>
    <cellStyle name="RIGs input totals 6 2" xfId="1500" xr:uid="{00000000-0005-0000-0000-000044050000}"/>
    <cellStyle name="RIGs input totals 7" xfId="1183" xr:uid="{00000000-0005-0000-0000-000045050000}"/>
    <cellStyle name="RIGs input totals 7 2" xfId="1501" xr:uid="{00000000-0005-0000-0000-000046050000}"/>
    <cellStyle name="RIGs input totals 8" xfId="1487" xr:uid="{00000000-0005-0000-0000-000047050000}"/>
    <cellStyle name="RIGs linked cells" xfId="1184" xr:uid="{00000000-0005-0000-0000-000048050000}"/>
    <cellStyle name="RIGs linked cells 2" xfId="1185" xr:uid="{00000000-0005-0000-0000-000049050000}"/>
    <cellStyle name="RIGs linked cells 2 2" xfId="1186" xr:uid="{00000000-0005-0000-0000-00004A050000}"/>
    <cellStyle name="RIGs linked cells 2 2 2" xfId="1503" xr:uid="{00000000-0005-0000-0000-00004B050000}"/>
    <cellStyle name="RIGs linked cells 2 3" xfId="1502" xr:uid="{00000000-0005-0000-0000-00004C050000}"/>
    <cellStyle name="RIGs linked cells 3" xfId="1187" xr:uid="{00000000-0005-0000-0000-00004D050000}"/>
    <cellStyle name="RIGs linked cells 3 2" xfId="1188" xr:uid="{00000000-0005-0000-0000-00004E050000}"/>
    <cellStyle name="RIGs linked cells 3 2 2" xfId="1505" xr:uid="{00000000-0005-0000-0000-00004F050000}"/>
    <cellStyle name="RIGs linked cells 3 3" xfId="1189" xr:uid="{00000000-0005-0000-0000-000050050000}"/>
    <cellStyle name="RIGs linked cells 3 3 2" xfId="1506" xr:uid="{00000000-0005-0000-0000-000051050000}"/>
    <cellStyle name="RIGs linked cells 3 4" xfId="1504" xr:uid="{00000000-0005-0000-0000-000052050000}"/>
    <cellStyle name="RIGs linked cells 4" xfId="1190" xr:uid="{00000000-0005-0000-0000-000053050000}"/>
    <cellStyle name="RIGs linked cells 4 2" xfId="1191" xr:uid="{00000000-0005-0000-0000-000054050000}"/>
    <cellStyle name="RIGs linked cells 4 2 2" xfId="1508" xr:uid="{00000000-0005-0000-0000-000055050000}"/>
    <cellStyle name="RIGs linked cells 4 3" xfId="1507" xr:uid="{00000000-0005-0000-0000-000056050000}"/>
    <cellStyle name="RIGs linked cells 5" xfId="1192" xr:uid="{00000000-0005-0000-0000-000057050000}"/>
    <cellStyle name="RIGs linked cells 5 2" xfId="1509" xr:uid="{00000000-0005-0000-0000-000058050000}"/>
    <cellStyle name="RIGs linked cells 6" xfId="1324" xr:uid="{00000000-0005-0000-0000-000059050000}"/>
    <cellStyle name="SAPBEXaggData" xfId="1193" xr:uid="{00000000-0005-0000-0000-00005A050000}"/>
    <cellStyle name="SAPBEXaggData 10" xfId="2073" xr:uid="{B65DAF1E-942B-4EDE-B185-87AE131F17E9}"/>
    <cellStyle name="SAPBEXaggData 2" xfId="1550" xr:uid="{00000000-0005-0000-0000-00005B050000}"/>
    <cellStyle name="SAPBEXaggData 2 2" xfId="2324" xr:uid="{19207FC2-A71E-44A1-8D00-DCCF0223D4D9}"/>
    <cellStyle name="SAPBEXaggData 3" xfId="1510" xr:uid="{00000000-0005-0000-0000-00005C050000}"/>
    <cellStyle name="SAPBEXaggData 3 2" xfId="2285" xr:uid="{000DB950-4B09-4757-A6F1-C658A2809E34}"/>
    <cellStyle name="SAPBEXaggData 4" xfId="1404" xr:uid="{00000000-0005-0000-0000-00005D050000}"/>
    <cellStyle name="SAPBEXaggData 4 2" xfId="2227" xr:uid="{84ED05EF-9B10-46BF-AEAE-11A5A977132E}"/>
    <cellStyle name="SAPBEXaggData 5" xfId="1625" xr:uid="{00000000-0005-0000-0000-00005E050000}"/>
    <cellStyle name="SAPBEXaggData 5 2" xfId="2393" xr:uid="{ECF33255-5B25-43E4-B472-CEA935E58EAB}"/>
    <cellStyle name="SAPBEXaggData 6" xfId="1393" xr:uid="{00000000-0005-0000-0000-00005F050000}"/>
    <cellStyle name="SAPBEXaggData 6 2" xfId="2216" xr:uid="{D11CB594-7721-496C-9BB6-BD42642C8B4F}"/>
    <cellStyle name="SAPBEXaggData 7" xfId="1614" xr:uid="{00000000-0005-0000-0000-000060050000}"/>
    <cellStyle name="SAPBEXaggData 7 2" xfId="2382" xr:uid="{BCDB5A5E-8F44-4991-B4B1-93C29B49B398}"/>
    <cellStyle name="SAPBEXaggData 8" xfId="1918" xr:uid="{00000000-0005-0000-0000-000061050000}"/>
    <cellStyle name="SAPBEXaggData 8 2" xfId="2684" xr:uid="{946B1EC7-D9C6-4A0D-8AAD-75EBD51FF22D}"/>
    <cellStyle name="SAPBEXaggData 9" xfId="1947" xr:uid="{00000000-0005-0000-0000-000062050000}"/>
    <cellStyle name="SAPBEXaggData 9 2" xfId="2713" xr:uid="{D2E6A8E5-65E2-49D2-B6C7-A7C5F7830ADA}"/>
    <cellStyle name="SAPBEXaggDataEmph" xfId="1194" xr:uid="{00000000-0005-0000-0000-000063050000}"/>
    <cellStyle name="SAPBEXaggDataEmph 10" xfId="2074" xr:uid="{6CCD8143-C0E3-4A3F-BC94-4F59EFB1C300}"/>
    <cellStyle name="SAPBEXaggDataEmph 2" xfId="1551" xr:uid="{00000000-0005-0000-0000-000064050000}"/>
    <cellStyle name="SAPBEXaggDataEmph 2 2" xfId="2325" xr:uid="{48969E9C-F367-4924-A1A8-4A61DA1CC61F}"/>
    <cellStyle name="SAPBEXaggDataEmph 3" xfId="1511" xr:uid="{00000000-0005-0000-0000-000065050000}"/>
    <cellStyle name="SAPBEXaggDataEmph 3 2" xfId="2286" xr:uid="{66D70EFB-5120-416D-8A3F-199774AB3828}"/>
    <cellStyle name="SAPBEXaggDataEmph 4" xfId="1405" xr:uid="{00000000-0005-0000-0000-000066050000}"/>
    <cellStyle name="SAPBEXaggDataEmph 4 2" xfId="2228" xr:uid="{A223F9B4-2ED8-408B-90B8-D7875DE1EF73}"/>
    <cellStyle name="SAPBEXaggDataEmph 5" xfId="1626" xr:uid="{00000000-0005-0000-0000-000067050000}"/>
    <cellStyle name="SAPBEXaggDataEmph 5 2" xfId="2394" xr:uid="{2970A31F-DFBB-48EB-B625-DE3EA7833826}"/>
    <cellStyle name="SAPBEXaggDataEmph 6" xfId="1394" xr:uid="{00000000-0005-0000-0000-000068050000}"/>
    <cellStyle name="SAPBEXaggDataEmph 6 2" xfId="2217" xr:uid="{82745483-38A0-42D4-9D2C-A37CF4DFBA8F}"/>
    <cellStyle name="SAPBEXaggDataEmph 7" xfId="1615" xr:uid="{00000000-0005-0000-0000-000069050000}"/>
    <cellStyle name="SAPBEXaggDataEmph 7 2" xfId="2383" xr:uid="{F01ABED4-5BEA-4DF5-9F92-090B0296A282}"/>
    <cellStyle name="SAPBEXaggDataEmph 8" xfId="1917" xr:uid="{00000000-0005-0000-0000-00006A050000}"/>
    <cellStyle name="SAPBEXaggDataEmph 8 2" xfId="2683" xr:uid="{71C0B52C-F891-4E7E-9D8B-F61F2FED952F}"/>
    <cellStyle name="SAPBEXaggDataEmph 9" xfId="1948" xr:uid="{00000000-0005-0000-0000-00006B050000}"/>
    <cellStyle name="SAPBEXaggDataEmph 9 2" xfId="2714" xr:uid="{F6C46288-3920-49AD-A269-7EFED6B9827B}"/>
    <cellStyle name="SAPBEXaggItem" xfId="1195" xr:uid="{00000000-0005-0000-0000-00006C050000}"/>
    <cellStyle name="SAPBEXaggItem 10" xfId="2075" xr:uid="{4600145A-C17B-4B54-94E8-C543C48DD38B}"/>
    <cellStyle name="SAPBEXaggItem 2" xfId="1552" xr:uid="{00000000-0005-0000-0000-00006D050000}"/>
    <cellStyle name="SAPBEXaggItem 2 2" xfId="2326" xr:uid="{14B623D1-3B8C-43CD-83F0-98D0552A54A4}"/>
    <cellStyle name="SAPBEXaggItem 3" xfId="1325" xr:uid="{00000000-0005-0000-0000-00006E050000}"/>
    <cellStyle name="SAPBEXaggItem 3 2" xfId="2154" xr:uid="{8E54F9C3-7B81-4CC1-9C6D-59E7B864FA24}"/>
    <cellStyle name="SAPBEXaggItem 4" xfId="1406" xr:uid="{00000000-0005-0000-0000-00006F050000}"/>
    <cellStyle name="SAPBEXaggItem 4 2" xfId="2229" xr:uid="{217C3440-49EC-4057-BB42-882073F78BB1}"/>
    <cellStyle name="SAPBEXaggItem 5" xfId="1627" xr:uid="{00000000-0005-0000-0000-000070050000}"/>
    <cellStyle name="SAPBEXaggItem 5 2" xfId="2395" xr:uid="{70D92AB9-FDA4-4E5D-B022-71CA6EE40BC4}"/>
    <cellStyle name="SAPBEXaggItem 6" xfId="1395" xr:uid="{00000000-0005-0000-0000-000071050000}"/>
    <cellStyle name="SAPBEXaggItem 6 2" xfId="2218" xr:uid="{B471C0F0-2DB4-4155-9DCD-DC2AF0F8A1FF}"/>
    <cellStyle name="SAPBEXaggItem 7" xfId="1616" xr:uid="{00000000-0005-0000-0000-000072050000}"/>
    <cellStyle name="SAPBEXaggItem 7 2" xfId="2384" xr:uid="{F62A63B3-DC7D-4167-A06C-67819A85E943}"/>
    <cellStyle name="SAPBEXaggItem 8" xfId="1916" xr:uid="{00000000-0005-0000-0000-000073050000}"/>
    <cellStyle name="SAPBEXaggItem 8 2" xfId="2682" xr:uid="{6ABAD439-9191-4F61-B90B-EF269B6F0DE9}"/>
    <cellStyle name="SAPBEXaggItem 9" xfId="1949" xr:uid="{00000000-0005-0000-0000-000074050000}"/>
    <cellStyle name="SAPBEXaggItem 9 2" xfId="2715" xr:uid="{850DA202-04B6-4F17-B9B8-1F64B52EDA77}"/>
    <cellStyle name="SAPBEXaggItemX" xfId="1196" xr:uid="{00000000-0005-0000-0000-000075050000}"/>
    <cellStyle name="SAPBEXaggItemX 2" xfId="1407" xr:uid="{00000000-0005-0000-0000-000076050000}"/>
    <cellStyle name="SAPBEXaggItemX 2 2" xfId="2230" xr:uid="{D35670CA-513E-4DC3-918A-E1244348EA78}"/>
    <cellStyle name="SAPBEXaggItemX 3" xfId="1628" xr:uid="{00000000-0005-0000-0000-000077050000}"/>
    <cellStyle name="SAPBEXaggItemX 3 2" xfId="2396" xr:uid="{81A268F0-530B-4386-A3AE-4911AA4F2C44}"/>
    <cellStyle name="SAPBEXaggItemX 4" xfId="1396" xr:uid="{00000000-0005-0000-0000-000078050000}"/>
    <cellStyle name="SAPBEXaggItemX 4 2" xfId="2219" xr:uid="{BD3D9228-3385-4B22-B137-C81031AFD9EB}"/>
    <cellStyle name="SAPBEXaggItemX 5" xfId="1617" xr:uid="{00000000-0005-0000-0000-000079050000}"/>
    <cellStyle name="SAPBEXaggItemX 5 2" xfId="2385" xr:uid="{328315A2-7BE6-4FD5-99FC-A2040837E279}"/>
    <cellStyle name="SAPBEXaggItemX 6" xfId="1915" xr:uid="{00000000-0005-0000-0000-00007A050000}"/>
    <cellStyle name="SAPBEXaggItemX 6 2" xfId="2681" xr:uid="{2E9B2FFC-ADDC-462F-ACE3-CBC2B9E8285E}"/>
    <cellStyle name="SAPBEXaggItemX 7" xfId="2076" xr:uid="{C8297AA2-44B1-4482-A19E-1DFC9B48D047}"/>
    <cellStyle name="SAPBEXchaText" xfId="1197" xr:uid="{00000000-0005-0000-0000-00007B050000}"/>
    <cellStyle name="SAPBEXchaText 10" xfId="2077" xr:uid="{55BFDAC6-579F-479C-9338-52B8B2129DAE}"/>
    <cellStyle name="SAPBEXchaText 2" xfId="1553" xr:uid="{00000000-0005-0000-0000-00007C050000}"/>
    <cellStyle name="SAPBEXchaText 2 2" xfId="2327" xr:uid="{169763B2-ED9F-463C-9733-6997266016F1}"/>
    <cellStyle name="SAPBEXchaText 3" xfId="1513" xr:uid="{00000000-0005-0000-0000-00007D050000}"/>
    <cellStyle name="SAPBEXchaText 3 2" xfId="2288" xr:uid="{6A55CF41-D8CC-4CF5-98B9-AB314472DB65}"/>
    <cellStyle name="SAPBEXchaText 4" xfId="1408" xr:uid="{00000000-0005-0000-0000-00007E050000}"/>
    <cellStyle name="SAPBEXchaText 4 2" xfId="2231" xr:uid="{EC2BCDF8-7358-448D-8037-6D7D2A24E3CD}"/>
    <cellStyle name="SAPBEXchaText 5" xfId="1629" xr:uid="{00000000-0005-0000-0000-00007F050000}"/>
    <cellStyle name="SAPBEXchaText 5 2" xfId="2397" xr:uid="{E0308085-8277-460A-97A3-32C45B05F606}"/>
    <cellStyle name="SAPBEXchaText 6" xfId="1397" xr:uid="{00000000-0005-0000-0000-000080050000}"/>
    <cellStyle name="SAPBEXchaText 6 2" xfId="2220" xr:uid="{1BBCAC76-569E-44EE-AD82-0218B60406E0}"/>
    <cellStyle name="SAPBEXchaText 7" xfId="1618" xr:uid="{00000000-0005-0000-0000-000081050000}"/>
    <cellStyle name="SAPBEXchaText 7 2" xfId="2386" xr:uid="{3E258908-0890-4B72-9D22-ED2461A8C5D5}"/>
    <cellStyle name="SAPBEXchaText 8" xfId="1914" xr:uid="{00000000-0005-0000-0000-000082050000}"/>
    <cellStyle name="SAPBEXchaText 8 2" xfId="2680" xr:uid="{51052D8D-BFFA-4674-8EB5-342AB92D394B}"/>
    <cellStyle name="SAPBEXchaText 9" xfId="1950" xr:uid="{00000000-0005-0000-0000-000083050000}"/>
    <cellStyle name="SAPBEXchaText 9 2" xfId="2716" xr:uid="{DB6A42FE-9875-43AC-9CE9-82AB9009CC86}"/>
    <cellStyle name="SAPBEXexcBad7" xfId="1198" xr:uid="{00000000-0005-0000-0000-000084050000}"/>
    <cellStyle name="SAPBEXexcBad7 10" xfId="2078" xr:uid="{F5383228-A3DC-4B68-8E6D-D3C11A58E042}"/>
    <cellStyle name="SAPBEXexcBad7 2" xfId="1554" xr:uid="{00000000-0005-0000-0000-000085050000}"/>
    <cellStyle name="SAPBEXexcBad7 2 2" xfId="2328" xr:uid="{CCA5863D-C810-4DAA-93B6-1CC396A09B9F}"/>
    <cellStyle name="SAPBEXexcBad7 3" xfId="1514" xr:uid="{00000000-0005-0000-0000-000086050000}"/>
    <cellStyle name="SAPBEXexcBad7 3 2" xfId="2289" xr:uid="{9FB10A8C-401D-402D-80C5-D6DBC7A041B8}"/>
    <cellStyle name="SAPBEXexcBad7 4" xfId="1409" xr:uid="{00000000-0005-0000-0000-000087050000}"/>
    <cellStyle name="SAPBEXexcBad7 4 2" xfId="2232" xr:uid="{D8D0536A-0D1E-41A4-8AE9-1543E8A1630C}"/>
    <cellStyle name="SAPBEXexcBad7 5" xfId="1630" xr:uid="{00000000-0005-0000-0000-000088050000}"/>
    <cellStyle name="SAPBEXexcBad7 5 2" xfId="2398" xr:uid="{9294CF2E-5C21-4409-9AB9-2459415EA136}"/>
    <cellStyle name="SAPBEXexcBad7 6" xfId="1398" xr:uid="{00000000-0005-0000-0000-000089050000}"/>
    <cellStyle name="SAPBEXexcBad7 6 2" xfId="2221" xr:uid="{89AA7BC3-1AF3-4FAF-98DF-59A1D7B5CEB0}"/>
    <cellStyle name="SAPBEXexcBad7 7" xfId="1619" xr:uid="{00000000-0005-0000-0000-00008A050000}"/>
    <cellStyle name="SAPBEXexcBad7 7 2" xfId="2387" xr:uid="{0624DC46-1101-4371-AEA0-BED316A320F3}"/>
    <cellStyle name="SAPBEXexcBad7 8" xfId="1913" xr:uid="{00000000-0005-0000-0000-00008B050000}"/>
    <cellStyle name="SAPBEXexcBad7 8 2" xfId="2679" xr:uid="{8B690B3E-6BFE-4E68-97B2-3BA839A2306B}"/>
    <cellStyle name="SAPBEXexcBad7 9" xfId="1951" xr:uid="{00000000-0005-0000-0000-00008C050000}"/>
    <cellStyle name="SAPBEXexcBad7 9 2" xfId="2717" xr:uid="{B48B64C6-553C-4E45-8D4A-DB78AFD38892}"/>
    <cellStyle name="SAPBEXexcBad8" xfId="1199" xr:uid="{00000000-0005-0000-0000-00008D050000}"/>
    <cellStyle name="SAPBEXexcBad8 10" xfId="2079" xr:uid="{C83F1BDD-7974-4260-99E6-BA17E587F66A}"/>
    <cellStyle name="SAPBEXexcBad8 2" xfId="1555" xr:uid="{00000000-0005-0000-0000-00008E050000}"/>
    <cellStyle name="SAPBEXexcBad8 2 2" xfId="2329" xr:uid="{D612EF69-86E7-42B1-A197-C4A4DC74AEC3}"/>
    <cellStyle name="SAPBEXexcBad8 3" xfId="1515" xr:uid="{00000000-0005-0000-0000-00008F050000}"/>
    <cellStyle name="SAPBEXexcBad8 3 2" xfId="2290" xr:uid="{8175EB74-361C-4A2D-9403-35C278684EC7}"/>
    <cellStyle name="SAPBEXexcBad8 4" xfId="1410" xr:uid="{00000000-0005-0000-0000-000090050000}"/>
    <cellStyle name="SAPBEXexcBad8 4 2" xfId="2233" xr:uid="{4C3E1404-D39B-42C0-85D1-10DAD82E630D}"/>
    <cellStyle name="SAPBEXexcBad8 5" xfId="1631" xr:uid="{00000000-0005-0000-0000-000091050000}"/>
    <cellStyle name="SAPBEXexcBad8 5 2" xfId="2399" xr:uid="{32849B2F-1BC6-421C-B229-A690D6B77276}"/>
    <cellStyle name="SAPBEXexcBad8 6" xfId="1399" xr:uid="{00000000-0005-0000-0000-000092050000}"/>
    <cellStyle name="SAPBEXexcBad8 6 2" xfId="2222" xr:uid="{4F1CA99F-C97D-4B56-A554-4421670A4FC0}"/>
    <cellStyle name="SAPBEXexcBad8 7" xfId="1620" xr:uid="{00000000-0005-0000-0000-000093050000}"/>
    <cellStyle name="SAPBEXexcBad8 7 2" xfId="2388" xr:uid="{9561B599-06D8-4BFA-B5D3-9BB9DBF79DC4}"/>
    <cellStyle name="SAPBEXexcBad8 8" xfId="1912" xr:uid="{00000000-0005-0000-0000-000094050000}"/>
    <cellStyle name="SAPBEXexcBad8 8 2" xfId="2678" xr:uid="{8553BA64-BD1C-4FC2-9C05-C2CB711249C5}"/>
    <cellStyle name="SAPBEXexcBad8 9" xfId="1952" xr:uid="{00000000-0005-0000-0000-000095050000}"/>
    <cellStyle name="SAPBEXexcBad8 9 2" xfId="2718" xr:uid="{550296EC-9736-476A-B5FD-D0B9AE884B8E}"/>
    <cellStyle name="SAPBEXexcBad9" xfId="1200" xr:uid="{00000000-0005-0000-0000-000096050000}"/>
    <cellStyle name="SAPBEXexcBad9 2" xfId="1411" xr:uid="{00000000-0005-0000-0000-000097050000}"/>
    <cellStyle name="SAPBEXexcBad9 2 2" xfId="2234" xr:uid="{7EFD7E5B-D843-4ED0-9402-39E96D2D8ECA}"/>
    <cellStyle name="SAPBEXexcBad9 3" xfId="1632" xr:uid="{00000000-0005-0000-0000-000098050000}"/>
    <cellStyle name="SAPBEXexcBad9 3 2" xfId="2400" xr:uid="{1FAC65AC-B6C5-45BD-8B78-770D1161FE5C}"/>
    <cellStyle name="SAPBEXexcBad9 4" xfId="1400" xr:uid="{00000000-0005-0000-0000-000099050000}"/>
    <cellStyle name="SAPBEXexcBad9 4 2" xfId="2223" xr:uid="{31D6DDA1-7301-42BD-9F55-0780EDF36F54}"/>
    <cellStyle name="SAPBEXexcBad9 5" xfId="1911" xr:uid="{00000000-0005-0000-0000-00009A050000}"/>
    <cellStyle name="SAPBEXexcBad9 5 2" xfId="2677" xr:uid="{79EFAC32-06E3-46A7-94F2-3AFBCE32D6BF}"/>
    <cellStyle name="SAPBEXexcBad9 6" xfId="2080" xr:uid="{01EF1EB8-1B41-4A4D-A904-796B5274D94C}"/>
    <cellStyle name="SAPBEXexcCritical4" xfId="1201" xr:uid="{00000000-0005-0000-0000-00009B050000}"/>
    <cellStyle name="SAPBEXexcCritical4 10" xfId="2081" xr:uid="{9CDC14C6-A67B-425B-A1E2-D082DE3FE644}"/>
    <cellStyle name="SAPBEXexcCritical4 2" xfId="1557" xr:uid="{00000000-0005-0000-0000-00009C050000}"/>
    <cellStyle name="SAPBEXexcCritical4 2 2" xfId="2331" xr:uid="{9A833A3B-EEC4-4D55-9622-29BBCCF7D8FF}"/>
    <cellStyle name="SAPBEXexcCritical4 3" xfId="1517" xr:uid="{00000000-0005-0000-0000-00009D050000}"/>
    <cellStyle name="SAPBEXexcCritical4 3 2" xfId="2292" xr:uid="{781FF4F5-A358-43F2-BE12-B685DB57C080}"/>
    <cellStyle name="SAPBEXexcCritical4 4" xfId="1412" xr:uid="{00000000-0005-0000-0000-00009E050000}"/>
    <cellStyle name="SAPBEXexcCritical4 4 2" xfId="2235" xr:uid="{494FEB4C-84E2-4A35-A941-6E0581117B37}"/>
    <cellStyle name="SAPBEXexcCritical4 5" xfId="1633" xr:uid="{00000000-0005-0000-0000-00009F050000}"/>
    <cellStyle name="SAPBEXexcCritical4 5 2" xfId="2401" xr:uid="{CB587CC4-80E0-45B4-9232-D47AD23E0CD0}"/>
    <cellStyle name="SAPBEXexcCritical4 6" xfId="1401" xr:uid="{00000000-0005-0000-0000-0000A0050000}"/>
    <cellStyle name="SAPBEXexcCritical4 6 2" xfId="2224" xr:uid="{8D4FB88F-B56E-4F43-824E-DD93C4E8BF50}"/>
    <cellStyle name="SAPBEXexcCritical4 7" xfId="1621" xr:uid="{00000000-0005-0000-0000-0000A1050000}"/>
    <cellStyle name="SAPBEXexcCritical4 7 2" xfId="2389" xr:uid="{C9B29016-86F7-401C-B0E1-6B2C788EE68E}"/>
    <cellStyle name="SAPBEXexcCritical4 8" xfId="1910" xr:uid="{00000000-0005-0000-0000-0000A2050000}"/>
    <cellStyle name="SAPBEXexcCritical4 8 2" xfId="2676" xr:uid="{D5CB6723-FBF6-4389-83F8-D2F0C61110E3}"/>
    <cellStyle name="SAPBEXexcCritical4 9" xfId="1953" xr:uid="{00000000-0005-0000-0000-0000A3050000}"/>
    <cellStyle name="SAPBEXexcCritical4 9 2" xfId="2719" xr:uid="{F5DF30D9-97F7-4B30-AAD3-8321F233C27A}"/>
    <cellStyle name="SAPBEXexcCritical5" xfId="1202" xr:uid="{00000000-0005-0000-0000-0000A4050000}"/>
    <cellStyle name="SAPBEXexcCritical5 10" xfId="2082" xr:uid="{F294EA9E-793D-4D81-9075-16058BEBCF15}"/>
    <cellStyle name="SAPBEXexcCritical5 2" xfId="1558" xr:uid="{00000000-0005-0000-0000-0000A5050000}"/>
    <cellStyle name="SAPBEXexcCritical5 2 2" xfId="2332" xr:uid="{299EE76E-D20A-4979-B670-A3650DBF7205}"/>
    <cellStyle name="SAPBEXexcCritical5 3" xfId="1518" xr:uid="{00000000-0005-0000-0000-0000A6050000}"/>
    <cellStyle name="SAPBEXexcCritical5 3 2" xfId="2293" xr:uid="{8CA40ACD-82AD-4770-A380-4924BFB5C68E}"/>
    <cellStyle name="SAPBEXexcCritical5 4" xfId="1593" xr:uid="{00000000-0005-0000-0000-0000A7050000}"/>
    <cellStyle name="SAPBEXexcCritical5 4 2" xfId="2364" xr:uid="{C508AA12-9987-4EAD-95D0-BCB47B10374B}"/>
    <cellStyle name="SAPBEXexcCritical5 5" xfId="1634" xr:uid="{00000000-0005-0000-0000-0000A8050000}"/>
    <cellStyle name="SAPBEXexcCritical5 5 2" xfId="2402" xr:uid="{4D2A99EE-3DA3-4AAF-A3FE-CD7E6912BACF}"/>
    <cellStyle name="SAPBEXexcCritical5 6" xfId="1402" xr:uid="{00000000-0005-0000-0000-0000A9050000}"/>
    <cellStyle name="SAPBEXexcCritical5 6 2" xfId="2225" xr:uid="{ED5C252E-7E73-491A-BC4A-C33910D6578F}"/>
    <cellStyle name="SAPBEXexcCritical5 7" xfId="1622" xr:uid="{00000000-0005-0000-0000-0000AA050000}"/>
    <cellStyle name="SAPBEXexcCritical5 7 2" xfId="2390" xr:uid="{0234073F-60A0-47D1-B259-C773B29C25D8}"/>
    <cellStyle name="SAPBEXexcCritical5 8" xfId="1909" xr:uid="{00000000-0005-0000-0000-0000AB050000}"/>
    <cellStyle name="SAPBEXexcCritical5 8 2" xfId="2675" xr:uid="{7D51631D-00E6-47CD-8328-F8A52D6D483A}"/>
    <cellStyle name="SAPBEXexcCritical5 9" xfId="1954" xr:uid="{00000000-0005-0000-0000-0000AC050000}"/>
    <cellStyle name="SAPBEXexcCritical5 9 2" xfId="2720" xr:uid="{2377591D-66F0-41D8-9AE7-F2AC0BD4BB26}"/>
    <cellStyle name="SAPBEXexcCritical6" xfId="1203" xr:uid="{00000000-0005-0000-0000-0000AD050000}"/>
    <cellStyle name="SAPBEXexcCritical6 10" xfId="2083" xr:uid="{F252861D-BDD3-4229-AB72-C7FA7207488C}"/>
    <cellStyle name="SAPBEXexcCritical6 2" xfId="1559" xr:uid="{00000000-0005-0000-0000-0000AE050000}"/>
    <cellStyle name="SAPBEXexcCritical6 2 2" xfId="2333" xr:uid="{2B3404F8-0A6D-4136-BE8A-AA36545B316C}"/>
    <cellStyle name="SAPBEXexcCritical6 3" xfId="1603" xr:uid="{00000000-0005-0000-0000-0000AF050000}"/>
    <cellStyle name="SAPBEXexcCritical6 3 2" xfId="2374" xr:uid="{A11DD759-0371-404A-AC0B-4602352C0B1F}"/>
    <cellStyle name="SAPBEXexcCritical6 4" xfId="1413" xr:uid="{00000000-0005-0000-0000-0000B0050000}"/>
    <cellStyle name="SAPBEXexcCritical6 4 2" xfId="2236" xr:uid="{8CEAD446-A965-4ECC-9862-C7D52DB38E66}"/>
    <cellStyle name="SAPBEXexcCritical6 5" xfId="1635" xr:uid="{00000000-0005-0000-0000-0000B1050000}"/>
    <cellStyle name="SAPBEXexcCritical6 5 2" xfId="2403" xr:uid="{A0B663EB-2173-429D-9818-2BFEC040E071}"/>
    <cellStyle name="SAPBEXexcCritical6 6" xfId="1403" xr:uid="{00000000-0005-0000-0000-0000B2050000}"/>
    <cellStyle name="SAPBEXexcCritical6 6 2" xfId="2226" xr:uid="{9D943087-5D56-4074-80ED-E2CD00CAD92E}"/>
    <cellStyle name="SAPBEXexcCritical6 7" xfId="1623" xr:uid="{00000000-0005-0000-0000-0000B3050000}"/>
    <cellStyle name="SAPBEXexcCritical6 7 2" xfId="2391" xr:uid="{682D59BE-BA97-453F-A9DF-09111D801AA0}"/>
    <cellStyle name="SAPBEXexcCritical6 8" xfId="1908" xr:uid="{00000000-0005-0000-0000-0000B4050000}"/>
    <cellStyle name="SAPBEXexcCritical6 8 2" xfId="2674" xr:uid="{E5C1AC68-74E8-4C59-93EF-3046E2629D7C}"/>
    <cellStyle name="SAPBEXexcCritical6 9" xfId="1955" xr:uid="{00000000-0005-0000-0000-0000B5050000}"/>
    <cellStyle name="SAPBEXexcCritical6 9 2" xfId="2721" xr:uid="{B2064AFD-2914-4A12-B78C-9F9283B29FB6}"/>
    <cellStyle name="SAPBEXexcGood1" xfId="1204" xr:uid="{00000000-0005-0000-0000-0000B6050000}"/>
    <cellStyle name="SAPBEXexcGood1 10" xfId="2084" xr:uid="{ECDD606B-3EFF-4B56-B912-9AEE8B597D6B}"/>
    <cellStyle name="SAPBEXexcGood1 2" xfId="1560" xr:uid="{00000000-0005-0000-0000-0000B7050000}"/>
    <cellStyle name="SAPBEXexcGood1 2 2" xfId="2334" xr:uid="{7269D073-F370-4A9A-996F-D547BF1ED1A9}"/>
    <cellStyle name="SAPBEXexcGood1 3" xfId="1519" xr:uid="{00000000-0005-0000-0000-0000B8050000}"/>
    <cellStyle name="SAPBEXexcGood1 3 2" xfId="2294" xr:uid="{6C961899-E39A-4019-B1A7-195696B65B5A}"/>
    <cellStyle name="SAPBEXexcGood1 4" xfId="1414" xr:uid="{00000000-0005-0000-0000-0000B9050000}"/>
    <cellStyle name="SAPBEXexcGood1 4 2" xfId="2237" xr:uid="{F11E9FE8-D03F-4993-B5F0-A2332B1548AD}"/>
    <cellStyle name="SAPBEXexcGood1 5" xfId="1636" xr:uid="{00000000-0005-0000-0000-0000BA050000}"/>
    <cellStyle name="SAPBEXexcGood1 5 2" xfId="2404" xr:uid="{63661591-AECD-4DBA-AB52-289DDB452706}"/>
    <cellStyle name="SAPBEXexcGood1 6" xfId="1607" xr:uid="{00000000-0005-0000-0000-0000BB050000}"/>
    <cellStyle name="SAPBEXexcGood1 6 2" xfId="2377" xr:uid="{3B2FE36E-050D-480E-A02D-847C153A488C}"/>
    <cellStyle name="SAPBEXexcGood1 7" xfId="1624" xr:uid="{00000000-0005-0000-0000-0000BC050000}"/>
    <cellStyle name="SAPBEXexcGood1 7 2" xfId="2392" xr:uid="{EB11B310-3314-44AF-B31B-9058CDC16B28}"/>
    <cellStyle name="SAPBEXexcGood1 8" xfId="1907" xr:uid="{00000000-0005-0000-0000-0000BD050000}"/>
    <cellStyle name="SAPBEXexcGood1 8 2" xfId="2673" xr:uid="{27C65BFD-7318-4D1A-9BAE-F3A4A4EB1A8D}"/>
    <cellStyle name="SAPBEXexcGood1 9" xfId="1956" xr:uid="{00000000-0005-0000-0000-0000BE050000}"/>
    <cellStyle name="SAPBEXexcGood1 9 2" xfId="2722" xr:uid="{193FB9A8-44A6-49EC-B445-11A2F4BCBFC8}"/>
    <cellStyle name="SAPBEXexcGood2" xfId="1205" xr:uid="{00000000-0005-0000-0000-0000BF050000}"/>
    <cellStyle name="SAPBEXexcGood2 10" xfId="2085" xr:uid="{2556036A-D1A9-4206-94C2-3EE985E018D0}"/>
    <cellStyle name="SAPBEXexcGood2 2" xfId="1561" xr:uid="{00000000-0005-0000-0000-0000C0050000}"/>
    <cellStyle name="SAPBEXexcGood2 2 2" xfId="2335" xr:uid="{CC9C88BA-E322-41AC-A5AD-A1A8B14C525A}"/>
    <cellStyle name="SAPBEXexcGood2 3" xfId="1520" xr:uid="{00000000-0005-0000-0000-0000C1050000}"/>
    <cellStyle name="SAPBEXexcGood2 3 2" xfId="2295" xr:uid="{7B35E5E1-4746-453F-9713-39DD9E3135E1}"/>
    <cellStyle name="SAPBEXexcGood2 4" xfId="1415" xr:uid="{00000000-0005-0000-0000-0000C2050000}"/>
    <cellStyle name="SAPBEXexcGood2 4 2" xfId="2238" xr:uid="{BBC97C63-E973-460A-85E6-6301F97A0275}"/>
    <cellStyle name="SAPBEXexcGood2 5" xfId="1637" xr:uid="{00000000-0005-0000-0000-0000C3050000}"/>
    <cellStyle name="SAPBEXexcGood2 5 2" xfId="2405" xr:uid="{50252AF7-E605-471C-BBFF-3F9EF84DB431}"/>
    <cellStyle name="SAPBEXexcGood2 6" xfId="1432" xr:uid="{00000000-0005-0000-0000-0000C4050000}"/>
    <cellStyle name="SAPBEXexcGood2 6 2" xfId="2255" xr:uid="{F41034D8-806D-40E2-8673-859B7DFE9F7A}"/>
    <cellStyle name="SAPBEXexcGood2 7" xfId="1644" xr:uid="{00000000-0005-0000-0000-0000C5050000}"/>
    <cellStyle name="SAPBEXexcGood2 7 2" xfId="2412" xr:uid="{5E247725-24EA-4E4F-AF2A-BBBBD3F4A079}"/>
    <cellStyle name="SAPBEXexcGood2 8" xfId="1906" xr:uid="{00000000-0005-0000-0000-0000C6050000}"/>
    <cellStyle name="SAPBEXexcGood2 8 2" xfId="2672" xr:uid="{064CEC50-52FF-44E4-8FDF-51CCBDFEB1FA}"/>
    <cellStyle name="SAPBEXexcGood2 9" xfId="1957" xr:uid="{00000000-0005-0000-0000-0000C7050000}"/>
    <cellStyle name="SAPBEXexcGood2 9 2" xfId="2723" xr:uid="{1AA130DC-77FB-41F0-97E0-C377EA008856}"/>
    <cellStyle name="SAPBEXexcGood3" xfId="1206" xr:uid="{00000000-0005-0000-0000-0000C8050000}"/>
    <cellStyle name="SAPBEXexcGood3 10" xfId="2086" xr:uid="{C84210AB-1BB7-411F-96B6-5FDDE1083439}"/>
    <cellStyle name="SAPBEXexcGood3 2" xfId="1562" xr:uid="{00000000-0005-0000-0000-0000C9050000}"/>
    <cellStyle name="SAPBEXexcGood3 2 2" xfId="2336" xr:uid="{44FF4C5A-0A8E-4CCA-91F4-E0C79554929B}"/>
    <cellStyle name="SAPBEXexcGood3 3" xfId="1521" xr:uid="{00000000-0005-0000-0000-0000CA050000}"/>
    <cellStyle name="SAPBEXexcGood3 3 2" xfId="2296" xr:uid="{808CAD96-FFD5-443F-97E7-A22B6E42A15D}"/>
    <cellStyle name="SAPBEXexcGood3 4" xfId="1416" xr:uid="{00000000-0005-0000-0000-0000CB050000}"/>
    <cellStyle name="SAPBEXexcGood3 4 2" xfId="2239" xr:uid="{2A7DD638-508B-4C2A-AEAF-EDA08E6250EE}"/>
    <cellStyle name="SAPBEXexcGood3 5" xfId="1638" xr:uid="{00000000-0005-0000-0000-0000CC050000}"/>
    <cellStyle name="SAPBEXexcGood3 5 2" xfId="2406" xr:uid="{B8D62A85-7755-4CF7-A245-A02830449CB8}"/>
    <cellStyle name="SAPBEXexcGood3 6" xfId="1602" xr:uid="{00000000-0005-0000-0000-0000CD050000}"/>
    <cellStyle name="SAPBEXexcGood3 6 2" xfId="2373" xr:uid="{8D1838BB-4F0C-4816-844E-0D1B5E8413F9}"/>
    <cellStyle name="SAPBEXexcGood3 7" xfId="1649" xr:uid="{00000000-0005-0000-0000-0000CE050000}"/>
    <cellStyle name="SAPBEXexcGood3 7 2" xfId="2417" xr:uid="{DC24D1A3-92D1-4B4F-A9B7-B04AE917479A}"/>
    <cellStyle name="SAPBEXexcGood3 8" xfId="1905" xr:uid="{00000000-0005-0000-0000-0000CF050000}"/>
    <cellStyle name="SAPBEXexcGood3 8 2" xfId="2671" xr:uid="{9FB492F2-D5AD-45A0-8BFC-B066B69E346E}"/>
    <cellStyle name="SAPBEXexcGood3 9" xfId="1958" xr:uid="{00000000-0005-0000-0000-0000D0050000}"/>
    <cellStyle name="SAPBEXexcGood3 9 2" xfId="2724" xr:uid="{ECDEF239-8B9C-41AE-9B81-D2CC7D6D6EE2}"/>
    <cellStyle name="SAPBEXfilterDrill" xfId="1207" xr:uid="{00000000-0005-0000-0000-0000D1050000}"/>
    <cellStyle name="SAPBEXfilterDrill 2" xfId="1417" xr:uid="{00000000-0005-0000-0000-0000D2050000}"/>
    <cellStyle name="SAPBEXfilterDrill 2 2" xfId="2240" xr:uid="{5E282DB4-E043-43F3-A6B5-5CD3DEF9362A}"/>
    <cellStyle name="SAPBEXfilterDrill 3" xfId="1639" xr:uid="{00000000-0005-0000-0000-0000D3050000}"/>
    <cellStyle name="SAPBEXfilterDrill 3 2" xfId="2407" xr:uid="{AF22720A-5440-4FAE-96E0-F86A4D82D66F}"/>
    <cellStyle name="SAPBEXfilterDrill 4" xfId="1601" xr:uid="{00000000-0005-0000-0000-0000D4050000}"/>
    <cellStyle name="SAPBEXfilterDrill 4 2" xfId="2372" xr:uid="{5F5F7459-6C22-4B0C-A09A-20B0076D6870}"/>
    <cellStyle name="SAPBEXfilterDrill 5" xfId="1904" xr:uid="{00000000-0005-0000-0000-0000D5050000}"/>
    <cellStyle name="SAPBEXfilterDrill 5 2" xfId="2670" xr:uid="{CED5946B-435C-4A36-B1D3-E8821D6F0B63}"/>
    <cellStyle name="SAPBEXfilterDrill 6" xfId="2087" xr:uid="{B1BB5823-EFFF-4A40-90FA-CD1C7B0B4D58}"/>
    <cellStyle name="SAPBEXfilterItem" xfId="1208" xr:uid="{00000000-0005-0000-0000-0000D6050000}"/>
    <cellStyle name="SAPBEXfilterItem 2" xfId="1418" xr:uid="{00000000-0005-0000-0000-0000D7050000}"/>
    <cellStyle name="SAPBEXfilterItem 2 2" xfId="2241" xr:uid="{178482CA-A8C3-418D-A284-4C3253444F04}"/>
    <cellStyle name="SAPBEXfilterItem 3" xfId="1640" xr:uid="{00000000-0005-0000-0000-0000D8050000}"/>
    <cellStyle name="SAPBEXfilterItem 3 2" xfId="2408" xr:uid="{1B5A19FC-E310-4D97-8ADE-838915814ED0}"/>
    <cellStyle name="SAPBEXfilterItem 4" xfId="1545" xr:uid="{00000000-0005-0000-0000-0000D9050000}"/>
    <cellStyle name="SAPBEXfilterItem 4 2" xfId="2319" xr:uid="{55B158DA-FADA-46E8-8579-CEED50DADF11}"/>
    <cellStyle name="SAPBEXfilterItem 5" xfId="1903" xr:uid="{00000000-0005-0000-0000-0000DA050000}"/>
    <cellStyle name="SAPBEXfilterItem 5 2" xfId="2669" xr:uid="{1BBEB77D-46F5-4AF9-A02B-CC76E0A53ED7}"/>
    <cellStyle name="SAPBEXfilterItem 6" xfId="2088" xr:uid="{B2875767-84C2-4527-BF92-12D3E9A9262B}"/>
    <cellStyle name="SAPBEXfilterText" xfId="1209" xr:uid="{00000000-0005-0000-0000-0000DB050000}"/>
    <cellStyle name="SAPBEXfilterText 2" xfId="1419" xr:uid="{00000000-0005-0000-0000-0000DC050000}"/>
    <cellStyle name="SAPBEXfilterText 2 2" xfId="2242" xr:uid="{F34E40FC-D959-426A-99B4-BAD7DBAF4C76}"/>
    <cellStyle name="SAPBEXfilterText 3" xfId="1641" xr:uid="{00000000-0005-0000-0000-0000DD050000}"/>
    <cellStyle name="SAPBEXfilterText 3 2" xfId="2409" xr:uid="{DAAFF82D-C6C5-42B0-B9E0-76BA7B9858D6}"/>
    <cellStyle name="SAPBEXfilterText 4" xfId="1546" xr:uid="{00000000-0005-0000-0000-0000DE050000}"/>
    <cellStyle name="SAPBEXfilterText 4 2" xfId="2320" xr:uid="{F068807D-7301-462B-B98D-B9EDA2897ECF}"/>
    <cellStyle name="SAPBEXfilterText 5" xfId="1902" xr:uid="{00000000-0005-0000-0000-0000DF050000}"/>
    <cellStyle name="SAPBEXfilterText 5 2" xfId="2668" xr:uid="{243852F9-8F67-4A04-A4DD-19D1818BC32A}"/>
    <cellStyle name="SAPBEXfilterText 6" xfId="2089" xr:uid="{75410B61-83A0-4FBD-AF52-A4C9CFDDDDF0}"/>
    <cellStyle name="SAPBEXformats" xfId="1210" xr:uid="{00000000-0005-0000-0000-0000E0050000}"/>
    <cellStyle name="SAPBEXformats 10" xfId="2090" xr:uid="{2B9032F9-2E82-4F11-A321-155A91AB8A85}"/>
    <cellStyle name="SAPBEXformats 2" xfId="1564" xr:uid="{00000000-0005-0000-0000-0000E1050000}"/>
    <cellStyle name="SAPBEXformats 2 2" xfId="2338" xr:uid="{5017AA30-F7EA-4485-8EFE-A10441C1D444}"/>
    <cellStyle name="SAPBEXformats 3" xfId="1525" xr:uid="{00000000-0005-0000-0000-0000E2050000}"/>
    <cellStyle name="SAPBEXformats 3 2" xfId="2300" xr:uid="{14574234-3820-4A40-9EF8-4EF45845406D}"/>
    <cellStyle name="SAPBEXformats 4" xfId="1420" xr:uid="{00000000-0005-0000-0000-0000E3050000}"/>
    <cellStyle name="SAPBEXformats 4 2" xfId="2243" xr:uid="{FB411637-AE60-4CAC-8EB4-1B1B6E6BA009}"/>
    <cellStyle name="SAPBEXformats 5" xfId="1642" xr:uid="{00000000-0005-0000-0000-0000E4050000}"/>
    <cellStyle name="SAPBEXformats 5 2" xfId="2410" xr:uid="{341AE4E1-DEE2-4B14-A8B1-415948E8D039}"/>
    <cellStyle name="SAPBEXformats 6" xfId="1547" xr:uid="{00000000-0005-0000-0000-0000E5050000}"/>
    <cellStyle name="SAPBEXformats 6 2" xfId="2321" xr:uid="{A39D886D-E1C8-41F5-A30A-B9C8E5E61AC7}"/>
    <cellStyle name="SAPBEXformats 7" xfId="1698" xr:uid="{00000000-0005-0000-0000-0000E6050000}"/>
    <cellStyle name="SAPBEXformats 7 2" xfId="2466" xr:uid="{1D8E104E-3948-4590-AF32-2B25F53879DB}"/>
    <cellStyle name="SAPBEXformats 8" xfId="1901" xr:uid="{00000000-0005-0000-0000-0000E7050000}"/>
    <cellStyle name="SAPBEXformats 8 2" xfId="2667" xr:uid="{F1D0CD04-7EF5-474D-BB65-ADDEBC151974}"/>
    <cellStyle name="SAPBEXformats 9" xfId="1959" xr:uid="{00000000-0005-0000-0000-0000E8050000}"/>
    <cellStyle name="SAPBEXformats 9 2" xfId="2725" xr:uid="{8A44BF84-6E4E-4758-AB5F-41A830D70F14}"/>
    <cellStyle name="SAPBEXheaderItem" xfId="1211" xr:uid="{00000000-0005-0000-0000-0000E9050000}"/>
    <cellStyle name="SAPBEXheaderItem 2" xfId="1212" xr:uid="{00000000-0005-0000-0000-0000EA050000}"/>
    <cellStyle name="SAPBEXheaderItem 3" xfId="1421" xr:uid="{00000000-0005-0000-0000-0000EB050000}"/>
    <cellStyle name="SAPBEXheaderItem 3 2" xfId="2244" xr:uid="{6AF40CB6-4CF9-4B46-A6E5-3EB423122833}"/>
    <cellStyle name="SAPBEXheaderItem 4" xfId="1643" xr:uid="{00000000-0005-0000-0000-0000EC050000}"/>
    <cellStyle name="SAPBEXheaderItem 4 2" xfId="2411" xr:uid="{86A3834E-45E3-482B-8387-F9D94B61DBED}"/>
    <cellStyle name="SAPBEXheaderItem 5" xfId="1548" xr:uid="{00000000-0005-0000-0000-0000ED050000}"/>
    <cellStyle name="SAPBEXheaderItem 5 2" xfId="2322" xr:uid="{40B62814-2007-4079-B63C-F0A5A03FCE13}"/>
    <cellStyle name="SAPBEXheaderItem 6" xfId="1900" xr:uid="{00000000-0005-0000-0000-0000EE050000}"/>
    <cellStyle name="SAPBEXheaderItem 6 2" xfId="2666" xr:uid="{EAC28B72-869B-4F67-8D09-64D619488351}"/>
    <cellStyle name="SAPBEXheaderItem 7" xfId="2091" xr:uid="{33B1EBA6-26B1-4051-8F2F-D5E6B5600B28}"/>
    <cellStyle name="SAPBEXheaderItem_0910 GSO Capex RRP - Final (Detail) v2 220710" xfId="1213" xr:uid="{00000000-0005-0000-0000-0000EF050000}"/>
    <cellStyle name="SAPBEXheaderText" xfId="1214" xr:uid="{00000000-0005-0000-0000-0000F0050000}"/>
    <cellStyle name="SAPBEXheaderText 2" xfId="1215" xr:uid="{00000000-0005-0000-0000-0000F1050000}"/>
    <cellStyle name="SAPBEXheaderText 3" xfId="1431" xr:uid="{00000000-0005-0000-0000-0000F2050000}"/>
    <cellStyle name="SAPBEXheaderText 3 2" xfId="2254" xr:uid="{E85F3209-2AF5-46C5-A7C3-1AA8A51B505D}"/>
    <cellStyle name="SAPBEXheaderText 4" xfId="1645" xr:uid="{00000000-0005-0000-0000-0000F3050000}"/>
    <cellStyle name="SAPBEXheaderText 4 2" xfId="2413" xr:uid="{0AC664D4-C97D-430D-9190-794727961402}"/>
    <cellStyle name="SAPBEXheaderText 5" xfId="1549" xr:uid="{00000000-0005-0000-0000-0000F4050000}"/>
    <cellStyle name="SAPBEXheaderText 5 2" xfId="2323" xr:uid="{DC8BE965-5D75-47FE-8607-377674731B8C}"/>
    <cellStyle name="SAPBEXheaderText 6" xfId="1899" xr:uid="{00000000-0005-0000-0000-0000F5050000}"/>
    <cellStyle name="SAPBEXheaderText 6 2" xfId="2665" xr:uid="{47A77C08-AD3D-4FF5-96FF-BF49F843CD37}"/>
    <cellStyle name="SAPBEXheaderText 7" xfId="2092" xr:uid="{E4B071FE-2032-4C24-8286-64E3AC838F13}"/>
    <cellStyle name="SAPBEXheaderText_0910 GSO Capex RRP - Final (Detail) v2 220710" xfId="1216" xr:uid="{00000000-0005-0000-0000-0000F6050000}"/>
    <cellStyle name="SAPBEXHLevel0" xfId="1217" xr:uid="{00000000-0005-0000-0000-0000F7050000}"/>
    <cellStyle name="SAPBEXHLevel0 10" xfId="1960" xr:uid="{00000000-0005-0000-0000-0000F8050000}"/>
    <cellStyle name="SAPBEXHLevel0 10 2" xfId="2726" xr:uid="{7E84B687-2AC9-46D5-A612-EE5A6AF440BC}"/>
    <cellStyle name="SAPBEXHLevel0 11" xfId="2093" xr:uid="{776B8C78-CD35-47CF-8374-52EA351AF815}"/>
    <cellStyle name="SAPBEXHLevel0 2" xfId="1218" xr:uid="{00000000-0005-0000-0000-0000F9050000}"/>
    <cellStyle name="SAPBEXHLevel0 2 2" xfId="1434" xr:uid="{00000000-0005-0000-0000-0000FA050000}"/>
    <cellStyle name="SAPBEXHLevel0 2 2 2" xfId="2257" xr:uid="{C6B2A7C4-F446-4CDB-AD6E-61E071C9A571}"/>
    <cellStyle name="SAPBEXHLevel0 2 3" xfId="1651" xr:uid="{00000000-0005-0000-0000-0000FB050000}"/>
    <cellStyle name="SAPBEXHLevel0 2 3 2" xfId="2419" xr:uid="{03328F9A-D47B-4C22-BADF-F4BA5D5141DA}"/>
    <cellStyle name="SAPBEXHLevel0 2 4" xfId="1714" xr:uid="{00000000-0005-0000-0000-0000FC050000}"/>
    <cellStyle name="SAPBEXHLevel0 2 4 2" xfId="2482" xr:uid="{0379C4EE-3BAB-4F86-A747-5316AEA17AC5}"/>
    <cellStyle name="SAPBEXHLevel0 2 5" xfId="1776" xr:uid="{00000000-0005-0000-0000-0000FD050000}"/>
    <cellStyle name="SAPBEXHLevel0 2 5 2" xfId="2544" xr:uid="{55A66261-4F44-4BC1-8691-BC7221989539}"/>
    <cellStyle name="SAPBEXHLevel0 2 6" xfId="1897" xr:uid="{00000000-0005-0000-0000-0000FE050000}"/>
    <cellStyle name="SAPBEXHLevel0 2 6 2" xfId="2663" xr:uid="{A631A728-5B54-49A3-871A-F3210B168A00}"/>
    <cellStyle name="SAPBEXHLevel0 2 7" xfId="2094" xr:uid="{4DCCEA6A-57FE-4B06-B356-F1D8602A849C}"/>
    <cellStyle name="SAPBEXHLevel0 3" xfId="1570" xr:uid="{00000000-0005-0000-0000-0000FF050000}"/>
    <cellStyle name="SAPBEXHLevel0 3 2" xfId="2344" xr:uid="{85C728B0-D690-42CD-907D-7F0348C68BCA}"/>
    <cellStyle name="SAPBEXHLevel0 4" xfId="1531" xr:uid="{00000000-0005-0000-0000-000000060000}"/>
    <cellStyle name="SAPBEXHLevel0 4 2" xfId="2306" xr:uid="{6567FF47-682F-4AAA-8AB9-AC5DC79C00E5}"/>
    <cellStyle name="SAPBEXHLevel0 5" xfId="1433" xr:uid="{00000000-0005-0000-0000-000001060000}"/>
    <cellStyle name="SAPBEXHLevel0 5 2" xfId="2256" xr:uid="{1B46AA2D-5EA5-467B-B5B1-6FDED318CBE5}"/>
    <cellStyle name="SAPBEXHLevel0 6" xfId="1650" xr:uid="{00000000-0005-0000-0000-000002060000}"/>
    <cellStyle name="SAPBEXHLevel0 6 2" xfId="2418" xr:uid="{2F0A16EE-91F4-49FF-898E-E6DFDEEB0E79}"/>
    <cellStyle name="SAPBEXHLevel0 7" xfId="1713" xr:uid="{00000000-0005-0000-0000-000003060000}"/>
    <cellStyle name="SAPBEXHLevel0 7 2" xfId="2481" xr:uid="{9112715E-7958-4397-97E2-878FC1ABF415}"/>
    <cellStyle name="SAPBEXHLevel0 8" xfId="1775" xr:uid="{00000000-0005-0000-0000-000004060000}"/>
    <cellStyle name="SAPBEXHLevel0 8 2" xfId="2543" xr:uid="{48DCC9C2-C982-41B9-B0A9-6B93783BDE51}"/>
    <cellStyle name="SAPBEXHLevel0 9" xfId="1898" xr:uid="{00000000-0005-0000-0000-000005060000}"/>
    <cellStyle name="SAPBEXHLevel0 9 2" xfId="2664" xr:uid="{683BBDCF-4AB2-4BE3-8CA4-46559238B6ED}"/>
    <cellStyle name="SAPBEXHLevel0_0910 GSO Capex RRP - Final (Detail) v2 220710" xfId="1219" xr:uid="{00000000-0005-0000-0000-000006060000}"/>
    <cellStyle name="SAPBEXHLevel0X" xfId="1220" xr:uid="{00000000-0005-0000-0000-000007060000}"/>
    <cellStyle name="SAPBEXHLevel0X 2" xfId="1221" xr:uid="{00000000-0005-0000-0000-000008060000}"/>
    <cellStyle name="SAPBEXHLevel0X 2 2" xfId="1436" xr:uid="{00000000-0005-0000-0000-000009060000}"/>
    <cellStyle name="SAPBEXHLevel0X 2 2 2" xfId="2259" xr:uid="{ECF35B1B-2925-4B3C-B387-B3876AF33941}"/>
    <cellStyle name="SAPBEXHLevel0X 2 3" xfId="1653" xr:uid="{00000000-0005-0000-0000-00000A060000}"/>
    <cellStyle name="SAPBEXHLevel0X 2 3 2" xfId="2421" xr:uid="{E05D78F8-E754-430E-8FD3-95B9A41DEC0A}"/>
    <cellStyle name="SAPBEXHLevel0X 2 4" xfId="1716" xr:uid="{00000000-0005-0000-0000-00000B060000}"/>
    <cellStyle name="SAPBEXHLevel0X 2 4 2" xfId="2484" xr:uid="{E7945349-62A5-4798-9D46-933B4695705F}"/>
    <cellStyle name="SAPBEXHLevel0X 2 5" xfId="1778" xr:uid="{00000000-0005-0000-0000-00000C060000}"/>
    <cellStyle name="SAPBEXHLevel0X 2 5 2" xfId="2546" xr:uid="{072D6063-DEA2-4910-840F-FFB4A1CB6625}"/>
    <cellStyle name="SAPBEXHLevel0X 2 6" xfId="1895" xr:uid="{00000000-0005-0000-0000-00000D060000}"/>
    <cellStyle name="SAPBEXHLevel0X 2 6 2" xfId="2661" xr:uid="{3B0FC2A3-88D8-49CC-9543-AF127381B649}"/>
    <cellStyle name="SAPBEXHLevel0X 2 7" xfId="2096" xr:uid="{BA6D4D33-01CE-4703-9324-BD62ADC849FC}"/>
    <cellStyle name="SAPBEXHLevel0X 3" xfId="1222" xr:uid="{00000000-0005-0000-0000-00000E060000}"/>
    <cellStyle name="SAPBEXHLevel0X 3 10" xfId="1654" xr:uid="{00000000-0005-0000-0000-00000F060000}"/>
    <cellStyle name="SAPBEXHLevel0X 3 10 2" xfId="2422" xr:uid="{DDE4DA9D-A87E-422F-97D4-55B59ECC2C63}"/>
    <cellStyle name="SAPBEXHLevel0X 3 11" xfId="1717" xr:uid="{00000000-0005-0000-0000-000010060000}"/>
    <cellStyle name="SAPBEXHLevel0X 3 11 2" xfId="2485" xr:uid="{10DD3A6D-ED25-4614-AE61-C161450D9433}"/>
    <cellStyle name="SAPBEXHLevel0X 3 12" xfId="1779" xr:uid="{00000000-0005-0000-0000-000011060000}"/>
    <cellStyle name="SAPBEXHLevel0X 3 12 2" xfId="2547" xr:uid="{874EAFF6-E0E1-4A34-813F-91536BB65455}"/>
    <cellStyle name="SAPBEXHLevel0X 3 13" xfId="1894" xr:uid="{00000000-0005-0000-0000-000012060000}"/>
    <cellStyle name="SAPBEXHLevel0X 3 13 2" xfId="2660" xr:uid="{41BE36C2-7D3C-49DF-817A-8FB2174CEEE1}"/>
    <cellStyle name="SAPBEXHLevel0X 3 14" xfId="2097" xr:uid="{E251272C-ECF8-4998-86D2-F7B9B0850E18}"/>
    <cellStyle name="SAPBEXHLevel0X 3 2" xfId="1223" xr:uid="{00000000-0005-0000-0000-000013060000}"/>
    <cellStyle name="SAPBEXHLevel0X 3 2 2" xfId="1437" xr:uid="{00000000-0005-0000-0000-000014060000}"/>
    <cellStyle name="SAPBEXHLevel0X 3 2 2 2" xfId="2260" xr:uid="{31383350-460B-4346-B9D6-AA246C33BF0D}"/>
    <cellStyle name="SAPBEXHLevel0X 3 2 3" xfId="1655" xr:uid="{00000000-0005-0000-0000-000015060000}"/>
    <cellStyle name="SAPBEXHLevel0X 3 2 3 2" xfId="2423" xr:uid="{F7A02B92-6A5D-4038-8FF0-333398056F5D}"/>
    <cellStyle name="SAPBEXHLevel0X 3 2 4" xfId="1718" xr:uid="{00000000-0005-0000-0000-000016060000}"/>
    <cellStyle name="SAPBEXHLevel0X 3 2 4 2" xfId="2486" xr:uid="{C1507B0F-F09A-452B-BE8F-22C4EA0DB7CF}"/>
    <cellStyle name="SAPBEXHLevel0X 3 2 5" xfId="1780" xr:uid="{00000000-0005-0000-0000-000017060000}"/>
    <cellStyle name="SAPBEXHLevel0X 3 2 5 2" xfId="2548" xr:uid="{104EC30F-666A-4247-80D6-802031BB8B25}"/>
    <cellStyle name="SAPBEXHLevel0X 3 2 6" xfId="1893" xr:uid="{00000000-0005-0000-0000-000018060000}"/>
    <cellStyle name="SAPBEXHLevel0X 3 2 6 2" xfId="2659" xr:uid="{F4FE393E-8C5E-4B49-A67C-6D004DBA4AC8}"/>
    <cellStyle name="SAPBEXHLevel0X 3 2 7" xfId="2098" xr:uid="{7FEC16C2-CEC3-4790-BA22-952EB4BC456D}"/>
    <cellStyle name="SAPBEXHLevel0X 3 3" xfId="1224" xr:uid="{00000000-0005-0000-0000-000019060000}"/>
    <cellStyle name="SAPBEXHLevel0X 3 3 2" xfId="1595" xr:uid="{00000000-0005-0000-0000-00001A060000}"/>
    <cellStyle name="SAPBEXHLevel0X 3 3 2 2" xfId="2366" xr:uid="{DD6F3123-8CE8-4FE1-8B86-FAB52A699E1C}"/>
    <cellStyle name="SAPBEXHLevel0X 3 3 3" xfId="1656" xr:uid="{00000000-0005-0000-0000-00001B060000}"/>
    <cellStyle name="SAPBEXHLevel0X 3 3 3 2" xfId="2424" xr:uid="{762E49D2-BDE1-4C16-BF0D-C33810386DA1}"/>
    <cellStyle name="SAPBEXHLevel0X 3 3 4" xfId="1719" xr:uid="{00000000-0005-0000-0000-00001C060000}"/>
    <cellStyle name="SAPBEXHLevel0X 3 3 4 2" xfId="2487" xr:uid="{1FCCE0CC-0E9C-4696-B9F3-443EE8D40D8D}"/>
    <cellStyle name="SAPBEXHLevel0X 3 3 5" xfId="1781" xr:uid="{00000000-0005-0000-0000-00001D060000}"/>
    <cellStyle name="SAPBEXHLevel0X 3 3 5 2" xfId="2549" xr:uid="{129259FB-515A-4CF5-B467-24E656DC9CD7}"/>
    <cellStyle name="SAPBEXHLevel0X 3 3 6" xfId="1892" xr:uid="{00000000-0005-0000-0000-00001E060000}"/>
    <cellStyle name="SAPBEXHLevel0X 3 3 6 2" xfId="2658" xr:uid="{E8C99E70-475C-486A-937F-668048D9C42D}"/>
    <cellStyle name="SAPBEXHLevel0X 3 3 7" xfId="2099" xr:uid="{C7D91B14-5E40-4C43-9F1E-4D53446F2516}"/>
    <cellStyle name="SAPBEXHLevel0X 3 4" xfId="1225" xr:uid="{00000000-0005-0000-0000-00001F060000}"/>
    <cellStyle name="SAPBEXHLevel0X 3 4 2" xfId="1439" xr:uid="{00000000-0005-0000-0000-000020060000}"/>
    <cellStyle name="SAPBEXHLevel0X 3 4 2 2" xfId="2261" xr:uid="{9C05BAFB-86F5-4B0A-90DE-336E8B8EE1C4}"/>
    <cellStyle name="SAPBEXHLevel0X 3 4 3" xfId="1657" xr:uid="{00000000-0005-0000-0000-000021060000}"/>
    <cellStyle name="SAPBEXHLevel0X 3 4 3 2" xfId="2425" xr:uid="{BC546C6E-4B40-47FD-98A4-616031A9D37B}"/>
    <cellStyle name="SAPBEXHLevel0X 3 4 4" xfId="1720" xr:uid="{00000000-0005-0000-0000-000022060000}"/>
    <cellStyle name="SAPBEXHLevel0X 3 4 4 2" xfId="2488" xr:uid="{48E6093D-8CD6-4E46-953C-BFA4C5D141E5}"/>
    <cellStyle name="SAPBEXHLevel0X 3 4 5" xfId="1782" xr:uid="{00000000-0005-0000-0000-000023060000}"/>
    <cellStyle name="SAPBEXHLevel0X 3 4 5 2" xfId="2550" xr:uid="{3DA78CCD-51C1-416E-A3FA-BAE102D71281}"/>
    <cellStyle name="SAPBEXHLevel0X 3 4 6" xfId="1837" xr:uid="{00000000-0005-0000-0000-000024060000}"/>
    <cellStyle name="SAPBEXHLevel0X 3 4 6 2" xfId="2603" xr:uid="{750D27FC-54A9-48C3-88C8-78B2ACDE1375}"/>
    <cellStyle name="SAPBEXHLevel0X 3 4 7" xfId="2100" xr:uid="{335649B5-F1F6-4D8B-9D74-5FF3F0FB0661}"/>
    <cellStyle name="SAPBEXHLevel0X 3 5" xfId="1226" xr:uid="{00000000-0005-0000-0000-000025060000}"/>
    <cellStyle name="SAPBEXHLevel0X 3 5 2" xfId="1440" xr:uid="{00000000-0005-0000-0000-000026060000}"/>
    <cellStyle name="SAPBEXHLevel0X 3 5 2 2" xfId="2262" xr:uid="{8E7BE8A9-69A8-45F2-BBE6-3D85BA2A57EE}"/>
    <cellStyle name="SAPBEXHLevel0X 3 5 3" xfId="1658" xr:uid="{00000000-0005-0000-0000-000027060000}"/>
    <cellStyle name="SAPBEXHLevel0X 3 5 3 2" xfId="2426" xr:uid="{F9D0A91E-D29F-42B3-81A4-E9AFD6BD61BF}"/>
    <cellStyle name="SAPBEXHLevel0X 3 5 4" xfId="1721" xr:uid="{00000000-0005-0000-0000-000028060000}"/>
    <cellStyle name="SAPBEXHLevel0X 3 5 4 2" xfId="2489" xr:uid="{3A4A34F2-B83D-4B27-B899-CFD45DDDE357}"/>
    <cellStyle name="SAPBEXHLevel0X 3 5 5" xfId="1783" xr:uid="{00000000-0005-0000-0000-000029060000}"/>
    <cellStyle name="SAPBEXHLevel0X 3 5 5 2" xfId="2551" xr:uid="{574C4FAE-932C-4791-B814-77C8B78972D5}"/>
    <cellStyle name="SAPBEXHLevel0X 3 5 6" xfId="1838" xr:uid="{00000000-0005-0000-0000-00002A060000}"/>
    <cellStyle name="SAPBEXHLevel0X 3 5 6 2" xfId="2604" xr:uid="{A0F49B36-14A9-4224-ADA5-A790B5ED24F3}"/>
    <cellStyle name="SAPBEXHLevel0X 3 5 7" xfId="2101" xr:uid="{F643B6E0-D9F2-4CE0-BAFF-36CEC38C439C}"/>
    <cellStyle name="SAPBEXHLevel0X 3 6" xfId="1227" xr:uid="{00000000-0005-0000-0000-00002B060000}"/>
    <cellStyle name="SAPBEXHLevel0X 3 6 2" xfId="1441" xr:uid="{00000000-0005-0000-0000-00002C060000}"/>
    <cellStyle name="SAPBEXHLevel0X 3 6 2 2" xfId="2263" xr:uid="{3553ECF2-F7A9-43F4-8317-0CB708DBB41A}"/>
    <cellStyle name="SAPBEXHLevel0X 3 6 3" xfId="1659" xr:uid="{00000000-0005-0000-0000-00002D060000}"/>
    <cellStyle name="SAPBEXHLevel0X 3 6 3 2" xfId="2427" xr:uid="{7CD2D115-7A01-49F9-8353-FE2F4031ED0C}"/>
    <cellStyle name="SAPBEXHLevel0X 3 6 4" xfId="1722" xr:uid="{00000000-0005-0000-0000-00002E060000}"/>
    <cellStyle name="SAPBEXHLevel0X 3 6 4 2" xfId="2490" xr:uid="{F3363246-0034-4EC6-A8D7-EE4EA1581012}"/>
    <cellStyle name="SAPBEXHLevel0X 3 6 5" xfId="1784" xr:uid="{00000000-0005-0000-0000-00002F060000}"/>
    <cellStyle name="SAPBEXHLevel0X 3 6 5 2" xfId="2552" xr:uid="{13A2AF1F-51C4-4EEA-B766-C62C6A2B9863}"/>
    <cellStyle name="SAPBEXHLevel0X 3 6 6" xfId="1891" xr:uid="{00000000-0005-0000-0000-000030060000}"/>
    <cellStyle name="SAPBEXHLevel0X 3 6 6 2" xfId="2657" xr:uid="{A5606BE6-BDF5-4A36-A936-5FE70E5C76A0}"/>
    <cellStyle name="SAPBEXHLevel0X 3 6 7" xfId="2102" xr:uid="{80693CB6-6EDB-4AE5-ABF7-F71BF17268DC}"/>
    <cellStyle name="SAPBEXHLevel0X 3 7" xfId="1228" xr:uid="{00000000-0005-0000-0000-000031060000}"/>
    <cellStyle name="SAPBEXHLevel0X 3 7 2" xfId="1442" xr:uid="{00000000-0005-0000-0000-000032060000}"/>
    <cellStyle name="SAPBEXHLevel0X 3 7 2 2" xfId="2264" xr:uid="{B525E81E-569D-4EE4-B6B1-169EAB45769F}"/>
    <cellStyle name="SAPBEXHLevel0X 3 7 3" xfId="1660" xr:uid="{00000000-0005-0000-0000-000033060000}"/>
    <cellStyle name="SAPBEXHLevel0X 3 7 3 2" xfId="2428" xr:uid="{9497DA7A-9E5F-4D1F-8411-A1CBB2B86CBE}"/>
    <cellStyle name="SAPBEXHLevel0X 3 7 4" xfId="1723" xr:uid="{00000000-0005-0000-0000-000034060000}"/>
    <cellStyle name="SAPBEXHLevel0X 3 7 4 2" xfId="2491" xr:uid="{79D1ABD0-0AA0-4B54-A652-17AE34DD756E}"/>
    <cellStyle name="SAPBEXHLevel0X 3 7 5" xfId="1785" xr:uid="{00000000-0005-0000-0000-000035060000}"/>
    <cellStyle name="SAPBEXHLevel0X 3 7 5 2" xfId="2553" xr:uid="{E573C070-89A1-4ED7-9074-BA538C3A40AD}"/>
    <cellStyle name="SAPBEXHLevel0X 3 7 6" xfId="1890" xr:uid="{00000000-0005-0000-0000-000036060000}"/>
    <cellStyle name="SAPBEXHLevel0X 3 7 6 2" xfId="2656" xr:uid="{7E7834F1-385A-4FC2-BC16-3C571D84CF15}"/>
    <cellStyle name="SAPBEXHLevel0X 3 7 7" xfId="2103" xr:uid="{78DF16EB-2A91-4840-8496-913394366D7C}"/>
    <cellStyle name="SAPBEXHLevel0X 3 8" xfId="1229" xr:uid="{00000000-0005-0000-0000-000037060000}"/>
    <cellStyle name="SAPBEXHLevel0X 3 8 2" xfId="1599" xr:uid="{00000000-0005-0000-0000-000038060000}"/>
    <cellStyle name="SAPBEXHLevel0X 3 8 2 2" xfId="2370" xr:uid="{5D56296F-345C-4706-AD71-EC947E937B9E}"/>
    <cellStyle name="SAPBEXHLevel0X 3 8 3" xfId="1661" xr:uid="{00000000-0005-0000-0000-000039060000}"/>
    <cellStyle name="SAPBEXHLevel0X 3 8 3 2" xfId="2429" xr:uid="{B2CB4F77-1E0E-4EBD-B9D6-89CB0CE673BF}"/>
    <cellStyle name="SAPBEXHLevel0X 3 8 4" xfId="1724" xr:uid="{00000000-0005-0000-0000-00003A060000}"/>
    <cellStyle name="SAPBEXHLevel0X 3 8 4 2" xfId="2492" xr:uid="{5DA65402-8B7B-4B6E-A94A-6C3BD4D469E3}"/>
    <cellStyle name="SAPBEXHLevel0X 3 8 5" xfId="1786" xr:uid="{00000000-0005-0000-0000-00003B060000}"/>
    <cellStyle name="SAPBEXHLevel0X 3 8 5 2" xfId="2554" xr:uid="{18BB4949-273C-4E74-BD91-CEFE15E24105}"/>
    <cellStyle name="SAPBEXHLevel0X 3 8 6" xfId="1889" xr:uid="{00000000-0005-0000-0000-00003C060000}"/>
    <cellStyle name="SAPBEXHLevel0X 3 8 6 2" xfId="2655" xr:uid="{F9A71711-DD7E-4383-A8C2-51ED6C3CB33D}"/>
    <cellStyle name="SAPBEXHLevel0X 3 8 7" xfId="2104" xr:uid="{70553CE5-1E78-4A70-862E-469BFE654577}"/>
    <cellStyle name="SAPBEXHLevel0X 3 9" xfId="1609" xr:uid="{00000000-0005-0000-0000-00003D060000}"/>
    <cellStyle name="SAPBEXHLevel0X 3 9 2" xfId="2378" xr:uid="{C8EDCD0D-FF00-43C8-9514-FF7BDE55C52A}"/>
    <cellStyle name="SAPBEXHLevel0X 4" xfId="1435" xr:uid="{00000000-0005-0000-0000-00003E060000}"/>
    <cellStyle name="SAPBEXHLevel0X 4 2" xfId="2258" xr:uid="{611B27FA-B528-49A7-8D8F-476BC4EF2ACE}"/>
    <cellStyle name="SAPBEXHLevel0X 5" xfId="1652" xr:uid="{00000000-0005-0000-0000-00003F060000}"/>
    <cellStyle name="SAPBEXHLevel0X 5 2" xfId="2420" xr:uid="{5DB5F3FA-9B0B-4897-BA87-145521A42053}"/>
    <cellStyle name="SAPBEXHLevel0X 6" xfId="1715" xr:uid="{00000000-0005-0000-0000-000040060000}"/>
    <cellStyle name="SAPBEXHLevel0X 6 2" xfId="2483" xr:uid="{9521AF3A-499E-4EB3-8144-BEA98315DB47}"/>
    <cellStyle name="SAPBEXHLevel0X 7" xfId="1777" xr:uid="{00000000-0005-0000-0000-000041060000}"/>
    <cellStyle name="SAPBEXHLevel0X 7 2" xfId="2545" xr:uid="{7218C75B-CBC2-409C-A763-8626402A8EED}"/>
    <cellStyle name="SAPBEXHLevel0X 8" xfId="1896" xr:uid="{00000000-0005-0000-0000-000042060000}"/>
    <cellStyle name="SAPBEXHLevel0X 8 2" xfId="2662" xr:uid="{B38277AF-774F-45E8-A3E3-F69C5AD4645D}"/>
    <cellStyle name="SAPBEXHLevel0X 9" xfId="2095" xr:uid="{43D31C80-3E4F-4102-9CE3-19A7C4016933}"/>
    <cellStyle name="SAPBEXHLevel0X_0910 GSO Capex RRP - Final (Detail) v2 220710" xfId="1230" xr:uid="{00000000-0005-0000-0000-000043060000}"/>
    <cellStyle name="SAPBEXHLevel1" xfId="1231" xr:uid="{00000000-0005-0000-0000-000044060000}"/>
    <cellStyle name="SAPBEXHLevel1 10" xfId="1961" xr:uid="{00000000-0005-0000-0000-000045060000}"/>
    <cellStyle name="SAPBEXHLevel1 10 2" xfId="2727" xr:uid="{8EADECCE-18A8-43D6-B9C9-B6889E837118}"/>
    <cellStyle name="SAPBEXHLevel1 11" xfId="2105" xr:uid="{DD889ABB-6AFF-4280-BEDD-E355673E7070}"/>
    <cellStyle name="SAPBEXHLevel1 2" xfId="1232" xr:uid="{00000000-0005-0000-0000-000046060000}"/>
    <cellStyle name="SAPBEXHLevel1 2 2" xfId="1444" xr:uid="{00000000-0005-0000-0000-000047060000}"/>
    <cellStyle name="SAPBEXHLevel1 2 2 2" xfId="2266" xr:uid="{26A1AF95-2469-47BC-B6A8-26DD95AE11DB}"/>
    <cellStyle name="SAPBEXHLevel1 2 3" xfId="1663" xr:uid="{00000000-0005-0000-0000-000048060000}"/>
    <cellStyle name="SAPBEXHLevel1 2 3 2" xfId="2431" xr:uid="{F20199BE-CA22-421F-A5F9-DEEFDA42DA95}"/>
    <cellStyle name="SAPBEXHLevel1 2 4" xfId="1726" xr:uid="{00000000-0005-0000-0000-000049060000}"/>
    <cellStyle name="SAPBEXHLevel1 2 4 2" xfId="2494" xr:uid="{F6138842-924D-46BE-A1AB-54146811DEFA}"/>
    <cellStyle name="SAPBEXHLevel1 2 5" xfId="1788" xr:uid="{00000000-0005-0000-0000-00004A060000}"/>
    <cellStyle name="SAPBEXHLevel1 2 5 2" xfId="2556" xr:uid="{2C08313E-78C6-43A4-85B3-084BE2F977F6}"/>
    <cellStyle name="SAPBEXHLevel1 2 6" xfId="1887" xr:uid="{00000000-0005-0000-0000-00004B060000}"/>
    <cellStyle name="SAPBEXHLevel1 2 6 2" xfId="2653" xr:uid="{82844935-67A4-4890-B3F1-B79BBA1CE480}"/>
    <cellStyle name="SAPBEXHLevel1 2 7" xfId="2106" xr:uid="{C08BA1EB-A610-42E4-A39A-815D301EEECD}"/>
    <cellStyle name="SAPBEXHLevel1 3" xfId="1577" xr:uid="{00000000-0005-0000-0000-00004C060000}"/>
    <cellStyle name="SAPBEXHLevel1 3 2" xfId="2351" xr:uid="{3F68AA90-2D4E-4B6B-909A-B9D1646A5112}"/>
    <cellStyle name="SAPBEXHLevel1 4" xfId="1543" xr:uid="{00000000-0005-0000-0000-00004D060000}"/>
    <cellStyle name="SAPBEXHLevel1 4 2" xfId="2317" xr:uid="{026CC9F1-571B-409E-83BE-8E60301AABC4}"/>
    <cellStyle name="SAPBEXHLevel1 5" xfId="1443" xr:uid="{00000000-0005-0000-0000-00004E060000}"/>
    <cellStyle name="SAPBEXHLevel1 5 2" xfId="2265" xr:uid="{E0B9C347-EC45-4186-9F8F-90BFB43FC9ED}"/>
    <cellStyle name="SAPBEXHLevel1 6" xfId="1662" xr:uid="{00000000-0005-0000-0000-00004F060000}"/>
    <cellStyle name="SAPBEXHLevel1 6 2" xfId="2430" xr:uid="{FEE0662D-AD99-448D-A347-9B0398C931A7}"/>
    <cellStyle name="SAPBEXHLevel1 7" xfId="1725" xr:uid="{00000000-0005-0000-0000-000050060000}"/>
    <cellStyle name="SAPBEXHLevel1 7 2" xfId="2493" xr:uid="{21EB05BC-CE38-4CDD-825A-54C29ECFC2AF}"/>
    <cellStyle name="SAPBEXHLevel1 8" xfId="1787" xr:uid="{00000000-0005-0000-0000-000051060000}"/>
    <cellStyle name="SAPBEXHLevel1 8 2" xfId="2555" xr:uid="{5C5ED2DC-56B0-44C2-AC14-712350085989}"/>
    <cellStyle name="SAPBEXHLevel1 9" xfId="1888" xr:uid="{00000000-0005-0000-0000-000052060000}"/>
    <cellStyle name="SAPBEXHLevel1 9 2" xfId="2654" xr:uid="{02B07D81-BB58-47CD-AEB3-55E3C3B44E14}"/>
    <cellStyle name="SAPBEXHLevel1_0910 GSO Capex RRP - Final (Detail) v2 220710" xfId="1233" xr:uid="{00000000-0005-0000-0000-000053060000}"/>
    <cellStyle name="SAPBEXHLevel1X" xfId="1234" xr:uid="{00000000-0005-0000-0000-000054060000}"/>
    <cellStyle name="SAPBEXHLevel1X 2" xfId="1235" xr:uid="{00000000-0005-0000-0000-000055060000}"/>
    <cellStyle name="SAPBEXHLevel1X 2 2" xfId="1591" xr:uid="{00000000-0005-0000-0000-000056060000}"/>
    <cellStyle name="SAPBEXHLevel1X 2 2 2" xfId="2362" xr:uid="{E38E3764-78DD-4287-9D7B-7EA411793A40}"/>
    <cellStyle name="SAPBEXHLevel1X 2 3" xfId="1665" xr:uid="{00000000-0005-0000-0000-000057060000}"/>
    <cellStyle name="SAPBEXHLevel1X 2 3 2" xfId="2433" xr:uid="{EAF9A265-8B21-4B58-BF37-28DA04A02F70}"/>
    <cellStyle name="SAPBEXHLevel1X 2 4" xfId="1728" xr:uid="{00000000-0005-0000-0000-000058060000}"/>
    <cellStyle name="SAPBEXHLevel1X 2 4 2" xfId="2496" xr:uid="{96D2DCF3-05BE-4503-83DC-4653233126FB}"/>
    <cellStyle name="SAPBEXHLevel1X 2 5" xfId="1790" xr:uid="{00000000-0005-0000-0000-000059060000}"/>
    <cellStyle name="SAPBEXHLevel1X 2 5 2" xfId="2558" xr:uid="{8731A37E-6629-46C2-8B3F-5DC2F826C4DF}"/>
    <cellStyle name="SAPBEXHLevel1X 2 6" xfId="1885" xr:uid="{00000000-0005-0000-0000-00005A060000}"/>
    <cellStyle name="SAPBEXHLevel1X 2 6 2" xfId="2651" xr:uid="{FBEF0D00-29EF-4DEB-8F59-C2087B5C4C9D}"/>
    <cellStyle name="SAPBEXHLevel1X 2 7" xfId="2108" xr:uid="{5995071C-34C0-4E05-8A85-C99F4AC8EFF5}"/>
    <cellStyle name="SAPBEXHLevel1X 3" xfId="1236" xr:uid="{00000000-0005-0000-0000-00005B060000}"/>
    <cellStyle name="SAPBEXHLevel1X 3 10" xfId="1666" xr:uid="{00000000-0005-0000-0000-00005C060000}"/>
    <cellStyle name="SAPBEXHLevel1X 3 10 2" xfId="2434" xr:uid="{B6058771-5E43-4BE9-B17D-A91604AFCCE1}"/>
    <cellStyle name="SAPBEXHLevel1X 3 11" xfId="1729" xr:uid="{00000000-0005-0000-0000-00005D060000}"/>
    <cellStyle name="SAPBEXHLevel1X 3 11 2" xfId="2497" xr:uid="{4ED57DFE-0760-4565-AEF0-CB60991A9B25}"/>
    <cellStyle name="SAPBEXHLevel1X 3 12" xfId="1791" xr:uid="{00000000-0005-0000-0000-00005E060000}"/>
    <cellStyle name="SAPBEXHLevel1X 3 12 2" xfId="2559" xr:uid="{E9869E4B-944A-47FA-BEEA-FF2C1955DE6B}"/>
    <cellStyle name="SAPBEXHLevel1X 3 13" xfId="1884" xr:uid="{00000000-0005-0000-0000-00005F060000}"/>
    <cellStyle name="SAPBEXHLevel1X 3 13 2" xfId="2650" xr:uid="{CD446645-0298-46AC-B92C-9BA35EF1AE3E}"/>
    <cellStyle name="SAPBEXHLevel1X 3 14" xfId="2109" xr:uid="{46F69C3E-233B-4D1D-9664-A343F0CF2D77}"/>
    <cellStyle name="SAPBEXHLevel1X 3 2" xfId="1237" xr:uid="{00000000-0005-0000-0000-000060060000}"/>
    <cellStyle name="SAPBEXHLevel1X 3 2 2" xfId="1446" xr:uid="{00000000-0005-0000-0000-000061060000}"/>
    <cellStyle name="SAPBEXHLevel1X 3 2 2 2" xfId="2268" xr:uid="{5B72F031-F13A-4A24-9120-FCA0062A14AE}"/>
    <cellStyle name="SAPBEXHLevel1X 3 2 3" xfId="1667" xr:uid="{00000000-0005-0000-0000-000062060000}"/>
    <cellStyle name="SAPBEXHLevel1X 3 2 3 2" xfId="2435" xr:uid="{11F62498-C327-4909-ACAA-25CF710AF728}"/>
    <cellStyle name="SAPBEXHLevel1X 3 2 4" xfId="1730" xr:uid="{00000000-0005-0000-0000-000063060000}"/>
    <cellStyle name="SAPBEXHLevel1X 3 2 4 2" xfId="2498" xr:uid="{0378C1AC-D51F-4E5D-BF0D-EC9A6CFDADF7}"/>
    <cellStyle name="SAPBEXHLevel1X 3 2 5" xfId="1792" xr:uid="{00000000-0005-0000-0000-000064060000}"/>
    <cellStyle name="SAPBEXHLevel1X 3 2 5 2" xfId="2560" xr:uid="{AB1CB539-681E-4CFF-8C93-FA51F50A3A32}"/>
    <cellStyle name="SAPBEXHLevel1X 3 2 6" xfId="1883" xr:uid="{00000000-0005-0000-0000-000065060000}"/>
    <cellStyle name="SAPBEXHLevel1X 3 2 6 2" xfId="2649" xr:uid="{90C942CA-F9AA-4F72-BE4E-94634646BA63}"/>
    <cellStyle name="SAPBEXHLevel1X 3 2 7" xfId="2110" xr:uid="{B8D7279E-D7BA-4A1E-AB2D-35B5F66B389C}"/>
    <cellStyle name="SAPBEXHLevel1X 3 3" xfId="1238" xr:uid="{00000000-0005-0000-0000-000066060000}"/>
    <cellStyle name="SAPBEXHLevel1X 3 3 2" xfId="1447" xr:uid="{00000000-0005-0000-0000-000067060000}"/>
    <cellStyle name="SAPBEXHLevel1X 3 3 2 2" xfId="2269" xr:uid="{3475D983-FCF5-43B2-9F0F-12D141EC1990}"/>
    <cellStyle name="SAPBEXHLevel1X 3 3 3" xfId="1668" xr:uid="{00000000-0005-0000-0000-000068060000}"/>
    <cellStyle name="SAPBEXHLevel1X 3 3 3 2" xfId="2436" xr:uid="{882E65A3-7BF4-4C75-B3A9-4B8F5E4708DC}"/>
    <cellStyle name="SAPBEXHLevel1X 3 3 4" xfId="1731" xr:uid="{00000000-0005-0000-0000-000069060000}"/>
    <cellStyle name="SAPBEXHLevel1X 3 3 4 2" xfId="2499" xr:uid="{7787BF62-82DC-4744-9462-983736CC7B59}"/>
    <cellStyle name="SAPBEXHLevel1X 3 3 5" xfId="1793" xr:uid="{00000000-0005-0000-0000-00006A060000}"/>
    <cellStyle name="SAPBEXHLevel1X 3 3 5 2" xfId="2561" xr:uid="{EA23F88A-1AE4-4DC1-BB6A-3B56770E9428}"/>
    <cellStyle name="SAPBEXHLevel1X 3 3 6" xfId="1882" xr:uid="{00000000-0005-0000-0000-00006B060000}"/>
    <cellStyle name="SAPBEXHLevel1X 3 3 6 2" xfId="2648" xr:uid="{D42B6D68-85BD-4292-9AE9-A01FA9609B07}"/>
    <cellStyle name="SAPBEXHLevel1X 3 3 7" xfId="2111" xr:uid="{420EAEF8-4FC2-46A0-ABA1-20F2E6408E42}"/>
    <cellStyle name="SAPBEXHLevel1X 3 4" xfId="1239" xr:uid="{00000000-0005-0000-0000-00006C060000}"/>
    <cellStyle name="SAPBEXHLevel1X 3 4 2" xfId="1448" xr:uid="{00000000-0005-0000-0000-00006D060000}"/>
    <cellStyle name="SAPBEXHLevel1X 3 4 2 2" xfId="2270" xr:uid="{C46D181B-3387-4B31-963C-C21FC05186BD}"/>
    <cellStyle name="SAPBEXHLevel1X 3 4 3" xfId="1669" xr:uid="{00000000-0005-0000-0000-00006E060000}"/>
    <cellStyle name="SAPBEXHLevel1X 3 4 3 2" xfId="2437" xr:uid="{59C974EB-AFC8-4A95-98D6-1B3595FF3536}"/>
    <cellStyle name="SAPBEXHLevel1X 3 4 4" xfId="1732" xr:uid="{00000000-0005-0000-0000-00006F060000}"/>
    <cellStyle name="SAPBEXHLevel1X 3 4 4 2" xfId="2500" xr:uid="{2B39267A-4432-44C5-9612-847D1D26E6C3}"/>
    <cellStyle name="SAPBEXHLevel1X 3 4 5" xfId="1794" xr:uid="{00000000-0005-0000-0000-000070060000}"/>
    <cellStyle name="SAPBEXHLevel1X 3 4 5 2" xfId="2562" xr:uid="{9D666784-0A5C-49EF-B8C1-B5D97476A751}"/>
    <cellStyle name="SAPBEXHLevel1X 3 4 6" xfId="1881" xr:uid="{00000000-0005-0000-0000-000071060000}"/>
    <cellStyle name="SAPBEXHLevel1X 3 4 6 2" xfId="2647" xr:uid="{0EEAFB54-9A4B-4E8E-BE73-7FD2C8A209DC}"/>
    <cellStyle name="SAPBEXHLevel1X 3 4 7" xfId="2112" xr:uid="{99AD1847-9874-4A17-BE08-98D0293DE7FA}"/>
    <cellStyle name="SAPBEXHLevel1X 3 5" xfId="1240" xr:uid="{00000000-0005-0000-0000-000072060000}"/>
    <cellStyle name="SAPBEXHLevel1X 3 5 2" xfId="1449" xr:uid="{00000000-0005-0000-0000-000073060000}"/>
    <cellStyle name="SAPBEXHLevel1X 3 5 2 2" xfId="2271" xr:uid="{C630A7AE-D62E-4588-B452-9921C8480E12}"/>
    <cellStyle name="SAPBEXHLevel1X 3 5 3" xfId="1670" xr:uid="{00000000-0005-0000-0000-000074060000}"/>
    <cellStyle name="SAPBEXHLevel1X 3 5 3 2" xfId="2438" xr:uid="{DD658949-34A6-4D17-9294-B83C5E74A99F}"/>
    <cellStyle name="SAPBEXHLevel1X 3 5 4" xfId="1733" xr:uid="{00000000-0005-0000-0000-000075060000}"/>
    <cellStyle name="SAPBEXHLevel1X 3 5 4 2" xfId="2501" xr:uid="{B6CC70FE-BF41-4BD8-8413-6A085BC05CE5}"/>
    <cellStyle name="SAPBEXHLevel1X 3 5 5" xfId="1795" xr:uid="{00000000-0005-0000-0000-000076060000}"/>
    <cellStyle name="SAPBEXHLevel1X 3 5 5 2" xfId="2563" xr:uid="{C1C88415-1C9B-45BF-ACCE-2297797953FE}"/>
    <cellStyle name="SAPBEXHLevel1X 3 5 6" xfId="1880" xr:uid="{00000000-0005-0000-0000-000077060000}"/>
    <cellStyle name="SAPBEXHLevel1X 3 5 6 2" xfId="2646" xr:uid="{B756CA54-378C-4156-8724-BD54DDB2889E}"/>
    <cellStyle name="SAPBEXHLevel1X 3 5 7" xfId="2113" xr:uid="{015CC873-2426-44A5-9649-ABA5FCFFCC1E}"/>
    <cellStyle name="SAPBEXHLevel1X 3 6" xfId="1241" xr:uid="{00000000-0005-0000-0000-000078060000}"/>
    <cellStyle name="SAPBEXHLevel1X 3 6 2" xfId="1450" xr:uid="{00000000-0005-0000-0000-000079060000}"/>
    <cellStyle name="SAPBEXHLevel1X 3 6 2 2" xfId="2272" xr:uid="{D8B1988F-DED2-487F-82FB-91790AB5A011}"/>
    <cellStyle name="SAPBEXHLevel1X 3 6 3" xfId="1671" xr:uid="{00000000-0005-0000-0000-00007A060000}"/>
    <cellStyle name="SAPBEXHLevel1X 3 6 3 2" xfId="2439" xr:uid="{F2819FFE-5B73-4915-9D61-63CDCBC3E036}"/>
    <cellStyle name="SAPBEXHLevel1X 3 6 4" xfId="1734" xr:uid="{00000000-0005-0000-0000-00007B060000}"/>
    <cellStyle name="SAPBEXHLevel1X 3 6 4 2" xfId="2502" xr:uid="{DAD81920-113D-4178-B66E-D199E122CBAE}"/>
    <cellStyle name="SAPBEXHLevel1X 3 6 5" xfId="1796" xr:uid="{00000000-0005-0000-0000-00007C060000}"/>
    <cellStyle name="SAPBEXHLevel1X 3 6 5 2" xfId="2564" xr:uid="{11E4F67F-A428-4BDD-9D9E-6C918882AC53}"/>
    <cellStyle name="SAPBEXHLevel1X 3 6 6" xfId="1879" xr:uid="{00000000-0005-0000-0000-00007D060000}"/>
    <cellStyle name="SAPBEXHLevel1X 3 6 6 2" xfId="2645" xr:uid="{F6793A76-B24F-472C-A9F5-D9126A907791}"/>
    <cellStyle name="SAPBEXHLevel1X 3 6 7" xfId="2114" xr:uid="{AC0B22D1-8266-475D-977A-3EE5E5A1D515}"/>
    <cellStyle name="SAPBEXHLevel1X 3 7" xfId="1242" xr:uid="{00000000-0005-0000-0000-00007E060000}"/>
    <cellStyle name="SAPBEXHLevel1X 3 7 2" xfId="1451" xr:uid="{00000000-0005-0000-0000-00007F060000}"/>
    <cellStyle name="SAPBEXHLevel1X 3 7 2 2" xfId="2273" xr:uid="{E87C5175-5B5F-44A7-9FA9-760B4A165C33}"/>
    <cellStyle name="SAPBEXHLevel1X 3 7 3" xfId="1672" xr:uid="{00000000-0005-0000-0000-000080060000}"/>
    <cellStyle name="SAPBEXHLevel1X 3 7 3 2" xfId="2440" xr:uid="{626F20A2-4D7C-4922-A7C7-E9A7454CFC58}"/>
    <cellStyle name="SAPBEXHLevel1X 3 7 4" xfId="1735" xr:uid="{00000000-0005-0000-0000-000081060000}"/>
    <cellStyle name="SAPBEXHLevel1X 3 7 4 2" xfId="2503" xr:uid="{1DB55443-4F3F-49B5-B3F0-71A560149229}"/>
    <cellStyle name="SAPBEXHLevel1X 3 7 5" xfId="1797" xr:uid="{00000000-0005-0000-0000-000082060000}"/>
    <cellStyle name="SAPBEXHLevel1X 3 7 5 2" xfId="2565" xr:uid="{82670E72-4A21-4CEA-A1BF-32D37E66C3EF}"/>
    <cellStyle name="SAPBEXHLevel1X 3 7 6" xfId="1878" xr:uid="{00000000-0005-0000-0000-000083060000}"/>
    <cellStyle name="SAPBEXHLevel1X 3 7 6 2" xfId="2644" xr:uid="{0B816991-C914-4840-B8C8-4B9DC8A8EF1C}"/>
    <cellStyle name="SAPBEXHLevel1X 3 7 7" xfId="2115" xr:uid="{139403C8-B904-4E8A-82A6-3ABB7D740EA5}"/>
    <cellStyle name="SAPBEXHLevel1X 3 8" xfId="1243" xr:uid="{00000000-0005-0000-0000-000084060000}"/>
    <cellStyle name="SAPBEXHLevel1X 3 8 2" xfId="1613" xr:uid="{00000000-0005-0000-0000-000085060000}"/>
    <cellStyle name="SAPBEXHLevel1X 3 8 2 2" xfId="2381" xr:uid="{C4F19F5D-1B51-4AAF-8AAB-E3256422D2D0}"/>
    <cellStyle name="SAPBEXHLevel1X 3 8 3" xfId="1673" xr:uid="{00000000-0005-0000-0000-000086060000}"/>
    <cellStyle name="SAPBEXHLevel1X 3 8 3 2" xfId="2441" xr:uid="{7BA61318-599F-489E-BB4A-41AA9BE7B774}"/>
    <cellStyle name="SAPBEXHLevel1X 3 8 4" xfId="1736" xr:uid="{00000000-0005-0000-0000-000087060000}"/>
    <cellStyle name="SAPBEXHLevel1X 3 8 4 2" xfId="2504" xr:uid="{7B8FADEF-B19D-402D-A52B-04F589CF99F7}"/>
    <cellStyle name="SAPBEXHLevel1X 3 8 5" xfId="1798" xr:uid="{00000000-0005-0000-0000-000088060000}"/>
    <cellStyle name="SAPBEXHLevel1X 3 8 5 2" xfId="2566" xr:uid="{12679B08-966E-4D06-9B80-BAF669DC755F}"/>
    <cellStyle name="SAPBEXHLevel1X 3 8 6" xfId="1877" xr:uid="{00000000-0005-0000-0000-000089060000}"/>
    <cellStyle name="SAPBEXHLevel1X 3 8 6 2" xfId="2643" xr:uid="{A89230B4-D3DD-40A5-B19F-8CE844ED129B}"/>
    <cellStyle name="SAPBEXHLevel1X 3 8 7" xfId="2116" xr:uid="{52FC1388-0122-41AA-B5BD-7CFD0A1ED01C}"/>
    <cellStyle name="SAPBEXHLevel1X 3 9" xfId="1445" xr:uid="{00000000-0005-0000-0000-00008A060000}"/>
    <cellStyle name="SAPBEXHLevel1X 3 9 2" xfId="2267" xr:uid="{0C675D03-B976-4DC7-85B5-AD8228DA4341}"/>
    <cellStyle name="SAPBEXHLevel1X 4" xfId="1592" xr:uid="{00000000-0005-0000-0000-00008B060000}"/>
    <cellStyle name="SAPBEXHLevel1X 4 2" xfId="2363" xr:uid="{6356AE37-20CE-41DB-B85A-86ACEDBAE8DB}"/>
    <cellStyle name="SAPBEXHLevel1X 5" xfId="1664" xr:uid="{00000000-0005-0000-0000-00008C060000}"/>
    <cellStyle name="SAPBEXHLevel1X 5 2" xfId="2432" xr:uid="{220F828C-708E-4BAF-B051-A72CCD4D48B8}"/>
    <cellStyle name="SAPBEXHLevel1X 6" xfId="1727" xr:uid="{00000000-0005-0000-0000-00008D060000}"/>
    <cellStyle name="SAPBEXHLevel1X 6 2" xfId="2495" xr:uid="{72449ACE-6F85-4865-93FE-BEF473F4DDE9}"/>
    <cellStyle name="SAPBEXHLevel1X 7" xfId="1789" xr:uid="{00000000-0005-0000-0000-00008E060000}"/>
    <cellStyle name="SAPBEXHLevel1X 7 2" xfId="2557" xr:uid="{C526441C-8A9A-4F40-B4BE-3E241000ACE6}"/>
    <cellStyle name="SAPBEXHLevel1X 8" xfId="1886" xr:uid="{00000000-0005-0000-0000-00008F060000}"/>
    <cellStyle name="SAPBEXHLevel1X 8 2" xfId="2652" xr:uid="{59FB15C2-F297-43CD-A237-A8902761BDB9}"/>
    <cellStyle name="SAPBEXHLevel1X 9" xfId="2107" xr:uid="{9AF636A3-B0BE-4D45-A575-411D1E09C8EC}"/>
    <cellStyle name="SAPBEXHLevel1X_0910 GSO Capex RRP - Final (Detail) v2 220710" xfId="1244" xr:uid="{00000000-0005-0000-0000-000090060000}"/>
    <cellStyle name="SAPBEXHLevel2" xfId="1245" xr:uid="{00000000-0005-0000-0000-000091060000}"/>
    <cellStyle name="SAPBEXHLevel2 10" xfId="1962" xr:uid="{00000000-0005-0000-0000-000092060000}"/>
    <cellStyle name="SAPBEXHLevel2 10 2" xfId="2728" xr:uid="{A9B9C00B-DCFB-4A1B-8D01-4CA699422683}"/>
    <cellStyle name="SAPBEXHLevel2 11" xfId="2117" xr:uid="{A88D488E-4704-4DFF-A1E5-4D261191ED84}"/>
    <cellStyle name="SAPBEXHLevel2 2" xfId="1246" xr:uid="{00000000-0005-0000-0000-000093060000}"/>
    <cellStyle name="SAPBEXHLevel2 2 2" xfId="1463" xr:uid="{00000000-0005-0000-0000-000094060000}"/>
    <cellStyle name="SAPBEXHLevel2 2 2 2" xfId="2275" xr:uid="{7BE9C7E8-002D-4323-9C4F-9F818FB086AB}"/>
    <cellStyle name="SAPBEXHLevel2 2 3" xfId="1675" xr:uid="{00000000-0005-0000-0000-000095060000}"/>
    <cellStyle name="SAPBEXHLevel2 2 3 2" xfId="2443" xr:uid="{05AE1569-BAEF-4D11-8985-174E88DDDDD2}"/>
    <cellStyle name="SAPBEXHLevel2 2 4" xfId="1738" xr:uid="{00000000-0005-0000-0000-000096060000}"/>
    <cellStyle name="SAPBEXHLevel2 2 4 2" xfId="2506" xr:uid="{43B81F7C-EB26-4AA6-BD97-D698315F4274}"/>
    <cellStyle name="SAPBEXHLevel2 2 5" xfId="1800" xr:uid="{00000000-0005-0000-0000-000097060000}"/>
    <cellStyle name="SAPBEXHLevel2 2 5 2" xfId="2568" xr:uid="{B4A6D2C5-3F19-4D31-9224-6D8A7C02A3DE}"/>
    <cellStyle name="SAPBEXHLevel2 2 6" xfId="1875" xr:uid="{00000000-0005-0000-0000-000098060000}"/>
    <cellStyle name="SAPBEXHLevel2 2 6 2" xfId="2641" xr:uid="{8AEACA59-6320-4B30-AD32-5B6324AC31F2}"/>
    <cellStyle name="SAPBEXHLevel2 2 7" xfId="2118" xr:uid="{F90BC01F-3D4F-4A77-A6A9-66BF3F13E6AB}"/>
    <cellStyle name="SAPBEXHLevel2 3" xfId="1583" xr:uid="{00000000-0005-0000-0000-000099060000}"/>
    <cellStyle name="SAPBEXHLevel2 3 2" xfId="2356" xr:uid="{3C48307A-AC94-448C-BEC6-EFC0BE39BD66}"/>
    <cellStyle name="SAPBEXHLevel2 4" xfId="1556" xr:uid="{00000000-0005-0000-0000-00009A060000}"/>
    <cellStyle name="SAPBEXHLevel2 4 2" xfId="2330" xr:uid="{9F715DDB-439C-4891-9159-027BAB0509EB}"/>
    <cellStyle name="SAPBEXHLevel2 5" xfId="1462" xr:uid="{00000000-0005-0000-0000-00009B060000}"/>
    <cellStyle name="SAPBEXHLevel2 5 2" xfId="2274" xr:uid="{13316653-F391-49B7-879E-0379883575E0}"/>
    <cellStyle name="SAPBEXHLevel2 6" xfId="1674" xr:uid="{00000000-0005-0000-0000-00009C060000}"/>
    <cellStyle name="SAPBEXHLevel2 6 2" xfId="2442" xr:uid="{5AD46F58-4DEF-4133-8A84-A95D678CCBCD}"/>
    <cellStyle name="SAPBEXHLevel2 7" xfId="1737" xr:uid="{00000000-0005-0000-0000-00009D060000}"/>
    <cellStyle name="SAPBEXHLevel2 7 2" xfId="2505" xr:uid="{7E904531-1174-4A72-B509-17FFABB078BC}"/>
    <cellStyle name="SAPBEXHLevel2 8" xfId="1799" xr:uid="{00000000-0005-0000-0000-00009E060000}"/>
    <cellStyle name="SAPBEXHLevel2 8 2" xfId="2567" xr:uid="{A0B75655-8E3B-430A-82E4-4D0389E219A9}"/>
    <cellStyle name="SAPBEXHLevel2 9" xfId="1876" xr:uid="{00000000-0005-0000-0000-00009F060000}"/>
    <cellStyle name="SAPBEXHLevel2 9 2" xfId="2642" xr:uid="{94F2AE45-8522-457B-9F1B-DF49BE2BB25A}"/>
    <cellStyle name="SAPBEXHLevel2_0910 GSO Capex RRP - Final (Detail) v2 220710" xfId="1247" xr:uid="{00000000-0005-0000-0000-0000A0060000}"/>
    <cellStyle name="SAPBEXHLevel2X" xfId="1248" xr:uid="{00000000-0005-0000-0000-0000A1060000}"/>
    <cellStyle name="SAPBEXHLevel2X 2" xfId="1249" xr:uid="{00000000-0005-0000-0000-0000A2060000}"/>
    <cellStyle name="SAPBEXHLevel2X 2 2" xfId="1516" xr:uid="{00000000-0005-0000-0000-0000A3060000}"/>
    <cellStyle name="SAPBEXHLevel2X 2 2 2" xfId="2291" xr:uid="{87BCBB2D-C91E-424D-AB75-87410CD9B1F5}"/>
    <cellStyle name="SAPBEXHLevel2X 2 3" xfId="1677" xr:uid="{00000000-0005-0000-0000-0000A4060000}"/>
    <cellStyle name="SAPBEXHLevel2X 2 3 2" xfId="2445" xr:uid="{78EDC6A3-3B21-4818-8574-2B4F09DB49AD}"/>
    <cellStyle name="SAPBEXHLevel2X 2 4" xfId="1740" xr:uid="{00000000-0005-0000-0000-0000A5060000}"/>
    <cellStyle name="SAPBEXHLevel2X 2 4 2" xfId="2508" xr:uid="{DF26203B-F39D-44DF-BF94-9E2EDEDF6A62}"/>
    <cellStyle name="SAPBEXHLevel2X 2 5" xfId="1802" xr:uid="{00000000-0005-0000-0000-0000A6060000}"/>
    <cellStyle name="SAPBEXHLevel2X 2 5 2" xfId="2570" xr:uid="{AC13D18B-FD63-4114-BE40-95444433342A}"/>
    <cellStyle name="SAPBEXHLevel2X 2 6" xfId="1873" xr:uid="{00000000-0005-0000-0000-0000A7060000}"/>
    <cellStyle name="SAPBEXHLevel2X 2 6 2" xfId="2639" xr:uid="{6B75D084-776D-472E-B1F5-27AE4165B57C}"/>
    <cellStyle name="SAPBEXHLevel2X 2 7" xfId="2120" xr:uid="{1D02B207-F2E1-4CF8-95B8-36793CE9073C}"/>
    <cellStyle name="SAPBEXHLevel2X 3" xfId="1250" xr:uid="{00000000-0005-0000-0000-0000A8060000}"/>
    <cellStyle name="SAPBEXHLevel2X 3 10" xfId="1678" xr:uid="{00000000-0005-0000-0000-0000A9060000}"/>
    <cellStyle name="SAPBEXHLevel2X 3 10 2" xfId="2446" xr:uid="{1F04BE80-2ECF-423F-B70D-30D6FED8F9FB}"/>
    <cellStyle name="SAPBEXHLevel2X 3 11" xfId="1741" xr:uid="{00000000-0005-0000-0000-0000AA060000}"/>
    <cellStyle name="SAPBEXHLevel2X 3 11 2" xfId="2509" xr:uid="{0C1405C7-7D14-4F0A-84AD-76B953CD574D}"/>
    <cellStyle name="SAPBEXHLevel2X 3 12" xfId="1803" xr:uid="{00000000-0005-0000-0000-0000AB060000}"/>
    <cellStyle name="SAPBEXHLevel2X 3 12 2" xfId="2571" xr:uid="{A9084872-D9E7-41A6-B0B0-53EAD7585970}"/>
    <cellStyle name="SAPBEXHLevel2X 3 13" xfId="1872" xr:uid="{00000000-0005-0000-0000-0000AC060000}"/>
    <cellStyle name="SAPBEXHLevel2X 3 13 2" xfId="2638" xr:uid="{E7CDC230-6875-43EF-A58E-429296EDC30C}"/>
    <cellStyle name="SAPBEXHLevel2X 3 14" xfId="2121" xr:uid="{0F07F638-DC1C-4C4A-AF2F-1A185BC7D6F9}"/>
    <cellStyle name="SAPBEXHLevel2X 3 2" xfId="1251" xr:uid="{00000000-0005-0000-0000-0000AD060000}"/>
    <cellStyle name="SAPBEXHLevel2X 3 2 2" xfId="1523" xr:uid="{00000000-0005-0000-0000-0000AE060000}"/>
    <cellStyle name="SAPBEXHLevel2X 3 2 2 2" xfId="2298" xr:uid="{C5034AE1-FAAD-4F69-85D9-47F71669EDB8}"/>
    <cellStyle name="SAPBEXHLevel2X 3 2 3" xfId="1679" xr:uid="{00000000-0005-0000-0000-0000AF060000}"/>
    <cellStyle name="SAPBEXHLevel2X 3 2 3 2" xfId="2447" xr:uid="{947B2240-D9DE-4F9E-9963-065DB9094573}"/>
    <cellStyle name="SAPBEXHLevel2X 3 2 4" xfId="1742" xr:uid="{00000000-0005-0000-0000-0000B0060000}"/>
    <cellStyle name="SAPBEXHLevel2X 3 2 4 2" xfId="2510" xr:uid="{3B3DCA52-D2E2-4F4B-B7ED-62C0619EAAD7}"/>
    <cellStyle name="SAPBEXHLevel2X 3 2 5" xfId="1804" xr:uid="{00000000-0005-0000-0000-0000B1060000}"/>
    <cellStyle name="SAPBEXHLevel2X 3 2 5 2" xfId="2572" xr:uid="{A4AB5812-949F-4FC5-8400-64AAC5795E3E}"/>
    <cellStyle name="SAPBEXHLevel2X 3 2 6" xfId="1871" xr:uid="{00000000-0005-0000-0000-0000B2060000}"/>
    <cellStyle name="SAPBEXHLevel2X 3 2 6 2" xfId="2637" xr:uid="{99AAE240-A309-4501-AFFE-D79956E27C1C}"/>
    <cellStyle name="SAPBEXHLevel2X 3 2 7" xfId="2122" xr:uid="{7FD2CFD8-50B5-49A5-B999-09FE61DC2406}"/>
    <cellStyle name="SAPBEXHLevel2X 3 3" xfId="1252" xr:uid="{00000000-0005-0000-0000-0000B3060000}"/>
    <cellStyle name="SAPBEXHLevel2X 3 3 2" xfId="1524" xr:uid="{00000000-0005-0000-0000-0000B4060000}"/>
    <cellStyle name="SAPBEXHLevel2X 3 3 2 2" xfId="2299" xr:uid="{C0604CB0-C293-4403-BB66-189BE9EB9FBA}"/>
    <cellStyle name="SAPBEXHLevel2X 3 3 3" xfId="1680" xr:uid="{00000000-0005-0000-0000-0000B5060000}"/>
    <cellStyle name="SAPBEXHLevel2X 3 3 3 2" xfId="2448" xr:uid="{65DE6EC9-DD08-4314-A924-5EAC52192297}"/>
    <cellStyle name="SAPBEXHLevel2X 3 3 4" xfId="1743" xr:uid="{00000000-0005-0000-0000-0000B6060000}"/>
    <cellStyle name="SAPBEXHLevel2X 3 3 4 2" xfId="2511" xr:uid="{6C90206E-D242-44E0-AC41-DD07CAFC668F}"/>
    <cellStyle name="SAPBEXHLevel2X 3 3 5" xfId="1805" xr:uid="{00000000-0005-0000-0000-0000B7060000}"/>
    <cellStyle name="SAPBEXHLevel2X 3 3 5 2" xfId="2573" xr:uid="{D886230A-B560-40BC-991A-98DAB031E68B}"/>
    <cellStyle name="SAPBEXHLevel2X 3 3 6" xfId="1870" xr:uid="{00000000-0005-0000-0000-0000B8060000}"/>
    <cellStyle name="SAPBEXHLevel2X 3 3 6 2" xfId="2636" xr:uid="{ED9F6E95-D6AF-4254-85DE-DF9DE48115F6}"/>
    <cellStyle name="SAPBEXHLevel2X 3 3 7" xfId="2123" xr:uid="{73DDEE91-C662-4F08-BF7B-6DA60071E2ED}"/>
    <cellStyle name="SAPBEXHLevel2X 3 4" xfId="1253" xr:uid="{00000000-0005-0000-0000-0000B9060000}"/>
    <cellStyle name="SAPBEXHLevel2X 3 4 2" xfId="1526" xr:uid="{00000000-0005-0000-0000-0000BA060000}"/>
    <cellStyle name="SAPBEXHLevel2X 3 4 2 2" xfId="2301" xr:uid="{CF68A229-4D4D-45E7-AC92-C6C419F6A3C9}"/>
    <cellStyle name="SAPBEXHLevel2X 3 4 3" xfId="1681" xr:uid="{00000000-0005-0000-0000-0000BB060000}"/>
    <cellStyle name="SAPBEXHLevel2X 3 4 3 2" xfId="2449" xr:uid="{C6D084CC-4ED5-4EB0-B61B-BB1E5D4CA2DC}"/>
    <cellStyle name="SAPBEXHLevel2X 3 4 4" xfId="1744" xr:uid="{00000000-0005-0000-0000-0000BC060000}"/>
    <cellStyle name="SAPBEXHLevel2X 3 4 4 2" xfId="2512" xr:uid="{F64DAA4A-8503-4E31-8BAE-07D272DCA8EA}"/>
    <cellStyle name="SAPBEXHLevel2X 3 4 5" xfId="1806" xr:uid="{00000000-0005-0000-0000-0000BD060000}"/>
    <cellStyle name="SAPBEXHLevel2X 3 4 5 2" xfId="2574" xr:uid="{2CA65BDC-55C9-4A31-96BD-E0DFCCC9D434}"/>
    <cellStyle name="SAPBEXHLevel2X 3 4 6" xfId="1869" xr:uid="{00000000-0005-0000-0000-0000BE060000}"/>
    <cellStyle name="SAPBEXHLevel2X 3 4 6 2" xfId="2635" xr:uid="{7DA80162-5F29-4F1D-A487-74B18A5B884F}"/>
    <cellStyle name="SAPBEXHLevel2X 3 4 7" xfId="2124" xr:uid="{CA05240E-30B8-4E5E-AEB0-48BE77D3D020}"/>
    <cellStyle name="SAPBEXHLevel2X 3 5" xfId="1254" xr:uid="{00000000-0005-0000-0000-0000BF060000}"/>
    <cellStyle name="SAPBEXHLevel2X 3 5 2" xfId="1527" xr:uid="{00000000-0005-0000-0000-0000C0060000}"/>
    <cellStyle name="SAPBEXHLevel2X 3 5 2 2" xfId="2302" xr:uid="{9C5D1EF7-A5C7-4956-ADD1-5068ED76A640}"/>
    <cellStyle name="SAPBEXHLevel2X 3 5 3" xfId="1682" xr:uid="{00000000-0005-0000-0000-0000C1060000}"/>
    <cellStyle name="SAPBEXHLevel2X 3 5 3 2" xfId="2450" xr:uid="{7D84A28C-39B6-4D20-A422-DE9AA98A3814}"/>
    <cellStyle name="SAPBEXHLevel2X 3 5 4" xfId="1745" xr:uid="{00000000-0005-0000-0000-0000C2060000}"/>
    <cellStyle name="SAPBEXHLevel2X 3 5 4 2" xfId="2513" xr:uid="{9B0E7BBE-282C-4CA7-BDD0-446B3C8044B5}"/>
    <cellStyle name="SAPBEXHLevel2X 3 5 5" xfId="1807" xr:uid="{00000000-0005-0000-0000-0000C3060000}"/>
    <cellStyle name="SAPBEXHLevel2X 3 5 5 2" xfId="2575" xr:uid="{0959987E-0724-4D5B-92EC-533628CEF45C}"/>
    <cellStyle name="SAPBEXHLevel2X 3 5 6" xfId="1868" xr:uid="{00000000-0005-0000-0000-0000C4060000}"/>
    <cellStyle name="SAPBEXHLevel2X 3 5 6 2" xfId="2634" xr:uid="{C96A675C-457F-4174-A0B2-7D8CEEC8F205}"/>
    <cellStyle name="SAPBEXHLevel2X 3 5 7" xfId="2125" xr:uid="{859D55C0-4408-4AA4-A966-FB1294B9AB48}"/>
    <cellStyle name="SAPBEXHLevel2X 3 6" xfId="1255" xr:uid="{00000000-0005-0000-0000-0000C5060000}"/>
    <cellStyle name="SAPBEXHLevel2X 3 6 2" xfId="1528" xr:uid="{00000000-0005-0000-0000-0000C6060000}"/>
    <cellStyle name="SAPBEXHLevel2X 3 6 2 2" xfId="2303" xr:uid="{12ED7FCC-8D09-42B7-B2A1-60864C7A7B0E}"/>
    <cellStyle name="SAPBEXHLevel2X 3 6 3" xfId="1683" xr:uid="{00000000-0005-0000-0000-0000C7060000}"/>
    <cellStyle name="SAPBEXHLevel2X 3 6 3 2" xfId="2451" xr:uid="{390EDD13-6586-4B51-86E9-4A633D003C9F}"/>
    <cellStyle name="SAPBEXHLevel2X 3 6 4" xfId="1746" xr:uid="{00000000-0005-0000-0000-0000C8060000}"/>
    <cellStyle name="SAPBEXHLevel2X 3 6 4 2" xfId="2514" xr:uid="{9A1B8C80-1F50-4E4E-8A7F-69511AC077B8}"/>
    <cellStyle name="SAPBEXHLevel2X 3 6 5" xfId="1808" xr:uid="{00000000-0005-0000-0000-0000C9060000}"/>
    <cellStyle name="SAPBEXHLevel2X 3 6 5 2" xfId="2576" xr:uid="{509DCAF4-758E-4944-8D55-E355ABD5E6C4}"/>
    <cellStyle name="SAPBEXHLevel2X 3 6 6" xfId="1867" xr:uid="{00000000-0005-0000-0000-0000CA060000}"/>
    <cellStyle name="SAPBEXHLevel2X 3 6 6 2" xfId="2633" xr:uid="{B9DDDD11-9A94-4C5B-BAFB-C6D786D5E151}"/>
    <cellStyle name="SAPBEXHLevel2X 3 6 7" xfId="2126" xr:uid="{A4F920A4-264D-455F-A130-F10B288EDA34}"/>
    <cellStyle name="SAPBEXHLevel2X 3 7" xfId="1256" xr:uid="{00000000-0005-0000-0000-0000CB060000}"/>
    <cellStyle name="SAPBEXHLevel2X 3 7 2" xfId="1529" xr:uid="{00000000-0005-0000-0000-0000CC060000}"/>
    <cellStyle name="SAPBEXHLevel2X 3 7 2 2" xfId="2304" xr:uid="{17D6237B-938A-4B8A-BCB8-346E1B65800B}"/>
    <cellStyle name="SAPBEXHLevel2X 3 7 3" xfId="1684" xr:uid="{00000000-0005-0000-0000-0000CD060000}"/>
    <cellStyle name="SAPBEXHLevel2X 3 7 3 2" xfId="2452" xr:uid="{A07B2A48-2DA4-49B3-83EE-9EE17983BB80}"/>
    <cellStyle name="SAPBEXHLevel2X 3 7 4" xfId="1747" xr:uid="{00000000-0005-0000-0000-0000CE060000}"/>
    <cellStyle name="SAPBEXHLevel2X 3 7 4 2" xfId="2515" xr:uid="{B0E04411-CE01-40A2-B012-B880EFD4976F}"/>
    <cellStyle name="SAPBEXHLevel2X 3 7 5" xfId="1809" xr:uid="{00000000-0005-0000-0000-0000CF060000}"/>
    <cellStyle name="SAPBEXHLevel2X 3 7 5 2" xfId="2577" xr:uid="{06504092-41FC-4442-99E7-00163ADF2926}"/>
    <cellStyle name="SAPBEXHLevel2X 3 7 6" xfId="1866" xr:uid="{00000000-0005-0000-0000-0000D0060000}"/>
    <cellStyle name="SAPBEXHLevel2X 3 7 6 2" xfId="2632" xr:uid="{8794C4BA-7E60-4EFB-90E1-F6D15445F01F}"/>
    <cellStyle name="SAPBEXHLevel2X 3 7 7" xfId="2127" xr:uid="{AFED323C-6BEC-46E8-B845-C0984E6863AC}"/>
    <cellStyle name="SAPBEXHLevel2X 3 8" xfId="1257" xr:uid="{00000000-0005-0000-0000-0000D1060000}"/>
    <cellStyle name="SAPBEXHLevel2X 3 8 2" xfId="1530" xr:uid="{00000000-0005-0000-0000-0000D2060000}"/>
    <cellStyle name="SAPBEXHLevel2X 3 8 2 2" xfId="2305" xr:uid="{14904093-89F4-46D7-89AA-94AEC44DBEF4}"/>
    <cellStyle name="SAPBEXHLevel2X 3 8 3" xfId="1685" xr:uid="{00000000-0005-0000-0000-0000D3060000}"/>
    <cellStyle name="SAPBEXHLevel2X 3 8 3 2" xfId="2453" xr:uid="{5F3ACA2A-1E49-4C2F-8501-3014F42FBC91}"/>
    <cellStyle name="SAPBEXHLevel2X 3 8 4" xfId="1748" xr:uid="{00000000-0005-0000-0000-0000D4060000}"/>
    <cellStyle name="SAPBEXHLevel2X 3 8 4 2" xfId="2516" xr:uid="{D4FB42A4-B5E1-4E54-8F53-F3382EDE6FA2}"/>
    <cellStyle name="SAPBEXHLevel2X 3 8 5" xfId="1810" xr:uid="{00000000-0005-0000-0000-0000D5060000}"/>
    <cellStyle name="SAPBEXHLevel2X 3 8 5 2" xfId="2578" xr:uid="{4AE2A629-8589-4F5A-9FA2-53A28E5722DB}"/>
    <cellStyle name="SAPBEXHLevel2X 3 8 6" xfId="1865" xr:uid="{00000000-0005-0000-0000-0000D6060000}"/>
    <cellStyle name="SAPBEXHLevel2X 3 8 6 2" xfId="2631" xr:uid="{BA1A2B52-A552-467D-B4B8-5508C2B874EE}"/>
    <cellStyle name="SAPBEXHLevel2X 3 8 7" xfId="2128" xr:uid="{F2D554E9-F23F-456C-BEB2-B07C1587EEE3}"/>
    <cellStyle name="SAPBEXHLevel2X 3 9" xfId="1522" xr:uid="{00000000-0005-0000-0000-0000D7060000}"/>
    <cellStyle name="SAPBEXHLevel2X 3 9 2" xfId="2297" xr:uid="{E26286C5-C763-4672-8FAD-7D7741F3F53A}"/>
    <cellStyle name="SAPBEXHLevel2X 4" xfId="1512" xr:uid="{00000000-0005-0000-0000-0000D8060000}"/>
    <cellStyle name="SAPBEXHLevel2X 4 2" xfId="2287" xr:uid="{425012D2-8A8D-477B-91C4-F216E825CD92}"/>
    <cellStyle name="SAPBEXHLevel2X 5" xfId="1676" xr:uid="{00000000-0005-0000-0000-0000D9060000}"/>
    <cellStyle name="SAPBEXHLevel2X 5 2" xfId="2444" xr:uid="{F1B6F054-76D3-499E-93B0-04AE2DF876EB}"/>
    <cellStyle name="SAPBEXHLevel2X 6" xfId="1739" xr:uid="{00000000-0005-0000-0000-0000DA060000}"/>
    <cellStyle name="SAPBEXHLevel2X 6 2" xfId="2507" xr:uid="{CF830138-EFAD-4E7A-B501-2F7477C4C80A}"/>
    <cellStyle name="SAPBEXHLevel2X 7" xfId="1801" xr:uid="{00000000-0005-0000-0000-0000DB060000}"/>
    <cellStyle name="SAPBEXHLevel2X 7 2" xfId="2569" xr:uid="{F7E7193D-A23A-45AF-86E9-7B10274A6958}"/>
    <cellStyle name="SAPBEXHLevel2X 8" xfId="1874" xr:uid="{00000000-0005-0000-0000-0000DC060000}"/>
    <cellStyle name="SAPBEXHLevel2X 8 2" xfId="2640" xr:uid="{7C1FE83B-B526-42D4-8840-96FAE6C2D652}"/>
    <cellStyle name="SAPBEXHLevel2X 9" xfId="2119" xr:uid="{4D74CD82-2896-4C31-83EE-90D9DE15BCA8}"/>
    <cellStyle name="SAPBEXHLevel2X_0910 GSO Capex RRP - Final (Detail) v2 220710" xfId="1258" xr:uid="{00000000-0005-0000-0000-0000DD060000}"/>
    <cellStyle name="SAPBEXHLevel3" xfId="1259" xr:uid="{00000000-0005-0000-0000-0000DE060000}"/>
    <cellStyle name="SAPBEXHLevel3 10" xfId="1963" xr:uid="{00000000-0005-0000-0000-0000DF060000}"/>
    <cellStyle name="SAPBEXHLevel3 10 2" xfId="2729" xr:uid="{8A6E4074-6918-4768-A92E-59BCDCCDB2CB}"/>
    <cellStyle name="SAPBEXHLevel3 11" xfId="2129" xr:uid="{06F71E3D-B0C7-42A5-983A-D6EA29B3B6D2}"/>
    <cellStyle name="SAPBEXHLevel3 2" xfId="1260" xr:uid="{00000000-0005-0000-0000-0000E0060000}"/>
    <cellStyle name="SAPBEXHLevel3 2 2" xfId="1533" xr:uid="{00000000-0005-0000-0000-0000E1060000}"/>
    <cellStyle name="SAPBEXHLevel3 2 2 2" xfId="2308" xr:uid="{F9832556-067B-44EA-B2CE-C6AE083C5866}"/>
    <cellStyle name="SAPBEXHLevel3 2 3" xfId="1687" xr:uid="{00000000-0005-0000-0000-0000E2060000}"/>
    <cellStyle name="SAPBEXHLevel3 2 3 2" xfId="2455" xr:uid="{4E77AFA0-1B05-4AF2-81B0-4D24CA164984}"/>
    <cellStyle name="SAPBEXHLevel3 2 4" xfId="1750" xr:uid="{00000000-0005-0000-0000-0000E3060000}"/>
    <cellStyle name="SAPBEXHLevel3 2 4 2" xfId="2518" xr:uid="{BC4D7C3B-99EA-434F-8F33-30028021204E}"/>
    <cellStyle name="SAPBEXHLevel3 2 5" xfId="1812" xr:uid="{00000000-0005-0000-0000-0000E4060000}"/>
    <cellStyle name="SAPBEXHLevel3 2 5 2" xfId="2580" xr:uid="{9C2D6AB5-41C5-40CE-94CB-408A091418A5}"/>
    <cellStyle name="SAPBEXHLevel3 2 6" xfId="1863" xr:uid="{00000000-0005-0000-0000-0000E5060000}"/>
    <cellStyle name="SAPBEXHLevel3 2 6 2" xfId="2629" xr:uid="{CB1C9AD1-E980-4E3C-BB5D-D822DF80D124}"/>
    <cellStyle name="SAPBEXHLevel3 2 7" xfId="2130" xr:uid="{53776C0A-5646-4D5D-917F-6F07E3F3CB9B}"/>
    <cellStyle name="SAPBEXHLevel3 3" xfId="1587" xr:uid="{00000000-0005-0000-0000-0000E6060000}"/>
    <cellStyle name="SAPBEXHLevel3 3 2" xfId="2359" xr:uid="{4E81FC73-AE78-4D2B-8403-816A3FD6E214}"/>
    <cellStyle name="SAPBEXHLevel3 4" xfId="1574" xr:uid="{00000000-0005-0000-0000-0000E7060000}"/>
    <cellStyle name="SAPBEXHLevel3 4 2" xfId="2348" xr:uid="{BF37EC80-4802-454D-90F6-EED3998EB734}"/>
    <cellStyle name="SAPBEXHLevel3 5" xfId="1532" xr:uid="{00000000-0005-0000-0000-0000E8060000}"/>
    <cellStyle name="SAPBEXHLevel3 5 2" xfId="2307" xr:uid="{2B68D22C-6390-496A-917E-4229F3C8F284}"/>
    <cellStyle name="SAPBEXHLevel3 6" xfId="1686" xr:uid="{00000000-0005-0000-0000-0000E9060000}"/>
    <cellStyle name="SAPBEXHLevel3 6 2" xfId="2454" xr:uid="{A0BDA1A2-5B97-4E22-A7F9-016E441BA252}"/>
    <cellStyle name="SAPBEXHLevel3 7" xfId="1749" xr:uid="{00000000-0005-0000-0000-0000EA060000}"/>
    <cellStyle name="SAPBEXHLevel3 7 2" xfId="2517" xr:uid="{B3BDEFD3-ED1F-4EC8-9751-D0AAB3F1C9F9}"/>
    <cellStyle name="SAPBEXHLevel3 8" xfId="1811" xr:uid="{00000000-0005-0000-0000-0000EB060000}"/>
    <cellStyle name="SAPBEXHLevel3 8 2" xfId="2579" xr:uid="{0C0D4614-7BAB-43A7-8BA8-86198A96703D}"/>
    <cellStyle name="SAPBEXHLevel3 9" xfId="1864" xr:uid="{00000000-0005-0000-0000-0000EC060000}"/>
    <cellStyle name="SAPBEXHLevel3 9 2" xfId="2630" xr:uid="{2D0CEE1F-B5AC-4BF1-971B-6607F51327A6}"/>
    <cellStyle name="SAPBEXHLevel3_0910 GSO Capex RRP - Final (Detail) v2 220710" xfId="1261" xr:uid="{00000000-0005-0000-0000-0000ED060000}"/>
    <cellStyle name="SAPBEXHLevel3X" xfId="1262" xr:uid="{00000000-0005-0000-0000-0000EE060000}"/>
    <cellStyle name="SAPBEXHLevel3X 2" xfId="1263" xr:uid="{00000000-0005-0000-0000-0000EF060000}"/>
    <cellStyle name="SAPBEXHLevel3X 2 2" xfId="1535" xr:uid="{00000000-0005-0000-0000-0000F0060000}"/>
    <cellStyle name="SAPBEXHLevel3X 2 2 2" xfId="2310" xr:uid="{D8490F9D-BC59-4A82-BBF3-40FB0BB4E500}"/>
    <cellStyle name="SAPBEXHLevel3X 2 3" xfId="1689" xr:uid="{00000000-0005-0000-0000-0000F1060000}"/>
    <cellStyle name="SAPBEXHLevel3X 2 3 2" xfId="2457" xr:uid="{25223DCA-0C4D-45AD-888F-D79BF59B4A4B}"/>
    <cellStyle name="SAPBEXHLevel3X 2 4" xfId="1752" xr:uid="{00000000-0005-0000-0000-0000F2060000}"/>
    <cellStyle name="SAPBEXHLevel3X 2 4 2" xfId="2520" xr:uid="{9205AB7E-B0D2-4199-A01B-26F4AE14987F}"/>
    <cellStyle name="SAPBEXHLevel3X 2 5" xfId="1814" xr:uid="{00000000-0005-0000-0000-0000F3060000}"/>
    <cellStyle name="SAPBEXHLevel3X 2 5 2" xfId="2582" xr:uid="{260DBD86-79E7-4A9D-9E47-DE4A98A73682}"/>
    <cellStyle name="SAPBEXHLevel3X 2 6" xfId="1861" xr:uid="{00000000-0005-0000-0000-0000F4060000}"/>
    <cellStyle name="SAPBEXHLevel3X 2 6 2" xfId="2627" xr:uid="{AC1D2DAC-7E78-4723-85E2-EB42EFD5F6F8}"/>
    <cellStyle name="SAPBEXHLevel3X 2 7" xfId="2132" xr:uid="{9E6CFC8F-100A-4AA5-ACA2-E2A683DEBD79}"/>
    <cellStyle name="SAPBEXHLevel3X 3" xfId="1264" xr:uid="{00000000-0005-0000-0000-0000F5060000}"/>
    <cellStyle name="SAPBEXHLevel3X 3 10" xfId="1690" xr:uid="{00000000-0005-0000-0000-0000F6060000}"/>
    <cellStyle name="SAPBEXHLevel3X 3 10 2" xfId="2458" xr:uid="{F57BC0A5-0216-4549-85B9-B10D59C8F863}"/>
    <cellStyle name="SAPBEXHLevel3X 3 11" xfId="1753" xr:uid="{00000000-0005-0000-0000-0000F7060000}"/>
    <cellStyle name="SAPBEXHLevel3X 3 11 2" xfId="2521" xr:uid="{F3B33F35-8706-44EE-992E-AD4636673849}"/>
    <cellStyle name="SAPBEXHLevel3X 3 12" xfId="1815" xr:uid="{00000000-0005-0000-0000-0000F8060000}"/>
    <cellStyle name="SAPBEXHLevel3X 3 12 2" xfId="2583" xr:uid="{2E3AA951-9180-4BFE-B5E0-53BE18DE4EC0}"/>
    <cellStyle name="SAPBEXHLevel3X 3 13" xfId="1860" xr:uid="{00000000-0005-0000-0000-0000F9060000}"/>
    <cellStyle name="SAPBEXHLevel3X 3 13 2" xfId="2626" xr:uid="{3DD53D54-19F6-4810-8F36-1C9B75B3A932}"/>
    <cellStyle name="SAPBEXHLevel3X 3 14" xfId="2133" xr:uid="{08CF4198-6301-4E4F-8EBE-384B057781AA}"/>
    <cellStyle name="SAPBEXHLevel3X 3 2" xfId="1265" xr:uid="{00000000-0005-0000-0000-0000FA060000}"/>
    <cellStyle name="SAPBEXHLevel3X 3 2 2" xfId="1604" xr:uid="{00000000-0005-0000-0000-0000FB060000}"/>
    <cellStyle name="SAPBEXHLevel3X 3 2 2 2" xfId="2375" xr:uid="{974D6040-B689-4264-9436-57EAE32F496B}"/>
    <cellStyle name="SAPBEXHLevel3X 3 2 3" xfId="1691" xr:uid="{00000000-0005-0000-0000-0000FC060000}"/>
    <cellStyle name="SAPBEXHLevel3X 3 2 3 2" xfId="2459" xr:uid="{462AECB0-7B78-4152-9201-D936061020A7}"/>
    <cellStyle name="SAPBEXHLevel3X 3 2 4" xfId="1754" xr:uid="{00000000-0005-0000-0000-0000FD060000}"/>
    <cellStyle name="SAPBEXHLevel3X 3 2 4 2" xfId="2522" xr:uid="{12837CE5-0302-4392-AC6C-379139027D96}"/>
    <cellStyle name="SAPBEXHLevel3X 3 2 5" xfId="1816" xr:uid="{00000000-0005-0000-0000-0000FE060000}"/>
    <cellStyle name="SAPBEXHLevel3X 3 2 5 2" xfId="2584" xr:uid="{B7CDF751-1A54-414C-B96D-31C94B04A932}"/>
    <cellStyle name="SAPBEXHLevel3X 3 2 6" xfId="1859" xr:uid="{00000000-0005-0000-0000-0000FF060000}"/>
    <cellStyle name="SAPBEXHLevel3X 3 2 6 2" xfId="2625" xr:uid="{0EC296B2-1C25-4CA5-818F-DB170BB3CF92}"/>
    <cellStyle name="SAPBEXHLevel3X 3 2 7" xfId="2134" xr:uid="{E63B8EA2-8B9F-41E4-869C-BF7266352067}"/>
    <cellStyle name="SAPBEXHLevel3X 3 3" xfId="1266" xr:uid="{00000000-0005-0000-0000-000000070000}"/>
    <cellStyle name="SAPBEXHLevel3X 3 3 2" xfId="1538" xr:uid="{00000000-0005-0000-0000-000001070000}"/>
    <cellStyle name="SAPBEXHLevel3X 3 3 2 2" xfId="2312" xr:uid="{49752A86-2086-46A8-B830-914209933D37}"/>
    <cellStyle name="SAPBEXHLevel3X 3 3 3" xfId="1692" xr:uid="{00000000-0005-0000-0000-000002070000}"/>
    <cellStyle name="SAPBEXHLevel3X 3 3 3 2" xfId="2460" xr:uid="{C2312F40-3DB7-4AAF-A32C-5B6EC613E9B0}"/>
    <cellStyle name="SAPBEXHLevel3X 3 3 4" xfId="1755" xr:uid="{00000000-0005-0000-0000-000003070000}"/>
    <cellStyle name="SAPBEXHLevel3X 3 3 4 2" xfId="2523" xr:uid="{DDDF46D4-A575-4CB0-850E-4D187C6CAEDC}"/>
    <cellStyle name="SAPBEXHLevel3X 3 3 5" xfId="1817" xr:uid="{00000000-0005-0000-0000-000004070000}"/>
    <cellStyle name="SAPBEXHLevel3X 3 3 5 2" xfId="2585" xr:uid="{1020D72B-98F2-4441-968D-C13815DDE8E1}"/>
    <cellStyle name="SAPBEXHLevel3X 3 3 6" xfId="1858" xr:uid="{00000000-0005-0000-0000-000005070000}"/>
    <cellStyle name="SAPBEXHLevel3X 3 3 6 2" xfId="2624" xr:uid="{DA0B5802-9FB0-45B3-9130-677426614365}"/>
    <cellStyle name="SAPBEXHLevel3X 3 3 7" xfId="2135" xr:uid="{3C44330D-CD1F-42DF-8A80-C2D3A95D22BE}"/>
    <cellStyle name="SAPBEXHLevel3X 3 4" xfId="1267" xr:uid="{00000000-0005-0000-0000-000006070000}"/>
    <cellStyle name="SAPBEXHLevel3X 3 4 2" xfId="1539" xr:uid="{00000000-0005-0000-0000-000007070000}"/>
    <cellStyle name="SAPBEXHLevel3X 3 4 2 2" xfId="2313" xr:uid="{38267FF0-B556-4224-9B5B-52D9DE7E6822}"/>
    <cellStyle name="SAPBEXHLevel3X 3 4 3" xfId="1693" xr:uid="{00000000-0005-0000-0000-000008070000}"/>
    <cellStyle name="SAPBEXHLevel3X 3 4 3 2" xfId="2461" xr:uid="{AAB3C7AF-D99D-4993-931F-16E33ABC17F2}"/>
    <cellStyle name="SAPBEXHLevel3X 3 4 4" xfId="1756" xr:uid="{00000000-0005-0000-0000-000009070000}"/>
    <cellStyle name="SAPBEXHLevel3X 3 4 4 2" xfId="2524" xr:uid="{1041272C-2973-4D92-9D93-1DC5EFE5D940}"/>
    <cellStyle name="SAPBEXHLevel3X 3 4 5" xfId="1818" xr:uid="{00000000-0005-0000-0000-00000A070000}"/>
    <cellStyle name="SAPBEXHLevel3X 3 4 5 2" xfId="2586" xr:uid="{134E7BD7-239A-405C-91B4-9C97A01EE97A}"/>
    <cellStyle name="SAPBEXHLevel3X 3 4 6" xfId="1857" xr:uid="{00000000-0005-0000-0000-00000B070000}"/>
    <cellStyle name="SAPBEXHLevel3X 3 4 6 2" xfId="2623" xr:uid="{6AB93CEC-3EDE-4AAD-9A5E-AF9218054430}"/>
    <cellStyle name="SAPBEXHLevel3X 3 4 7" xfId="2136" xr:uid="{B78DCE4A-565E-4A60-8171-1E51A5362D8A}"/>
    <cellStyle name="SAPBEXHLevel3X 3 5" xfId="1268" xr:uid="{00000000-0005-0000-0000-00000C070000}"/>
    <cellStyle name="SAPBEXHLevel3X 3 5 2" xfId="1540" xr:uid="{00000000-0005-0000-0000-00000D070000}"/>
    <cellStyle name="SAPBEXHLevel3X 3 5 2 2" xfId="2314" xr:uid="{40F20ACC-8AAA-44C5-9179-CCF4814EBD4C}"/>
    <cellStyle name="SAPBEXHLevel3X 3 5 3" xfId="1694" xr:uid="{00000000-0005-0000-0000-00000E070000}"/>
    <cellStyle name="SAPBEXHLevel3X 3 5 3 2" xfId="2462" xr:uid="{7BD6D6B5-EA02-4C95-B9C3-DD0330268FEA}"/>
    <cellStyle name="SAPBEXHLevel3X 3 5 4" xfId="1757" xr:uid="{00000000-0005-0000-0000-00000F070000}"/>
    <cellStyle name="SAPBEXHLevel3X 3 5 4 2" xfId="2525" xr:uid="{2CD06CB0-AB8D-400E-BF8D-D417158623EB}"/>
    <cellStyle name="SAPBEXHLevel3X 3 5 5" xfId="1819" xr:uid="{00000000-0005-0000-0000-000010070000}"/>
    <cellStyle name="SAPBEXHLevel3X 3 5 5 2" xfId="2587" xr:uid="{B10BF6EA-EE66-4BE0-AC5A-EC27DF011300}"/>
    <cellStyle name="SAPBEXHLevel3X 3 5 6" xfId="1856" xr:uid="{00000000-0005-0000-0000-000011070000}"/>
    <cellStyle name="SAPBEXHLevel3X 3 5 6 2" xfId="2622" xr:uid="{974BE0F0-DAC3-4F13-8F6C-C5FA6598E1F4}"/>
    <cellStyle name="SAPBEXHLevel3X 3 5 7" xfId="2137" xr:uid="{8F7441EF-F60B-4894-AC36-1FDDD4D87305}"/>
    <cellStyle name="SAPBEXHLevel3X 3 6" xfId="1269" xr:uid="{00000000-0005-0000-0000-000012070000}"/>
    <cellStyle name="SAPBEXHLevel3X 3 6 2" xfId="1541" xr:uid="{00000000-0005-0000-0000-000013070000}"/>
    <cellStyle name="SAPBEXHLevel3X 3 6 2 2" xfId="2315" xr:uid="{F9859C2A-E03E-432D-A636-BDF2120D0DC2}"/>
    <cellStyle name="SAPBEXHLevel3X 3 6 3" xfId="1695" xr:uid="{00000000-0005-0000-0000-000014070000}"/>
    <cellStyle name="SAPBEXHLevel3X 3 6 3 2" xfId="2463" xr:uid="{2F53008F-5C3E-46AA-A278-A0ADC4F10D34}"/>
    <cellStyle name="SAPBEXHLevel3X 3 6 4" xfId="1758" xr:uid="{00000000-0005-0000-0000-000015070000}"/>
    <cellStyle name="SAPBEXHLevel3X 3 6 4 2" xfId="2526" xr:uid="{FCAFC1E2-CACA-4B19-B1D4-78924B66CDA0}"/>
    <cellStyle name="SAPBEXHLevel3X 3 6 5" xfId="1820" xr:uid="{00000000-0005-0000-0000-000016070000}"/>
    <cellStyle name="SAPBEXHLevel3X 3 6 5 2" xfId="2588" xr:uid="{745FE375-74BB-4FCD-865B-68BC86CBBC0A}"/>
    <cellStyle name="SAPBEXHLevel3X 3 6 6" xfId="1855" xr:uid="{00000000-0005-0000-0000-000017070000}"/>
    <cellStyle name="SAPBEXHLevel3X 3 6 6 2" xfId="2621" xr:uid="{E400CF6C-B80D-4CBB-8D91-E375D84F02F8}"/>
    <cellStyle name="SAPBEXHLevel3X 3 6 7" xfId="2138" xr:uid="{B3974942-CD6F-4D4C-B272-C756F041C67E}"/>
    <cellStyle name="SAPBEXHLevel3X 3 7" xfId="1270" xr:uid="{00000000-0005-0000-0000-000018070000}"/>
    <cellStyle name="SAPBEXHLevel3X 3 7 2" xfId="1542" xr:uid="{00000000-0005-0000-0000-000019070000}"/>
    <cellStyle name="SAPBEXHLevel3X 3 7 2 2" xfId="2316" xr:uid="{8E075A6C-82DA-405F-8419-92429D9B514C}"/>
    <cellStyle name="SAPBEXHLevel3X 3 7 3" xfId="1696" xr:uid="{00000000-0005-0000-0000-00001A070000}"/>
    <cellStyle name="SAPBEXHLevel3X 3 7 3 2" xfId="2464" xr:uid="{9791CD9D-588D-463F-8EB6-D6DEB2E7FB81}"/>
    <cellStyle name="SAPBEXHLevel3X 3 7 4" xfId="1759" xr:uid="{00000000-0005-0000-0000-00001B070000}"/>
    <cellStyle name="SAPBEXHLevel3X 3 7 4 2" xfId="2527" xr:uid="{A35B2F2E-E291-4470-A82B-06243C2A367E}"/>
    <cellStyle name="SAPBEXHLevel3X 3 7 5" xfId="1821" xr:uid="{00000000-0005-0000-0000-00001C070000}"/>
    <cellStyle name="SAPBEXHLevel3X 3 7 5 2" xfId="2589" xr:uid="{0311734A-91F4-4962-9648-00A13CC7013B}"/>
    <cellStyle name="SAPBEXHLevel3X 3 7 6" xfId="1854" xr:uid="{00000000-0005-0000-0000-00001D070000}"/>
    <cellStyle name="SAPBEXHLevel3X 3 7 6 2" xfId="2620" xr:uid="{A98C0D9F-233E-44B9-B52C-3144FCB7D18B}"/>
    <cellStyle name="SAPBEXHLevel3X 3 7 7" xfId="2139" xr:uid="{2114820F-8808-4F9B-AE99-79A9ABA7F527}"/>
    <cellStyle name="SAPBEXHLevel3X 3 8" xfId="1271" xr:uid="{00000000-0005-0000-0000-00001E070000}"/>
    <cellStyle name="SAPBEXHLevel3X 3 8 2" xfId="1544" xr:uid="{00000000-0005-0000-0000-00001F070000}"/>
    <cellStyle name="SAPBEXHLevel3X 3 8 2 2" xfId="2318" xr:uid="{39A356ED-E93B-491C-B212-4EB1AA30604F}"/>
    <cellStyle name="SAPBEXHLevel3X 3 8 3" xfId="1697" xr:uid="{00000000-0005-0000-0000-000020070000}"/>
    <cellStyle name="SAPBEXHLevel3X 3 8 3 2" xfId="2465" xr:uid="{CE64F0D0-7D96-4946-AFFF-28F9870CC61A}"/>
    <cellStyle name="SAPBEXHLevel3X 3 8 4" xfId="1760" xr:uid="{00000000-0005-0000-0000-000021070000}"/>
    <cellStyle name="SAPBEXHLevel3X 3 8 4 2" xfId="2528" xr:uid="{39FB56E3-ED4E-4564-AF95-6DC0D5613902}"/>
    <cellStyle name="SAPBEXHLevel3X 3 8 5" xfId="1822" xr:uid="{00000000-0005-0000-0000-000022070000}"/>
    <cellStyle name="SAPBEXHLevel3X 3 8 5 2" xfId="2590" xr:uid="{9A41F6F4-2476-45FB-B177-8F0712D67182}"/>
    <cellStyle name="SAPBEXHLevel3X 3 8 6" xfId="1853" xr:uid="{00000000-0005-0000-0000-000023070000}"/>
    <cellStyle name="SAPBEXHLevel3X 3 8 6 2" xfId="2619" xr:uid="{9B4B84FF-6C32-47C2-B7AA-4811B97FA209}"/>
    <cellStyle name="SAPBEXHLevel3X 3 8 7" xfId="2140" xr:uid="{F531F140-82BD-4EF7-B851-EB22FBCF88D5}"/>
    <cellStyle name="SAPBEXHLevel3X 3 9" xfId="1536" xr:uid="{00000000-0005-0000-0000-000024070000}"/>
    <cellStyle name="SAPBEXHLevel3X 3 9 2" xfId="2311" xr:uid="{B95CCE8A-4BF1-45D1-A1C2-9E05F1328D2E}"/>
    <cellStyle name="SAPBEXHLevel3X 4" xfId="1534" xr:uid="{00000000-0005-0000-0000-000025070000}"/>
    <cellStyle name="SAPBEXHLevel3X 4 2" xfId="2309" xr:uid="{B493305F-4C6B-4BD8-8CE5-D843A3526359}"/>
    <cellStyle name="SAPBEXHLevel3X 5" xfId="1688" xr:uid="{00000000-0005-0000-0000-000026070000}"/>
    <cellStyle name="SAPBEXHLevel3X 5 2" xfId="2456" xr:uid="{64D82C1E-7493-4358-8BEE-ABE1AF0014DC}"/>
    <cellStyle name="SAPBEXHLevel3X 6" xfId="1751" xr:uid="{00000000-0005-0000-0000-000027070000}"/>
    <cellStyle name="SAPBEXHLevel3X 6 2" xfId="2519" xr:uid="{C7E202B7-8B30-4AC1-8799-E76A994A3B0C}"/>
    <cellStyle name="SAPBEXHLevel3X 7" xfId="1813" xr:uid="{00000000-0005-0000-0000-000028070000}"/>
    <cellStyle name="SAPBEXHLevel3X 7 2" xfId="2581" xr:uid="{0D219171-1455-4DEA-917C-F2173F63D1E4}"/>
    <cellStyle name="SAPBEXHLevel3X 8" xfId="1862" xr:uid="{00000000-0005-0000-0000-000029070000}"/>
    <cellStyle name="SAPBEXHLevel3X 8 2" xfId="2628" xr:uid="{7BFBBCF1-F49B-471A-9294-319178B1B03F}"/>
    <cellStyle name="SAPBEXHLevel3X 9" xfId="2131" xr:uid="{B7A24166-6D86-46DD-BE28-E3A20D116803}"/>
    <cellStyle name="SAPBEXHLevel3X_0910 GSO Capex RRP - Final (Detail) v2 220710" xfId="1272" xr:uid="{00000000-0005-0000-0000-00002A070000}"/>
    <cellStyle name="SAPBEXinputData" xfId="1273" xr:uid="{00000000-0005-0000-0000-00002B070000}"/>
    <cellStyle name="SAPBEXinputData 2" xfId="1274" xr:uid="{00000000-0005-0000-0000-00002C070000}"/>
    <cellStyle name="SAPBEXinputData 2 2" xfId="1581" xr:uid="{00000000-0005-0000-0000-00002D070000}"/>
    <cellStyle name="SAPBEXinputData 3" xfId="1275" xr:uid="{00000000-0005-0000-0000-00002E070000}"/>
    <cellStyle name="SAPBEXinputData 3 2" xfId="1276" xr:uid="{00000000-0005-0000-0000-00002F070000}"/>
    <cellStyle name="SAPBEXinputData 3 3" xfId="1277" xr:uid="{00000000-0005-0000-0000-000030070000}"/>
    <cellStyle name="SAPBEXinputData 3 4" xfId="1278" xr:uid="{00000000-0005-0000-0000-000031070000}"/>
    <cellStyle name="SAPBEXinputData 3 5" xfId="1279" xr:uid="{00000000-0005-0000-0000-000032070000}"/>
    <cellStyle name="SAPBEXinputData 3 6" xfId="1280" xr:uid="{00000000-0005-0000-0000-000033070000}"/>
    <cellStyle name="SAPBEXinputData 3 7" xfId="1281" xr:uid="{00000000-0005-0000-0000-000034070000}"/>
    <cellStyle name="SAPBEXinputData 3 8" xfId="1282" xr:uid="{00000000-0005-0000-0000-000035070000}"/>
    <cellStyle name="SAPBEXinputData_0910 GSO Capex RRP - Final (Detail) v2 220710" xfId="1283" xr:uid="{00000000-0005-0000-0000-000036070000}"/>
    <cellStyle name="SAPBEXItemHeader" xfId="1284" xr:uid="{00000000-0005-0000-0000-000037070000}"/>
    <cellStyle name="SAPBEXItemHeader 2" xfId="1563" xr:uid="{00000000-0005-0000-0000-000038070000}"/>
    <cellStyle name="SAPBEXItemHeader 2 2" xfId="2337" xr:uid="{D93DD9FB-84DA-4287-87FF-029C5AE87A65}"/>
    <cellStyle name="SAPBEXItemHeader 3" xfId="1699" xr:uid="{00000000-0005-0000-0000-000039070000}"/>
    <cellStyle name="SAPBEXItemHeader 3 2" xfId="2467" xr:uid="{DF1FB4D0-55A7-433F-8D4B-D561EA015816}"/>
    <cellStyle name="SAPBEXItemHeader 4" xfId="1761" xr:uid="{00000000-0005-0000-0000-00003A070000}"/>
    <cellStyle name="SAPBEXItemHeader 4 2" xfId="2529" xr:uid="{92A3DCD5-B2C1-4AC7-869F-A58D0212BE9E}"/>
    <cellStyle name="SAPBEXItemHeader 5" xfId="1823" xr:uid="{00000000-0005-0000-0000-00003B070000}"/>
    <cellStyle name="SAPBEXItemHeader 5 2" xfId="2591" xr:uid="{C138B918-DA76-4F9F-A975-B658CE779AF3}"/>
    <cellStyle name="SAPBEXItemHeader 6" xfId="1852" xr:uid="{00000000-0005-0000-0000-00003C070000}"/>
    <cellStyle name="SAPBEXItemHeader 6 2" xfId="2618" xr:uid="{EBB7BD5F-783A-46B4-8AF6-CF0E8F06104A}"/>
    <cellStyle name="SAPBEXItemHeader 7" xfId="2141" xr:uid="{1AD0BAEB-AFAA-4B66-8899-547BBF261242}"/>
    <cellStyle name="SAPBEXresData" xfId="1285" xr:uid="{00000000-0005-0000-0000-00003D070000}"/>
    <cellStyle name="SAPBEXresData 2" xfId="1565" xr:uid="{00000000-0005-0000-0000-00003E070000}"/>
    <cellStyle name="SAPBEXresData 2 2" xfId="2339" xr:uid="{1A2F5D6C-15FF-42F1-90F0-392A89E1C812}"/>
    <cellStyle name="SAPBEXresData 3" xfId="1700" xr:uid="{00000000-0005-0000-0000-00003F070000}"/>
    <cellStyle name="SAPBEXresData 3 2" xfId="2468" xr:uid="{586D1B8A-14C7-4C02-BDE9-88DEFCF5F68C}"/>
    <cellStyle name="SAPBEXresData 4" xfId="1762" xr:uid="{00000000-0005-0000-0000-000040070000}"/>
    <cellStyle name="SAPBEXresData 4 2" xfId="2530" xr:uid="{7F4F59A2-EB63-4DA7-8846-99FD92ADB4F5}"/>
    <cellStyle name="SAPBEXresData 5" xfId="1824" xr:uid="{00000000-0005-0000-0000-000041070000}"/>
    <cellStyle name="SAPBEXresData 5 2" xfId="2592" xr:uid="{B27E8939-E288-45BD-96F2-EB029A8FA312}"/>
    <cellStyle name="SAPBEXresData 6" xfId="1851" xr:uid="{00000000-0005-0000-0000-000042070000}"/>
    <cellStyle name="SAPBEXresData 6 2" xfId="2617" xr:uid="{D543D8C3-B2E0-4815-9537-315BE2C4CDB6}"/>
    <cellStyle name="SAPBEXresData 7" xfId="2142" xr:uid="{C5356994-8232-44BA-8609-5DB4EA4E1491}"/>
    <cellStyle name="SAPBEXresDataEmph" xfId="1286" xr:uid="{00000000-0005-0000-0000-000043070000}"/>
    <cellStyle name="SAPBEXresDataEmph 2" xfId="1584" xr:uid="{00000000-0005-0000-0000-000044070000}"/>
    <cellStyle name="SAPBEXresItem" xfId="1287" xr:uid="{00000000-0005-0000-0000-000045070000}"/>
    <cellStyle name="SAPBEXresItem 2" xfId="1566" xr:uid="{00000000-0005-0000-0000-000046070000}"/>
    <cellStyle name="SAPBEXresItem 2 2" xfId="2340" xr:uid="{AE799392-C21F-4859-BCCE-F1C3FD22742A}"/>
    <cellStyle name="SAPBEXresItem 3" xfId="1701" xr:uid="{00000000-0005-0000-0000-000047070000}"/>
    <cellStyle name="SAPBEXresItem 3 2" xfId="2469" xr:uid="{F6F3FFF2-A61C-42EA-8751-D138E570612F}"/>
    <cellStyle name="SAPBEXresItem 4" xfId="1763" xr:uid="{00000000-0005-0000-0000-000048070000}"/>
    <cellStyle name="SAPBEXresItem 4 2" xfId="2531" xr:uid="{14E779EA-9458-4A49-873F-7311CAE31056}"/>
    <cellStyle name="SAPBEXresItem 5" xfId="1825" xr:uid="{00000000-0005-0000-0000-000049070000}"/>
    <cellStyle name="SAPBEXresItem 5 2" xfId="2593" xr:uid="{D3EA51D9-9FA8-4397-A793-4A22D78FA9AF}"/>
    <cellStyle name="SAPBEXresItem 6" xfId="1850" xr:uid="{00000000-0005-0000-0000-00004A070000}"/>
    <cellStyle name="SAPBEXresItem 6 2" xfId="2616" xr:uid="{CE56F292-E481-4CD3-8996-78452E36F673}"/>
    <cellStyle name="SAPBEXresItem 7" xfId="2143" xr:uid="{C6D677C1-0B5D-4DAC-81E7-375F068E0392}"/>
    <cellStyle name="SAPBEXresItemX" xfId="1288" xr:uid="{00000000-0005-0000-0000-00004B070000}"/>
    <cellStyle name="SAPBEXresItemX 2" xfId="1567" xr:uid="{00000000-0005-0000-0000-00004C070000}"/>
    <cellStyle name="SAPBEXresItemX 2 2" xfId="2341" xr:uid="{0AD160A1-B247-41CA-A7BB-135D9F0FF4CF}"/>
    <cellStyle name="SAPBEXresItemX 3" xfId="1702" xr:uid="{00000000-0005-0000-0000-00004D070000}"/>
    <cellStyle name="SAPBEXresItemX 3 2" xfId="2470" xr:uid="{7C3DB471-381A-4C90-8A2C-9741DDF2E1A2}"/>
    <cellStyle name="SAPBEXresItemX 4" xfId="1764" xr:uid="{00000000-0005-0000-0000-00004E070000}"/>
    <cellStyle name="SAPBEXresItemX 4 2" xfId="2532" xr:uid="{6A5AFE9D-9A23-4396-9A55-CD4FAAF13169}"/>
    <cellStyle name="SAPBEXresItemX 5" xfId="1826" xr:uid="{00000000-0005-0000-0000-00004F070000}"/>
    <cellStyle name="SAPBEXresItemX 5 2" xfId="2594" xr:uid="{8B078A39-7AD2-4E38-917B-F57A484FF4F0}"/>
    <cellStyle name="SAPBEXresItemX 6" xfId="1849" xr:uid="{00000000-0005-0000-0000-000050070000}"/>
    <cellStyle name="SAPBEXresItemX 6 2" xfId="2615" xr:uid="{CC0E34D0-3F11-4371-BB3D-F439DA590E17}"/>
    <cellStyle name="SAPBEXresItemX 7" xfId="2144" xr:uid="{6D5CAF6B-047F-4EED-A4FC-F089771139F9}"/>
    <cellStyle name="SAPBEXstdData" xfId="1289" xr:uid="{00000000-0005-0000-0000-000051070000}"/>
    <cellStyle name="SAPBEXstdData 10" xfId="2145" xr:uid="{8A4B2BB3-3957-4C28-9161-8BD4A93DC0C8}"/>
    <cellStyle name="SAPBEXstdData 2" xfId="1596" xr:uid="{00000000-0005-0000-0000-000052070000}"/>
    <cellStyle name="SAPBEXstdData 2 2" xfId="2367" xr:uid="{56E921F6-4AFD-4399-8044-F5C4E5AD8450}"/>
    <cellStyle name="SAPBEXstdData 3" xfId="1585" xr:uid="{00000000-0005-0000-0000-000053070000}"/>
    <cellStyle name="SAPBEXstdData 3 2" xfId="2357" xr:uid="{8E9BFACA-B436-4B99-90BF-33AF0261BC6C}"/>
    <cellStyle name="SAPBEXstdData 4" xfId="1568" xr:uid="{00000000-0005-0000-0000-000054070000}"/>
    <cellStyle name="SAPBEXstdData 4 2" xfId="2342" xr:uid="{67211540-3BF8-443E-9C73-47D5D2B0009A}"/>
    <cellStyle name="SAPBEXstdData 5" xfId="1703" xr:uid="{00000000-0005-0000-0000-000055070000}"/>
    <cellStyle name="SAPBEXstdData 5 2" xfId="2471" xr:uid="{9DC3FA57-26A0-4235-882A-6A434699F7F3}"/>
    <cellStyle name="SAPBEXstdData 6" xfId="1765" xr:uid="{00000000-0005-0000-0000-000056070000}"/>
    <cellStyle name="SAPBEXstdData 6 2" xfId="2533" xr:uid="{0BAF1D36-E8E7-411C-B4D9-A443E4E9C816}"/>
    <cellStyle name="SAPBEXstdData 7" xfId="1827" xr:uid="{00000000-0005-0000-0000-000057070000}"/>
    <cellStyle name="SAPBEXstdData 7 2" xfId="2595" xr:uid="{D941B079-2C2A-4476-B223-5180998B459F}"/>
    <cellStyle name="SAPBEXstdData 8" xfId="1848" xr:uid="{00000000-0005-0000-0000-000058070000}"/>
    <cellStyle name="SAPBEXstdData 8 2" xfId="2614" xr:uid="{DDEE48E4-F354-4370-A37B-68B96AB6E784}"/>
    <cellStyle name="SAPBEXstdData 9" xfId="1964" xr:uid="{00000000-0005-0000-0000-000059070000}"/>
    <cellStyle name="SAPBEXstdData 9 2" xfId="2730" xr:uid="{8956B0CD-4491-44CA-B60E-0179E970C4AE}"/>
    <cellStyle name="SAPBEXstdDataEmph" xfId="1290" xr:uid="{00000000-0005-0000-0000-00005A070000}"/>
    <cellStyle name="SAPBEXstdDataEmph 10" xfId="2146" xr:uid="{A3F240CC-98A5-460E-BC77-AF267C8E108B}"/>
    <cellStyle name="SAPBEXstdDataEmph 2" xfId="1597" xr:uid="{00000000-0005-0000-0000-00005B070000}"/>
    <cellStyle name="SAPBEXstdDataEmph 2 2" xfId="2368" xr:uid="{77E4A2EA-5DCE-48C1-8A26-E01021A60838}"/>
    <cellStyle name="SAPBEXstdDataEmph 3" xfId="1586" xr:uid="{00000000-0005-0000-0000-00005C070000}"/>
    <cellStyle name="SAPBEXstdDataEmph 3 2" xfId="2358" xr:uid="{A005382D-19B7-43BC-9A02-67B3B81EEE4D}"/>
    <cellStyle name="SAPBEXstdDataEmph 4" xfId="1569" xr:uid="{00000000-0005-0000-0000-00005D070000}"/>
    <cellStyle name="SAPBEXstdDataEmph 4 2" xfId="2343" xr:uid="{71F503A0-D832-40AD-BED1-4619666BB9C4}"/>
    <cellStyle name="SAPBEXstdDataEmph 5" xfId="1704" xr:uid="{00000000-0005-0000-0000-00005E070000}"/>
    <cellStyle name="SAPBEXstdDataEmph 5 2" xfId="2472" xr:uid="{77C1660A-E4E5-4D60-9DF7-D7ECE33C2F22}"/>
    <cellStyle name="SAPBEXstdDataEmph 6" xfId="1766" xr:uid="{00000000-0005-0000-0000-00005F070000}"/>
    <cellStyle name="SAPBEXstdDataEmph 6 2" xfId="2534" xr:uid="{70D7377D-36D7-4CD4-B3FD-B5460EA242ED}"/>
    <cellStyle name="SAPBEXstdDataEmph 7" xfId="1828" xr:uid="{00000000-0005-0000-0000-000060070000}"/>
    <cellStyle name="SAPBEXstdDataEmph 7 2" xfId="2596" xr:uid="{547F1ED0-9240-43E2-8DCE-D062E16CDFB9}"/>
    <cellStyle name="SAPBEXstdDataEmph 8" xfId="1847" xr:uid="{00000000-0005-0000-0000-000061070000}"/>
    <cellStyle name="SAPBEXstdDataEmph 8 2" xfId="2613" xr:uid="{9A9AD110-8A45-468F-A0C5-FF2F3ADAB24D}"/>
    <cellStyle name="SAPBEXstdDataEmph 9" xfId="1965" xr:uid="{00000000-0005-0000-0000-000062070000}"/>
    <cellStyle name="SAPBEXstdDataEmph 9 2" xfId="2731" xr:uid="{35E5786F-F8E5-4CDC-A3BA-4B15257CD4BB}"/>
    <cellStyle name="SAPBEXstdItem" xfId="1291" xr:uid="{00000000-0005-0000-0000-000063070000}"/>
    <cellStyle name="SAPBEXstdItem 10" xfId="2147" xr:uid="{259B1C1D-A249-4AA5-87F9-AE5101512F80}"/>
    <cellStyle name="SAPBEXstdItem 2" xfId="1598" xr:uid="{00000000-0005-0000-0000-000064070000}"/>
    <cellStyle name="SAPBEXstdItem 2 2" xfId="2369" xr:uid="{BE2173C0-7644-434F-B656-3613D786D13B}"/>
    <cellStyle name="SAPBEXstdItem 3" xfId="1588" xr:uid="{00000000-0005-0000-0000-000065070000}"/>
    <cellStyle name="SAPBEXstdItem 3 2" xfId="2360" xr:uid="{F6CB23C7-5F09-418A-B0FF-947EDC6F81D0}"/>
    <cellStyle name="SAPBEXstdItem 4" xfId="1571" xr:uid="{00000000-0005-0000-0000-000066070000}"/>
    <cellStyle name="SAPBEXstdItem 4 2" xfId="2345" xr:uid="{9248DFBB-EDA9-4634-85CC-9EB993E9D079}"/>
    <cellStyle name="SAPBEXstdItem 5" xfId="1705" xr:uid="{00000000-0005-0000-0000-000067070000}"/>
    <cellStyle name="SAPBEXstdItem 5 2" xfId="2473" xr:uid="{121C7CC8-0677-4191-8DC0-C8644A2433A0}"/>
    <cellStyle name="SAPBEXstdItem 6" xfId="1767" xr:uid="{00000000-0005-0000-0000-000068070000}"/>
    <cellStyle name="SAPBEXstdItem 6 2" xfId="2535" xr:uid="{077265D0-917E-40E5-AA1B-EA2588FD39E0}"/>
    <cellStyle name="SAPBEXstdItem 7" xfId="1829" xr:uid="{00000000-0005-0000-0000-000069070000}"/>
    <cellStyle name="SAPBEXstdItem 7 2" xfId="2597" xr:uid="{1EACC06C-5D91-40F9-9D9B-84231D4A8640}"/>
    <cellStyle name="SAPBEXstdItem 8" xfId="1846" xr:uid="{00000000-0005-0000-0000-00006A070000}"/>
    <cellStyle name="SAPBEXstdItem 8 2" xfId="2612" xr:uid="{D92C5EAA-746A-4507-A2CE-F4D08940B60D}"/>
    <cellStyle name="SAPBEXstdItem 9" xfId="1966" xr:uid="{00000000-0005-0000-0000-00006B070000}"/>
    <cellStyle name="SAPBEXstdItem 9 2" xfId="2732" xr:uid="{E4D18416-970A-44EB-9F59-2B444382AD15}"/>
    <cellStyle name="SAPBEXstdItemX" xfId="1292" xr:uid="{00000000-0005-0000-0000-00006C070000}"/>
    <cellStyle name="SAPBEXstdItemX 2" xfId="1572" xr:uid="{00000000-0005-0000-0000-00006D070000}"/>
    <cellStyle name="SAPBEXstdItemX 2 2" xfId="2346" xr:uid="{FDFF3306-76AD-4B41-B12E-FB581FE1CA19}"/>
    <cellStyle name="SAPBEXstdItemX 3" xfId="1706" xr:uid="{00000000-0005-0000-0000-00006E070000}"/>
    <cellStyle name="SAPBEXstdItemX 3 2" xfId="2474" xr:uid="{EE052265-FD1F-4C01-B7D9-35A2390A96BD}"/>
    <cellStyle name="SAPBEXstdItemX 4" xfId="1768" xr:uid="{00000000-0005-0000-0000-00006F070000}"/>
    <cellStyle name="SAPBEXstdItemX 4 2" xfId="2536" xr:uid="{669C2D11-A306-4B22-B8D9-9C2A5ADE842E}"/>
    <cellStyle name="SAPBEXstdItemX 5" xfId="1830" xr:uid="{00000000-0005-0000-0000-000070070000}"/>
    <cellStyle name="SAPBEXstdItemX 5 2" xfId="2598" xr:uid="{20727070-296B-472D-B603-F2C6E2EB97C5}"/>
    <cellStyle name="SAPBEXstdItemX 6" xfId="1845" xr:uid="{00000000-0005-0000-0000-000071070000}"/>
    <cellStyle name="SAPBEXstdItemX 6 2" xfId="2611" xr:uid="{2DC664A2-F60B-47A4-99F1-DCD968D58392}"/>
    <cellStyle name="SAPBEXstdItemX 7" xfId="2148" xr:uid="{C3FAA223-07B1-411E-80B7-F10C82A999E1}"/>
    <cellStyle name="SAPBEXtitle" xfId="1293" xr:uid="{00000000-0005-0000-0000-000072070000}"/>
    <cellStyle name="SAPBEXtitle 2" xfId="1573" xr:uid="{00000000-0005-0000-0000-000073070000}"/>
    <cellStyle name="SAPBEXtitle 2 2" xfId="2347" xr:uid="{6B9AF45D-0FBF-4BF5-8671-0CFCF0EA1531}"/>
    <cellStyle name="SAPBEXtitle 3" xfId="1707" xr:uid="{00000000-0005-0000-0000-000074070000}"/>
    <cellStyle name="SAPBEXtitle 3 2" xfId="2475" xr:uid="{5A68E97E-9F18-4571-920C-3AA66FD1C81D}"/>
    <cellStyle name="SAPBEXtitle 4" xfId="1769" xr:uid="{00000000-0005-0000-0000-000075070000}"/>
    <cellStyle name="SAPBEXtitle 4 2" xfId="2537" xr:uid="{2D62C5A9-DB4E-4145-AABD-A0349BEC1672}"/>
    <cellStyle name="SAPBEXtitle 5" xfId="1844" xr:uid="{00000000-0005-0000-0000-000076070000}"/>
    <cellStyle name="SAPBEXtitle 5 2" xfId="2610" xr:uid="{BB4AE290-B0B3-4B4E-89E4-89D6A17482E6}"/>
    <cellStyle name="SAPBEXtitle 6" xfId="2149" xr:uid="{B91C81B0-24B0-4B0B-8207-A62A031A8C33}"/>
    <cellStyle name="SAPBEXunassignedItem" xfId="1294" xr:uid="{00000000-0005-0000-0000-000077070000}"/>
    <cellStyle name="SAPBEXunassignedItem 2" xfId="1589" xr:uid="{00000000-0005-0000-0000-000078070000}"/>
    <cellStyle name="SAPBEXundefined" xfId="1295" xr:uid="{00000000-0005-0000-0000-000079070000}"/>
    <cellStyle name="SAPBEXundefined 10" xfId="2150" xr:uid="{C971496D-33A9-4896-BD3D-8BDEC92806CF}"/>
    <cellStyle name="SAPBEXundefined 2" xfId="1600" xr:uid="{00000000-0005-0000-0000-00007A070000}"/>
    <cellStyle name="SAPBEXundefined 2 2" xfId="2371" xr:uid="{722447E9-FDAF-4639-88D8-075A488EBAA7}"/>
    <cellStyle name="SAPBEXundefined 3" xfId="1590" xr:uid="{00000000-0005-0000-0000-00007B070000}"/>
    <cellStyle name="SAPBEXundefined 3 2" xfId="2361" xr:uid="{C157643A-B41F-4528-9A94-1C6DDEC9411E}"/>
    <cellStyle name="SAPBEXundefined 4" xfId="1575" xr:uid="{00000000-0005-0000-0000-00007C070000}"/>
    <cellStyle name="SAPBEXundefined 4 2" xfId="2349" xr:uid="{8726C9F9-2226-47E0-ACB4-5DD013218A71}"/>
    <cellStyle name="SAPBEXundefined 5" xfId="1708" xr:uid="{00000000-0005-0000-0000-00007D070000}"/>
    <cellStyle name="SAPBEXundefined 5 2" xfId="2476" xr:uid="{C3A97ADD-5F1F-4E9E-BA1B-7CCB6E83744F}"/>
    <cellStyle name="SAPBEXundefined 6" xfId="1770" xr:uid="{00000000-0005-0000-0000-00007E070000}"/>
    <cellStyle name="SAPBEXundefined 6 2" xfId="2538" xr:uid="{1D169C14-001F-4AC5-ABAA-1E28DACD162D}"/>
    <cellStyle name="SAPBEXundefined 7" xfId="1831" xr:uid="{00000000-0005-0000-0000-00007F070000}"/>
    <cellStyle name="SAPBEXundefined 7 2" xfId="2599" xr:uid="{FE9B19A1-3F87-4775-8482-946B26F2DA3A}"/>
    <cellStyle name="SAPBEXundefined 8" xfId="1843" xr:uid="{00000000-0005-0000-0000-000080070000}"/>
    <cellStyle name="SAPBEXundefined 8 2" xfId="2609" xr:uid="{6D9058EC-A4FA-4A1B-AB45-289DB0BF4928}"/>
    <cellStyle name="SAPBEXundefined 9" xfId="1967" xr:uid="{00000000-0005-0000-0000-000081070000}"/>
    <cellStyle name="SAPBEXundefined 9 2" xfId="2733" xr:uid="{753CC026-95FE-4851-92FA-097DE1CC9834}"/>
    <cellStyle name="Sheet Title" xfId="1296" xr:uid="{00000000-0005-0000-0000-000082070000}"/>
    <cellStyle name="Standard_Anpassen der Amortisation" xfId="1297" xr:uid="{00000000-0005-0000-0000-000083070000}"/>
    <cellStyle name="Style 1" xfId="1298" xr:uid="{00000000-0005-0000-0000-000084070000}"/>
    <cellStyle name="Sub-total" xfId="1299" xr:uid="{00000000-0005-0000-0000-000085070000}"/>
    <cellStyle name="Sub-total 2" xfId="1646" xr:uid="{00000000-0005-0000-0000-000086070000}"/>
    <cellStyle name="Sub-total 2 2" xfId="2414" xr:uid="{9B16EC41-C7F9-4D52-B791-F823EFE1ADC0}"/>
    <cellStyle name="Sub-total 3" xfId="1576" xr:uid="{00000000-0005-0000-0000-000087070000}"/>
    <cellStyle name="Sub-total 3 2" xfId="2350" xr:uid="{E9AA92D2-23B2-48AB-A877-A3A5CDAD3AD4}"/>
    <cellStyle name="Sub-total 4" xfId="1709" xr:uid="{00000000-0005-0000-0000-000088070000}"/>
    <cellStyle name="Sub-total 4 2" xfId="2477" xr:uid="{6D50EFDA-8CB9-44EC-9BA6-8CF3278C4ADA}"/>
    <cellStyle name="Sub-total 5" xfId="1771" xr:uid="{00000000-0005-0000-0000-000089070000}"/>
    <cellStyle name="Sub-total 5 2" xfId="2539" xr:uid="{3A2A56E1-C48F-4E3C-81B8-E7D4EB83298D}"/>
    <cellStyle name="Sub-total 6" xfId="1832" xr:uid="{00000000-0005-0000-0000-00008A070000}"/>
    <cellStyle name="Sub-total 6 2" xfId="2600" xr:uid="{7CE23BAD-9BA3-4F27-80A1-4B3CBA07D4F9}"/>
    <cellStyle name="Sub-total 7" xfId="1842" xr:uid="{00000000-0005-0000-0000-00008B070000}"/>
    <cellStyle name="Sub-total 7 2" xfId="2608" xr:uid="{A291AD7D-EB14-4474-A71B-B12419A8A35E}"/>
    <cellStyle name="Sub-total 8" xfId="2151" xr:uid="{664883E5-482A-4073-9436-EEDC126E752B}"/>
    <cellStyle name="swpBody01" xfId="1300" xr:uid="{00000000-0005-0000-0000-00008C070000}"/>
    <cellStyle name="Title 2" xfId="1301" xr:uid="{00000000-0005-0000-0000-00008D070000}"/>
    <cellStyle name="Title 3" xfId="1302" xr:uid="{00000000-0005-0000-0000-00008E070000}"/>
    <cellStyle name="Total 1" xfId="1303" xr:uid="{00000000-0005-0000-0000-00008F070000}"/>
    <cellStyle name="Total 1 2" xfId="1594" xr:uid="{00000000-0005-0000-0000-000090070000}"/>
    <cellStyle name="Total 1 2 2" xfId="2365" xr:uid="{6B7DADC2-A17A-4693-9487-5021DF3076BC}"/>
    <cellStyle name="Total 1 3" xfId="1578" xr:uid="{00000000-0005-0000-0000-000091070000}"/>
    <cellStyle name="Total 1 3 2" xfId="2352" xr:uid="{383F4D9C-E9F4-4BB9-967D-5F2CDCAA8223}"/>
    <cellStyle name="Total 1 4" xfId="1710" xr:uid="{00000000-0005-0000-0000-000092070000}"/>
    <cellStyle name="Total 1 4 2" xfId="2478" xr:uid="{04012DFC-69C3-4F85-9721-4D3296ABC651}"/>
    <cellStyle name="Total 1 5" xfId="1772" xr:uid="{00000000-0005-0000-0000-000093070000}"/>
    <cellStyle name="Total 1 5 2" xfId="2540" xr:uid="{CCF015FB-7E81-476D-BC52-C1F60263E5DF}"/>
    <cellStyle name="Total 1 6" xfId="1833" xr:uid="{00000000-0005-0000-0000-000094070000}"/>
    <cellStyle name="Total 1 7" xfId="1841" xr:uid="{00000000-0005-0000-0000-000095070000}"/>
    <cellStyle name="Total 1 7 2" xfId="2607" xr:uid="{4508BD39-3B5D-4212-9871-FB0A2E29FFC7}"/>
    <cellStyle name="Total 2" xfId="1304" xr:uid="{00000000-0005-0000-0000-000096070000}"/>
    <cellStyle name="Total 2 2" xfId="1579" xr:uid="{00000000-0005-0000-0000-000097070000}"/>
    <cellStyle name="Total 2 2 2" xfId="2353" xr:uid="{3CB103EB-3A03-4B44-BFD4-04FA9B8B39C3}"/>
    <cellStyle name="Total 2 3" xfId="1711" xr:uid="{00000000-0005-0000-0000-000098070000}"/>
    <cellStyle name="Total 2 3 2" xfId="2479" xr:uid="{08914BE2-5C47-4587-A7EC-C42B0C102F64}"/>
    <cellStyle name="Total 2 4" xfId="1773" xr:uid="{00000000-0005-0000-0000-000099070000}"/>
    <cellStyle name="Total 2 4 2" xfId="2541" xr:uid="{9545A876-5C31-44EB-959A-8F20A45FDC73}"/>
    <cellStyle name="Total 2 5" xfId="1834" xr:uid="{00000000-0005-0000-0000-00009A070000}"/>
    <cellStyle name="Total 2 5 2" xfId="2601" xr:uid="{29D2AB13-A3C1-4D04-98E1-8F7282948C5B}"/>
    <cellStyle name="Total 2 6" xfId="1840" xr:uid="{00000000-0005-0000-0000-00009B070000}"/>
    <cellStyle name="Total 2 6 2" xfId="2606" xr:uid="{73098105-D4F2-4493-ACC9-A8F6CB006A2D}"/>
    <cellStyle name="Total 2 7" xfId="2152" xr:uid="{8682404F-4F83-403E-8D49-1B737F5EDD09}"/>
    <cellStyle name="Total 3" xfId="1305" xr:uid="{00000000-0005-0000-0000-00009C070000}"/>
    <cellStyle name="Total 3 2" xfId="1580" xr:uid="{00000000-0005-0000-0000-00009D070000}"/>
    <cellStyle name="Total 3 2 2" xfId="2354" xr:uid="{8CC2609F-E60A-4B9F-A272-FDDFABDA943C}"/>
    <cellStyle name="Total 3 3" xfId="1712" xr:uid="{00000000-0005-0000-0000-00009E070000}"/>
    <cellStyle name="Total 3 3 2" xfId="2480" xr:uid="{F4BEB4BB-2B3A-4417-A374-9882CE91BD6C}"/>
    <cellStyle name="Total 3 4" xfId="1774" xr:uid="{00000000-0005-0000-0000-00009F070000}"/>
    <cellStyle name="Total 3 4 2" xfId="2542" xr:uid="{D7F40679-9A50-4AE3-ACAD-2FE84D682E56}"/>
    <cellStyle name="Total 3 5" xfId="1835" xr:uid="{00000000-0005-0000-0000-0000A0070000}"/>
    <cellStyle name="Total 3 5 2" xfId="2602" xr:uid="{14DE6A94-5A6C-483E-9884-47C35124A136}"/>
    <cellStyle name="Total 3 6" xfId="1839" xr:uid="{00000000-0005-0000-0000-0000A1070000}"/>
    <cellStyle name="Total 3 6 2" xfId="2605" xr:uid="{A7BA0023-64DF-470F-A367-FCA613018D91}"/>
    <cellStyle name="Total 3 7" xfId="2153" xr:uid="{FFE8031C-C9D5-4826-9FA9-B260AA96B71B}"/>
    <cellStyle name="Totals" xfId="1306" xr:uid="{00000000-0005-0000-0000-0000A2070000}"/>
    <cellStyle name="Währung [0]_Compiling Utility Macros" xfId="1307" xr:uid="{00000000-0005-0000-0000-0000A3070000}"/>
    <cellStyle name="Währung_Compiling Utility Macros" xfId="1308" xr:uid="{00000000-0005-0000-0000-0000A4070000}"/>
    <cellStyle name="Warning Text 2" xfId="1309" xr:uid="{00000000-0005-0000-0000-0000A5070000}"/>
    <cellStyle name="Warning Text 3" xfId="1310" xr:uid="{00000000-0005-0000-0000-0000A6070000}"/>
    <cellStyle name="Yellow" xfId="1311" xr:uid="{00000000-0005-0000-0000-0000A7070000}"/>
    <cellStyle name="Yellow 2" xfId="1312" xr:uid="{00000000-0005-0000-0000-0000A8070000}"/>
    <cellStyle name="Yellow 2 2" xfId="1313" xr:uid="{00000000-0005-0000-0000-0000A9070000}"/>
    <cellStyle name="Yellow 2 3" xfId="1314" xr:uid="{00000000-0005-0000-0000-0000AA070000}"/>
    <cellStyle name="Yellow 2 4" xfId="1315" xr:uid="{00000000-0005-0000-0000-0000AB070000}"/>
    <cellStyle name="Yellow 2 5" xfId="1316" xr:uid="{00000000-0005-0000-0000-0000AC070000}"/>
    <cellStyle name="Yellow 2 6" xfId="1317" xr:uid="{00000000-0005-0000-0000-0000AD070000}"/>
    <cellStyle name="Yellow 2 7" xfId="1318" xr:uid="{00000000-0005-0000-0000-0000AE070000}"/>
    <cellStyle name="Yellow 2 8" xfId="1319" xr:uid="{00000000-0005-0000-0000-0000AF070000}"/>
  </cellStyles>
  <dxfs count="0"/>
  <tableStyles count="0" defaultTableStyle="TableStyleMedium2" defaultPivotStyle="PivotStyleLight16"/>
  <colors>
    <mruColors>
      <color rgb="FFDCE6F1"/>
      <color rgb="FFA1ABB2"/>
      <color rgb="FF00B2BF"/>
      <color rgb="FF2062AF"/>
      <color rgb="FFCD1525"/>
      <color rgb="FFD0B00E"/>
      <color rgb="FF45216F"/>
      <color rgb="FFA1ABC6"/>
      <color rgb="FFCD1543"/>
      <color rgb="FF00C6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calcChain" Target="calcChain.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customXml" Target="../customXml/item4.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sz="1400" b="1" i="0" baseline="0">
                <a:solidFill>
                  <a:schemeClr val="tx1"/>
                </a:solidFill>
                <a:effectLst/>
              </a:rPr>
              <a:t>SSO survey</a:t>
            </a:r>
            <a:endParaRPr lang="en-US" sz="1400" b="1">
              <a:solidFill>
                <a:schemeClr val="tx1"/>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1641094863142107"/>
          <c:y val="0.16747623903326325"/>
          <c:w val="0.866657834437362"/>
          <c:h val="0.62448392872634395"/>
        </c:manualLayout>
      </c:layout>
      <c:barChart>
        <c:barDir val="col"/>
        <c:grouping val="clustered"/>
        <c:varyColors val="0"/>
        <c:ser>
          <c:idx val="3"/>
          <c:order val="0"/>
          <c:tx>
            <c:strRef>
              <c:f>'Incentives - charts '!$B$7</c:f>
              <c:strCache>
                <c:ptCount val="1"/>
                <c:pt idx="0">
                  <c:v>2017-18</c:v>
                </c:pt>
              </c:strCache>
            </c:strRef>
          </c:tx>
          <c:spPr>
            <a:solidFill>
              <a:srgbClr val="2062AF"/>
            </a:solidFill>
            <a:ln>
              <a:noFill/>
            </a:ln>
            <a:effectLst/>
          </c:spPr>
          <c:invertIfNegative val="0"/>
          <c:cat>
            <c:strRef>
              <c:f>'Incentives - charts '!$C$6:$E$6</c:f>
              <c:strCache>
                <c:ptCount val="3"/>
                <c:pt idx="0">
                  <c:v>SPT</c:v>
                </c:pt>
                <c:pt idx="1">
                  <c:v>SHET</c:v>
                </c:pt>
                <c:pt idx="2">
                  <c:v>NGET</c:v>
                </c:pt>
              </c:strCache>
            </c:strRef>
          </c:cat>
          <c:val>
            <c:numRef>
              <c:f>'Incentives - charts '!$C$7:$E$7</c:f>
              <c:numCache>
                <c:formatCode>0.0</c:formatCode>
                <c:ptCount val="3"/>
                <c:pt idx="0">
                  <c:v>8.3000000000000007</c:v>
                </c:pt>
                <c:pt idx="1">
                  <c:v>8</c:v>
                </c:pt>
                <c:pt idx="2">
                  <c:v>7.883</c:v>
                </c:pt>
              </c:numCache>
            </c:numRef>
          </c:val>
          <c:extLst>
            <c:ext xmlns:c16="http://schemas.microsoft.com/office/drawing/2014/chart" uri="{C3380CC4-5D6E-409C-BE32-E72D297353CC}">
              <c16:uniqueId val="{00000000-4DCE-4642-B194-887F3D1D5EDD}"/>
            </c:ext>
          </c:extLst>
        </c:ser>
        <c:ser>
          <c:idx val="4"/>
          <c:order val="1"/>
          <c:tx>
            <c:strRef>
              <c:f>'Incentives - charts '!$B$8</c:f>
              <c:strCache>
                <c:ptCount val="1"/>
                <c:pt idx="0">
                  <c:v>2018-19</c:v>
                </c:pt>
              </c:strCache>
            </c:strRef>
          </c:tx>
          <c:spPr>
            <a:solidFill>
              <a:srgbClr val="00ABB2"/>
            </a:solidFill>
            <a:ln>
              <a:noFill/>
            </a:ln>
            <a:effectLst/>
          </c:spPr>
          <c:invertIfNegative val="0"/>
          <c:dPt>
            <c:idx val="0"/>
            <c:invertIfNegative val="0"/>
            <c:bubble3D val="0"/>
            <c:spPr>
              <a:solidFill>
                <a:srgbClr val="00B2BF"/>
              </a:solidFill>
              <a:ln>
                <a:noFill/>
              </a:ln>
              <a:effectLst/>
            </c:spPr>
            <c:extLst>
              <c:ext xmlns:c16="http://schemas.microsoft.com/office/drawing/2014/chart" uri="{C3380CC4-5D6E-409C-BE32-E72D297353CC}">
                <c16:uniqueId val="{00000001-63F2-4460-ADF1-BCE73B27E22E}"/>
              </c:ext>
            </c:extLst>
          </c:dPt>
          <c:cat>
            <c:strRef>
              <c:f>'Incentives - charts '!$C$6:$E$6</c:f>
              <c:strCache>
                <c:ptCount val="3"/>
                <c:pt idx="0">
                  <c:v>SPT</c:v>
                </c:pt>
                <c:pt idx="1">
                  <c:v>SHET</c:v>
                </c:pt>
                <c:pt idx="2">
                  <c:v>NGET</c:v>
                </c:pt>
              </c:strCache>
            </c:strRef>
          </c:cat>
          <c:val>
            <c:numRef>
              <c:f>'Incentives - charts '!$C$8:$E$8</c:f>
              <c:numCache>
                <c:formatCode>0.0</c:formatCode>
                <c:ptCount val="3"/>
                <c:pt idx="0">
                  <c:v>8.5</c:v>
                </c:pt>
                <c:pt idx="1">
                  <c:v>8.1999999999999993</c:v>
                </c:pt>
                <c:pt idx="2">
                  <c:v>7.9189999999999996</c:v>
                </c:pt>
              </c:numCache>
            </c:numRef>
          </c:val>
          <c:extLst>
            <c:ext xmlns:c16="http://schemas.microsoft.com/office/drawing/2014/chart" uri="{C3380CC4-5D6E-409C-BE32-E72D297353CC}">
              <c16:uniqueId val="{00000001-4DCE-4642-B194-887F3D1D5EDD}"/>
            </c:ext>
          </c:extLst>
        </c:ser>
        <c:ser>
          <c:idx val="5"/>
          <c:order val="2"/>
          <c:tx>
            <c:strRef>
              <c:f>'Incentives - charts '!$B$9</c:f>
              <c:strCache>
                <c:ptCount val="1"/>
                <c:pt idx="0">
                  <c:v>2019-20</c:v>
                </c:pt>
              </c:strCache>
            </c:strRef>
          </c:tx>
          <c:spPr>
            <a:solidFill>
              <a:srgbClr val="A1ABB2"/>
            </a:solidFill>
            <a:ln>
              <a:noFill/>
            </a:ln>
            <a:effectLst/>
          </c:spPr>
          <c:invertIfNegative val="0"/>
          <c:cat>
            <c:strRef>
              <c:f>'Incentives - charts '!$C$6:$E$6</c:f>
              <c:strCache>
                <c:ptCount val="3"/>
                <c:pt idx="0">
                  <c:v>SPT</c:v>
                </c:pt>
                <c:pt idx="1">
                  <c:v>SHET</c:v>
                </c:pt>
                <c:pt idx="2">
                  <c:v>NGET</c:v>
                </c:pt>
              </c:strCache>
            </c:strRef>
          </c:cat>
          <c:val>
            <c:numRef>
              <c:f>'Incentives - charts '!$C$9:$E$9</c:f>
              <c:numCache>
                <c:formatCode>0.0</c:formatCode>
                <c:ptCount val="3"/>
                <c:pt idx="0">
                  <c:v>8.4</c:v>
                </c:pt>
                <c:pt idx="1">
                  <c:v>8.4</c:v>
                </c:pt>
                <c:pt idx="2">
                  <c:v>8.6370000000000005</c:v>
                </c:pt>
              </c:numCache>
            </c:numRef>
          </c:val>
          <c:extLst>
            <c:ext xmlns:c16="http://schemas.microsoft.com/office/drawing/2014/chart" uri="{C3380CC4-5D6E-409C-BE32-E72D297353CC}">
              <c16:uniqueId val="{00000002-4DCE-4642-B194-887F3D1D5EDD}"/>
            </c:ext>
          </c:extLst>
        </c:ser>
        <c:ser>
          <c:idx val="0"/>
          <c:order val="3"/>
          <c:tx>
            <c:strRef>
              <c:f>'Incentives - charts '!$B$10</c:f>
              <c:strCache>
                <c:ptCount val="1"/>
                <c:pt idx="0">
                  <c:v>2020-21</c:v>
                </c:pt>
              </c:strCache>
            </c:strRef>
          </c:tx>
          <c:spPr>
            <a:solidFill>
              <a:schemeClr val="accent1"/>
            </a:solidFill>
            <a:ln>
              <a:noFill/>
            </a:ln>
            <a:effectLst/>
          </c:spPr>
          <c:invertIfNegative val="0"/>
          <c:cat>
            <c:strRef>
              <c:f>'Incentives - charts '!$C$6:$E$6</c:f>
              <c:strCache>
                <c:ptCount val="3"/>
                <c:pt idx="0">
                  <c:v>SPT</c:v>
                </c:pt>
                <c:pt idx="1">
                  <c:v>SHET</c:v>
                </c:pt>
                <c:pt idx="2">
                  <c:v>NGET</c:v>
                </c:pt>
              </c:strCache>
            </c:strRef>
          </c:cat>
          <c:val>
            <c:numRef>
              <c:f>'Incentives - charts '!$C$10:$E$10</c:f>
              <c:numCache>
                <c:formatCode>0.0</c:formatCode>
                <c:ptCount val="3"/>
                <c:pt idx="0">
                  <c:v>8.6</c:v>
                </c:pt>
                <c:pt idx="1">
                  <c:v>8.1999999999999993</c:v>
                </c:pt>
                <c:pt idx="2">
                  <c:v>8.8539999999999992</c:v>
                </c:pt>
              </c:numCache>
            </c:numRef>
          </c:val>
          <c:extLst>
            <c:ext xmlns:c16="http://schemas.microsoft.com/office/drawing/2014/chart" uri="{C3380CC4-5D6E-409C-BE32-E72D297353CC}">
              <c16:uniqueId val="{00000004-260C-4EE4-8947-6E4AC4E5CF64}"/>
            </c:ext>
          </c:extLst>
        </c:ser>
        <c:dLbls>
          <c:showLegendKey val="0"/>
          <c:showVal val="0"/>
          <c:showCatName val="0"/>
          <c:showSerName val="0"/>
          <c:showPercent val="0"/>
          <c:showBubbleSize val="0"/>
        </c:dLbls>
        <c:gapWidth val="219"/>
        <c:overlap val="-27"/>
        <c:axId val="861874448"/>
        <c:axId val="861873792"/>
      </c:barChart>
      <c:catAx>
        <c:axId val="8618744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861873792"/>
        <c:crosses val="autoZero"/>
        <c:auto val="1"/>
        <c:lblAlgn val="ctr"/>
        <c:lblOffset val="100"/>
        <c:noMultiLvlLbl val="0"/>
      </c:catAx>
      <c:valAx>
        <c:axId val="86187379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Score out of 10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61874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SPT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'8-year data'!$AH$6</c:f>
              <c:strCache>
                <c:ptCount val="1"/>
                <c:pt idx="0">
                  <c:v>Actual expenditure</c:v>
                </c:pt>
              </c:strCache>
            </c:strRef>
          </c:tx>
          <c:spPr>
            <a:solidFill>
              <a:schemeClr val="accent1"/>
            </a:solidFill>
            <a:ln>
              <a:noFill/>
            </a:ln>
            <a:effectLst/>
          </c:spPr>
          <c:invertIfNegative val="0"/>
          <c:dPt>
            <c:idx val="0"/>
            <c:invertIfNegative val="0"/>
            <c:bubble3D val="0"/>
            <c:spPr>
              <a:solidFill>
                <a:srgbClr val="F57F29"/>
              </a:solidFill>
              <a:ln>
                <a:noFill/>
              </a:ln>
              <a:effectLst/>
            </c:spPr>
            <c:extLst>
              <c:ext xmlns:c16="http://schemas.microsoft.com/office/drawing/2014/chart" uri="{C3380CC4-5D6E-409C-BE32-E72D297353CC}">
                <c16:uniqueId val="{00000001-0EE2-40F7-A204-D820AF3B3AC1}"/>
              </c:ext>
            </c:extLst>
          </c:dPt>
          <c:dPt>
            <c:idx val="1"/>
            <c:invertIfNegative val="0"/>
            <c:bubble3D val="0"/>
            <c:spPr>
              <a:solidFill>
                <a:srgbClr val="45216F"/>
              </a:solidFill>
              <a:ln>
                <a:noFill/>
              </a:ln>
              <a:effectLst/>
            </c:spPr>
            <c:extLst>
              <c:ext xmlns:c16="http://schemas.microsoft.com/office/drawing/2014/chart" uri="{C3380CC4-5D6E-409C-BE32-E72D297353CC}">
                <c16:uniqueId val="{00000003-0EE2-40F7-A204-D820AF3B3AC1}"/>
              </c:ext>
            </c:extLst>
          </c:dPt>
          <c:dPt>
            <c:idx val="2"/>
            <c:invertIfNegative val="0"/>
            <c:bubble3D val="0"/>
            <c:spPr>
              <a:solidFill>
                <a:srgbClr val="D0B00E"/>
              </a:solidFill>
              <a:ln>
                <a:noFill/>
              </a:ln>
              <a:effectLst/>
            </c:spPr>
            <c:extLst>
              <c:ext xmlns:c16="http://schemas.microsoft.com/office/drawing/2014/chart" uri="{C3380CC4-5D6E-409C-BE32-E72D297353CC}">
                <c16:uniqueId val="{00000005-0EE2-40F7-A204-D820AF3B3AC1}"/>
              </c:ext>
            </c:extLst>
          </c:dPt>
          <c:dPt>
            <c:idx val="3"/>
            <c:invertIfNegative val="0"/>
            <c:bubble3D val="0"/>
            <c:spPr>
              <a:solidFill>
                <a:srgbClr val="CD1543"/>
              </a:solidFill>
              <a:ln>
                <a:noFill/>
              </a:ln>
              <a:effectLst/>
            </c:spPr>
            <c:extLst>
              <c:ext xmlns:c16="http://schemas.microsoft.com/office/drawing/2014/chart" uri="{C3380CC4-5D6E-409C-BE32-E72D297353CC}">
                <c16:uniqueId val="{00000007-0EE2-40F7-A204-D820AF3B3AC1}"/>
              </c:ext>
            </c:extLst>
          </c:dPt>
          <c:dPt>
            <c:idx val="4"/>
            <c:invertIfNegative val="0"/>
            <c:bubble3D val="0"/>
            <c:spPr>
              <a:solidFill>
                <a:srgbClr val="2062AF"/>
              </a:solidFill>
              <a:ln>
                <a:noFill/>
              </a:ln>
              <a:effectLst/>
            </c:spPr>
            <c:extLst>
              <c:ext xmlns:c16="http://schemas.microsoft.com/office/drawing/2014/chart" uri="{C3380CC4-5D6E-409C-BE32-E72D297353CC}">
                <c16:uniqueId val="{00000009-0EE2-40F7-A204-D820AF3B3AC1}"/>
              </c:ext>
            </c:extLst>
          </c:dPt>
          <c:dPt>
            <c:idx val="5"/>
            <c:invertIfNegative val="0"/>
            <c:bubble3D val="0"/>
            <c:spPr>
              <a:solidFill>
                <a:srgbClr val="00B2BF"/>
              </a:solidFill>
              <a:ln>
                <a:noFill/>
              </a:ln>
              <a:effectLst/>
            </c:spPr>
            <c:extLst>
              <c:ext xmlns:c16="http://schemas.microsoft.com/office/drawing/2014/chart" uri="{C3380CC4-5D6E-409C-BE32-E72D297353CC}">
                <c16:uniqueId val="{0000000B-0EE2-40F7-A204-D820AF3B3AC1}"/>
              </c:ext>
            </c:extLst>
          </c:dPt>
          <c:dPt>
            <c:idx val="6"/>
            <c:invertIfNegative val="0"/>
            <c:bubble3D val="0"/>
            <c:spPr>
              <a:solidFill>
                <a:srgbClr val="A1ABB2"/>
              </a:solidFill>
              <a:ln>
                <a:noFill/>
              </a:ln>
              <a:effectLst/>
            </c:spPr>
            <c:extLst>
              <c:ext xmlns:c16="http://schemas.microsoft.com/office/drawing/2014/chart" uri="{C3380CC4-5D6E-409C-BE32-E72D297353CC}">
                <c16:uniqueId val="{0000000D-0EE2-40F7-A204-D820AF3B3AC1}"/>
              </c:ext>
            </c:extLst>
          </c:dPt>
          <c:cat>
            <c:numRef>
              <c:f>'8-year data'!$AI$5:$AP$5</c:f>
              <c:numCache>
                <c:formatCode>General</c:formatCode>
                <c:ptCount val="8"/>
                <c:pt idx="0">
                  <c:v>2014</c:v>
                </c:pt>
                <c:pt idx="1">
                  <c:v>2015</c:v>
                </c:pt>
                <c:pt idx="2">
                  <c:v>2016</c:v>
                </c:pt>
                <c:pt idx="3">
                  <c:v>2017</c:v>
                </c:pt>
                <c:pt idx="4">
                  <c:v>2018</c:v>
                </c:pt>
                <c:pt idx="5">
                  <c:v>2019</c:v>
                </c:pt>
                <c:pt idx="6">
                  <c:v>2020</c:v>
                </c:pt>
                <c:pt idx="7">
                  <c:v>2021</c:v>
                </c:pt>
              </c:numCache>
            </c:numRef>
          </c:cat>
          <c:val>
            <c:numRef>
              <c:f>'8-year data'!$AI$6:$AP$6</c:f>
              <c:numCache>
                <c:formatCode>0</c:formatCode>
                <c:ptCount val="8"/>
                <c:pt idx="0">
                  <c:v>279.77337500052897</c:v>
                </c:pt>
                <c:pt idx="1">
                  <c:v>320.47272648511466</c:v>
                </c:pt>
                <c:pt idx="2">
                  <c:v>402.87298376250715</c:v>
                </c:pt>
                <c:pt idx="3">
                  <c:v>383.70254107026437</c:v>
                </c:pt>
                <c:pt idx="4">
                  <c:v>255.52675533582692</c:v>
                </c:pt>
                <c:pt idx="5">
                  <c:v>194.88128510250772</c:v>
                </c:pt>
                <c:pt idx="6">
                  <c:v>206.99894754311654</c:v>
                </c:pt>
                <c:pt idx="7" formatCode="#,##0">
                  <c:v>228.10364294385707</c:v>
                </c:pt>
              </c:numCache>
            </c:numRef>
          </c:val>
          <c:extLst>
            <c:ext xmlns:c16="http://schemas.microsoft.com/office/drawing/2014/chart" uri="{C3380CC4-5D6E-409C-BE32-E72D297353CC}">
              <c16:uniqueId val="{0000000E-0EE2-40F7-A204-D820AF3B3AC1}"/>
            </c:ext>
          </c:extLst>
        </c:ser>
        <c:ser>
          <c:idx val="1"/>
          <c:order val="1"/>
          <c:tx>
            <c:strRef>
              <c:f>'8-year data'!$AH$7</c:f>
              <c:strCache>
                <c:ptCount val="1"/>
                <c:pt idx="0">
                  <c:v>Forecast expenditure</c:v>
                </c:pt>
              </c:strCache>
            </c:strRef>
          </c:tx>
          <c:spPr>
            <a:solidFill>
              <a:srgbClr val="A1ABA8"/>
            </a:solidFill>
            <a:ln>
              <a:noFill/>
            </a:ln>
            <a:effectLst/>
          </c:spPr>
          <c:invertIfNegative val="0"/>
          <c:dPt>
            <c:idx val="7"/>
            <c:invertIfNegative val="0"/>
            <c:bubble3D val="0"/>
            <c:spPr>
              <a:solidFill>
                <a:srgbClr val="A28F5C"/>
              </a:solidFill>
              <a:ln>
                <a:noFill/>
              </a:ln>
              <a:effectLst/>
            </c:spPr>
            <c:extLst>
              <c:ext xmlns:c16="http://schemas.microsoft.com/office/drawing/2014/chart" uri="{C3380CC4-5D6E-409C-BE32-E72D297353CC}">
                <c16:uniqueId val="{00000010-0EE2-40F7-A204-D820AF3B3AC1}"/>
              </c:ext>
            </c:extLst>
          </c:dPt>
          <c:cat>
            <c:numRef>
              <c:f>'8-year data'!$AI$5:$AP$5</c:f>
              <c:numCache>
                <c:formatCode>General</c:formatCode>
                <c:ptCount val="8"/>
                <c:pt idx="0">
                  <c:v>2014</c:v>
                </c:pt>
                <c:pt idx="1">
                  <c:v>2015</c:v>
                </c:pt>
                <c:pt idx="2">
                  <c:v>2016</c:v>
                </c:pt>
                <c:pt idx="3">
                  <c:v>2017</c:v>
                </c:pt>
                <c:pt idx="4">
                  <c:v>2018</c:v>
                </c:pt>
                <c:pt idx="5">
                  <c:v>2019</c:v>
                </c:pt>
                <c:pt idx="6">
                  <c:v>2020</c:v>
                </c:pt>
                <c:pt idx="7">
                  <c:v>2021</c:v>
                </c:pt>
              </c:numCache>
            </c:numRef>
          </c:cat>
          <c:val>
            <c:numRef>
              <c:f>'8-year data'!$AI$7:$AP$7</c:f>
              <c:numCache>
                <c:formatCode>General</c:formatCode>
                <c:ptCount val="8"/>
              </c:numCache>
            </c:numRef>
          </c:val>
          <c:extLst>
            <c:ext xmlns:c16="http://schemas.microsoft.com/office/drawing/2014/chart" uri="{C3380CC4-5D6E-409C-BE32-E72D297353CC}">
              <c16:uniqueId val="{00000011-0EE2-40F7-A204-D820AF3B3AC1}"/>
            </c:ext>
          </c:extLst>
        </c:ser>
        <c:dLbls>
          <c:showLegendKey val="0"/>
          <c:showVal val="0"/>
          <c:showCatName val="0"/>
          <c:showSerName val="0"/>
          <c:showPercent val="0"/>
          <c:showBubbleSize val="0"/>
        </c:dLbls>
        <c:gapWidth val="150"/>
        <c:axId val="957593712"/>
        <c:axId val="957597976"/>
      </c:barChart>
      <c:lineChart>
        <c:grouping val="standard"/>
        <c:varyColors val="0"/>
        <c:ser>
          <c:idx val="2"/>
          <c:order val="2"/>
          <c:tx>
            <c:strRef>
              <c:f>'8-year data'!$AH$8</c:f>
              <c:strCache>
                <c:ptCount val="1"/>
                <c:pt idx="0">
                  <c:v>Adjusted allowance</c:v>
                </c:pt>
              </c:strCache>
            </c:strRef>
          </c:tx>
          <c:spPr>
            <a:ln w="28575" cap="rnd">
              <a:solidFill>
                <a:schemeClr val="tx1"/>
              </a:solidFill>
              <a:round/>
            </a:ln>
            <a:effectLst/>
          </c:spPr>
          <c:marker>
            <c:symbol val="none"/>
          </c:marker>
          <c:cat>
            <c:numRef>
              <c:f>'8-year data'!$AI$5:$AP$5</c:f>
              <c:numCache>
                <c:formatCode>General</c:formatCode>
                <c:ptCount val="8"/>
                <c:pt idx="0">
                  <c:v>2014</c:v>
                </c:pt>
                <c:pt idx="1">
                  <c:v>2015</c:v>
                </c:pt>
                <c:pt idx="2">
                  <c:v>2016</c:v>
                </c:pt>
                <c:pt idx="3">
                  <c:v>2017</c:v>
                </c:pt>
                <c:pt idx="4">
                  <c:v>2018</c:v>
                </c:pt>
                <c:pt idx="5">
                  <c:v>2019</c:v>
                </c:pt>
                <c:pt idx="6">
                  <c:v>2020</c:v>
                </c:pt>
                <c:pt idx="7">
                  <c:v>2021</c:v>
                </c:pt>
              </c:numCache>
            </c:numRef>
          </c:cat>
          <c:val>
            <c:numRef>
              <c:f>'8-year data'!$AI$8:$AP$8</c:f>
              <c:numCache>
                <c:formatCode>0.0</c:formatCode>
                <c:ptCount val="8"/>
                <c:pt idx="0">
                  <c:v>395.00193164384314</c:v>
                </c:pt>
                <c:pt idx="1">
                  <c:v>454.37786938340327</c:v>
                </c:pt>
                <c:pt idx="2">
                  <c:v>359.73865774387338</c:v>
                </c:pt>
                <c:pt idx="3">
                  <c:v>260.85420925826674</c:v>
                </c:pt>
                <c:pt idx="4">
                  <c:v>289.69942026647169</c:v>
                </c:pt>
                <c:pt idx="5">
                  <c:v>297.25683051507855</c:v>
                </c:pt>
                <c:pt idx="6">
                  <c:v>248.15450961591392</c:v>
                </c:pt>
                <c:pt idx="7">
                  <c:v>129.42825516590372</c:v>
                </c:pt>
              </c:numCache>
            </c:numRef>
          </c:val>
          <c:smooth val="0"/>
          <c:extLst>
            <c:ext xmlns:c16="http://schemas.microsoft.com/office/drawing/2014/chart" uri="{C3380CC4-5D6E-409C-BE32-E72D297353CC}">
              <c16:uniqueId val="{00000012-0EE2-40F7-A204-D820AF3B3AC1}"/>
            </c:ext>
          </c:extLst>
        </c:ser>
        <c:dLbls>
          <c:showLegendKey val="0"/>
          <c:showVal val="0"/>
          <c:showCatName val="0"/>
          <c:showSerName val="0"/>
          <c:showPercent val="0"/>
          <c:showBubbleSize val="0"/>
        </c:dLbls>
        <c:marker val="1"/>
        <c:smooth val="0"/>
        <c:axId val="957593712"/>
        <c:axId val="957597976"/>
      </c:lineChart>
      <c:catAx>
        <c:axId val="957593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7597976"/>
        <c:crosses val="autoZero"/>
        <c:auto val="1"/>
        <c:lblAlgn val="ctr"/>
        <c:lblOffset val="100"/>
        <c:noMultiLvlLbl val="0"/>
      </c:catAx>
      <c:valAx>
        <c:axId val="957597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a:t>
                </a:r>
                <a:r>
                  <a:rPr lang="en-GB" baseline="0"/>
                  <a:t> 2020/21 prices</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7593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SHET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'8-year data'!$AW$6</c:f>
              <c:strCache>
                <c:ptCount val="1"/>
                <c:pt idx="0">
                  <c:v>Actual expenditure</c:v>
                </c:pt>
              </c:strCache>
            </c:strRef>
          </c:tx>
          <c:spPr>
            <a:solidFill>
              <a:schemeClr val="accent1"/>
            </a:solidFill>
            <a:ln>
              <a:noFill/>
            </a:ln>
            <a:effectLst/>
          </c:spPr>
          <c:invertIfNegative val="0"/>
          <c:dPt>
            <c:idx val="0"/>
            <c:invertIfNegative val="0"/>
            <c:bubble3D val="0"/>
            <c:spPr>
              <a:solidFill>
                <a:srgbClr val="F57F29"/>
              </a:solidFill>
              <a:ln>
                <a:noFill/>
              </a:ln>
              <a:effectLst/>
            </c:spPr>
            <c:extLst>
              <c:ext xmlns:c16="http://schemas.microsoft.com/office/drawing/2014/chart" uri="{C3380CC4-5D6E-409C-BE32-E72D297353CC}">
                <c16:uniqueId val="{00000001-F364-449D-A859-5FBFCAE43DD2}"/>
              </c:ext>
            </c:extLst>
          </c:dPt>
          <c:dPt>
            <c:idx val="1"/>
            <c:invertIfNegative val="0"/>
            <c:bubble3D val="0"/>
            <c:spPr>
              <a:solidFill>
                <a:srgbClr val="45216F"/>
              </a:solidFill>
              <a:ln>
                <a:noFill/>
              </a:ln>
              <a:effectLst/>
            </c:spPr>
            <c:extLst>
              <c:ext xmlns:c16="http://schemas.microsoft.com/office/drawing/2014/chart" uri="{C3380CC4-5D6E-409C-BE32-E72D297353CC}">
                <c16:uniqueId val="{00000003-F364-449D-A859-5FBFCAE43DD2}"/>
              </c:ext>
            </c:extLst>
          </c:dPt>
          <c:dPt>
            <c:idx val="2"/>
            <c:invertIfNegative val="0"/>
            <c:bubble3D val="0"/>
            <c:spPr>
              <a:solidFill>
                <a:srgbClr val="D0B00E"/>
              </a:solidFill>
              <a:ln>
                <a:noFill/>
              </a:ln>
              <a:effectLst/>
            </c:spPr>
            <c:extLst>
              <c:ext xmlns:c16="http://schemas.microsoft.com/office/drawing/2014/chart" uri="{C3380CC4-5D6E-409C-BE32-E72D297353CC}">
                <c16:uniqueId val="{00000005-F364-449D-A859-5FBFCAE43DD2}"/>
              </c:ext>
            </c:extLst>
          </c:dPt>
          <c:dPt>
            <c:idx val="3"/>
            <c:invertIfNegative val="0"/>
            <c:bubble3D val="0"/>
            <c:spPr>
              <a:solidFill>
                <a:srgbClr val="CD1543"/>
              </a:solidFill>
              <a:ln>
                <a:noFill/>
              </a:ln>
              <a:effectLst/>
            </c:spPr>
            <c:extLst>
              <c:ext xmlns:c16="http://schemas.microsoft.com/office/drawing/2014/chart" uri="{C3380CC4-5D6E-409C-BE32-E72D297353CC}">
                <c16:uniqueId val="{00000007-F364-449D-A859-5FBFCAE43DD2}"/>
              </c:ext>
            </c:extLst>
          </c:dPt>
          <c:dPt>
            <c:idx val="4"/>
            <c:invertIfNegative val="0"/>
            <c:bubble3D val="0"/>
            <c:spPr>
              <a:solidFill>
                <a:srgbClr val="2062AF"/>
              </a:solidFill>
              <a:ln>
                <a:noFill/>
              </a:ln>
              <a:effectLst/>
            </c:spPr>
            <c:extLst>
              <c:ext xmlns:c16="http://schemas.microsoft.com/office/drawing/2014/chart" uri="{C3380CC4-5D6E-409C-BE32-E72D297353CC}">
                <c16:uniqueId val="{00000009-F364-449D-A859-5FBFCAE43DD2}"/>
              </c:ext>
            </c:extLst>
          </c:dPt>
          <c:dPt>
            <c:idx val="5"/>
            <c:invertIfNegative val="0"/>
            <c:bubble3D val="0"/>
            <c:spPr>
              <a:solidFill>
                <a:srgbClr val="00B2BF"/>
              </a:solidFill>
              <a:ln>
                <a:noFill/>
              </a:ln>
              <a:effectLst/>
            </c:spPr>
            <c:extLst>
              <c:ext xmlns:c16="http://schemas.microsoft.com/office/drawing/2014/chart" uri="{C3380CC4-5D6E-409C-BE32-E72D297353CC}">
                <c16:uniqueId val="{0000000B-F364-449D-A859-5FBFCAE43DD2}"/>
              </c:ext>
            </c:extLst>
          </c:dPt>
          <c:dPt>
            <c:idx val="6"/>
            <c:invertIfNegative val="0"/>
            <c:bubble3D val="0"/>
            <c:spPr>
              <a:solidFill>
                <a:srgbClr val="A1ABB2"/>
              </a:solidFill>
              <a:ln>
                <a:noFill/>
              </a:ln>
              <a:effectLst/>
            </c:spPr>
            <c:extLst>
              <c:ext xmlns:c16="http://schemas.microsoft.com/office/drawing/2014/chart" uri="{C3380CC4-5D6E-409C-BE32-E72D297353CC}">
                <c16:uniqueId val="{0000000D-F364-449D-A859-5FBFCAE43DD2}"/>
              </c:ext>
            </c:extLst>
          </c:dPt>
          <c:cat>
            <c:numRef>
              <c:f>'8-year data'!$AX$5:$BE$5</c:f>
              <c:numCache>
                <c:formatCode>General</c:formatCode>
                <c:ptCount val="8"/>
                <c:pt idx="0">
                  <c:v>2014</c:v>
                </c:pt>
                <c:pt idx="1">
                  <c:v>2015</c:v>
                </c:pt>
                <c:pt idx="2">
                  <c:v>2016</c:v>
                </c:pt>
                <c:pt idx="3">
                  <c:v>2017</c:v>
                </c:pt>
                <c:pt idx="4">
                  <c:v>2018</c:v>
                </c:pt>
                <c:pt idx="5">
                  <c:v>2019</c:v>
                </c:pt>
                <c:pt idx="6">
                  <c:v>2020</c:v>
                </c:pt>
                <c:pt idx="7">
                  <c:v>2021</c:v>
                </c:pt>
              </c:numCache>
            </c:numRef>
          </c:cat>
          <c:val>
            <c:numRef>
              <c:f>'8-year data'!$AX$6:$BE$6</c:f>
              <c:numCache>
                <c:formatCode>0</c:formatCode>
                <c:ptCount val="8"/>
                <c:pt idx="0">
                  <c:v>203.91025157295437</c:v>
                </c:pt>
                <c:pt idx="1">
                  <c:v>387.95743507014015</c:v>
                </c:pt>
                <c:pt idx="2">
                  <c:v>594.00476054239562</c:v>
                </c:pt>
                <c:pt idx="3">
                  <c:v>512.42643122999539</c:v>
                </c:pt>
                <c:pt idx="4">
                  <c:v>461.13240923444323</c:v>
                </c:pt>
                <c:pt idx="5">
                  <c:v>358.60218002968503</c:v>
                </c:pt>
                <c:pt idx="6">
                  <c:v>373.24369135398922</c:v>
                </c:pt>
                <c:pt idx="7" formatCode="#,##0">
                  <c:v>469.84581800000007</c:v>
                </c:pt>
              </c:numCache>
            </c:numRef>
          </c:val>
          <c:extLst>
            <c:ext xmlns:c16="http://schemas.microsoft.com/office/drawing/2014/chart" uri="{C3380CC4-5D6E-409C-BE32-E72D297353CC}">
              <c16:uniqueId val="{0000000E-F364-449D-A859-5FBFCAE43DD2}"/>
            </c:ext>
          </c:extLst>
        </c:ser>
        <c:ser>
          <c:idx val="1"/>
          <c:order val="1"/>
          <c:tx>
            <c:strRef>
              <c:f>'8-year data'!$AW$7</c:f>
              <c:strCache>
                <c:ptCount val="1"/>
                <c:pt idx="0">
                  <c:v>Forecast expenditure</c:v>
                </c:pt>
              </c:strCache>
            </c:strRef>
          </c:tx>
          <c:spPr>
            <a:solidFill>
              <a:schemeClr val="accent2"/>
            </a:solidFill>
            <a:ln>
              <a:noFill/>
            </a:ln>
            <a:effectLst/>
          </c:spPr>
          <c:invertIfNegative val="0"/>
          <c:dPt>
            <c:idx val="6"/>
            <c:invertIfNegative val="0"/>
            <c:bubble3D val="0"/>
            <c:spPr>
              <a:solidFill>
                <a:srgbClr val="A1ABA8"/>
              </a:solidFill>
              <a:ln>
                <a:noFill/>
              </a:ln>
              <a:effectLst/>
            </c:spPr>
            <c:extLst>
              <c:ext xmlns:c16="http://schemas.microsoft.com/office/drawing/2014/chart" uri="{C3380CC4-5D6E-409C-BE32-E72D297353CC}">
                <c16:uniqueId val="{00000010-F364-449D-A859-5FBFCAE43DD2}"/>
              </c:ext>
            </c:extLst>
          </c:dPt>
          <c:dPt>
            <c:idx val="7"/>
            <c:invertIfNegative val="0"/>
            <c:bubble3D val="0"/>
            <c:spPr>
              <a:solidFill>
                <a:srgbClr val="A28F5C"/>
              </a:solidFill>
              <a:ln>
                <a:noFill/>
              </a:ln>
              <a:effectLst/>
            </c:spPr>
            <c:extLst>
              <c:ext xmlns:c16="http://schemas.microsoft.com/office/drawing/2014/chart" uri="{C3380CC4-5D6E-409C-BE32-E72D297353CC}">
                <c16:uniqueId val="{00000012-F364-449D-A859-5FBFCAE43DD2}"/>
              </c:ext>
            </c:extLst>
          </c:dPt>
          <c:cat>
            <c:numRef>
              <c:f>'8-year data'!$AX$5:$BE$5</c:f>
              <c:numCache>
                <c:formatCode>General</c:formatCode>
                <c:ptCount val="8"/>
                <c:pt idx="0">
                  <c:v>2014</c:v>
                </c:pt>
                <c:pt idx="1">
                  <c:v>2015</c:v>
                </c:pt>
                <c:pt idx="2">
                  <c:v>2016</c:v>
                </c:pt>
                <c:pt idx="3">
                  <c:v>2017</c:v>
                </c:pt>
                <c:pt idx="4">
                  <c:v>2018</c:v>
                </c:pt>
                <c:pt idx="5">
                  <c:v>2019</c:v>
                </c:pt>
                <c:pt idx="6">
                  <c:v>2020</c:v>
                </c:pt>
                <c:pt idx="7">
                  <c:v>2021</c:v>
                </c:pt>
              </c:numCache>
            </c:numRef>
          </c:cat>
          <c:val>
            <c:numRef>
              <c:f>'8-year data'!$AX$7:$BE$7</c:f>
              <c:numCache>
                <c:formatCode>General</c:formatCode>
                <c:ptCount val="8"/>
              </c:numCache>
            </c:numRef>
          </c:val>
          <c:extLst>
            <c:ext xmlns:c16="http://schemas.microsoft.com/office/drawing/2014/chart" uri="{C3380CC4-5D6E-409C-BE32-E72D297353CC}">
              <c16:uniqueId val="{00000013-F364-449D-A859-5FBFCAE43DD2}"/>
            </c:ext>
          </c:extLst>
        </c:ser>
        <c:dLbls>
          <c:showLegendKey val="0"/>
          <c:showVal val="0"/>
          <c:showCatName val="0"/>
          <c:showSerName val="0"/>
          <c:showPercent val="0"/>
          <c:showBubbleSize val="0"/>
        </c:dLbls>
        <c:gapWidth val="150"/>
        <c:axId val="957595680"/>
        <c:axId val="957596008"/>
      </c:barChart>
      <c:lineChart>
        <c:grouping val="standard"/>
        <c:varyColors val="0"/>
        <c:ser>
          <c:idx val="2"/>
          <c:order val="2"/>
          <c:tx>
            <c:strRef>
              <c:f>'8-year data'!$AW$8</c:f>
              <c:strCache>
                <c:ptCount val="1"/>
                <c:pt idx="0">
                  <c:v>Adjusted allowance</c:v>
                </c:pt>
              </c:strCache>
            </c:strRef>
          </c:tx>
          <c:spPr>
            <a:ln w="28575" cap="rnd">
              <a:solidFill>
                <a:schemeClr val="tx1"/>
              </a:solidFill>
              <a:round/>
            </a:ln>
            <a:effectLst/>
          </c:spPr>
          <c:marker>
            <c:symbol val="none"/>
          </c:marker>
          <c:cat>
            <c:numRef>
              <c:f>'8-year data'!$AX$5:$BE$5</c:f>
              <c:numCache>
                <c:formatCode>General</c:formatCode>
                <c:ptCount val="8"/>
                <c:pt idx="0">
                  <c:v>2014</c:v>
                </c:pt>
                <c:pt idx="1">
                  <c:v>2015</c:v>
                </c:pt>
                <c:pt idx="2">
                  <c:v>2016</c:v>
                </c:pt>
                <c:pt idx="3">
                  <c:v>2017</c:v>
                </c:pt>
                <c:pt idx="4">
                  <c:v>2018</c:v>
                </c:pt>
                <c:pt idx="5">
                  <c:v>2019</c:v>
                </c:pt>
                <c:pt idx="6">
                  <c:v>2020</c:v>
                </c:pt>
                <c:pt idx="7">
                  <c:v>2021</c:v>
                </c:pt>
              </c:numCache>
            </c:numRef>
          </c:cat>
          <c:val>
            <c:numRef>
              <c:f>'8-year data'!$AX$8:$BE$8</c:f>
              <c:numCache>
                <c:formatCode>0.0</c:formatCode>
                <c:ptCount val="8"/>
                <c:pt idx="0">
                  <c:v>274.0561571000726</c:v>
                </c:pt>
                <c:pt idx="1">
                  <c:v>480.50328618495047</c:v>
                </c:pt>
                <c:pt idx="2">
                  <c:v>910.18120429569535</c:v>
                </c:pt>
                <c:pt idx="3">
                  <c:v>742.74071261450501</c:v>
                </c:pt>
                <c:pt idx="4">
                  <c:v>437.72505369870703</c:v>
                </c:pt>
                <c:pt idx="5">
                  <c:v>237.99745946486667</c:v>
                </c:pt>
                <c:pt idx="6">
                  <c:v>274.89496948366929</c:v>
                </c:pt>
                <c:pt idx="7">
                  <c:v>375.1587477295397</c:v>
                </c:pt>
              </c:numCache>
            </c:numRef>
          </c:val>
          <c:smooth val="0"/>
          <c:extLst>
            <c:ext xmlns:c16="http://schemas.microsoft.com/office/drawing/2014/chart" uri="{C3380CC4-5D6E-409C-BE32-E72D297353CC}">
              <c16:uniqueId val="{00000014-F364-449D-A859-5FBFCAE43DD2}"/>
            </c:ext>
          </c:extLst>
        </c:ser>
        <c:dLbls>
          <c:showLegendKey val="0"/>
          <c:showVal val="0"/>
          <c:showCatName val="0"/>
          <c:showSerName val="0"/>
          <c:showPercent val="0"/>
          <c:showBubbleSize val="0"/>
        </c:dLbls>
        <c:marker val="1"/>
        <c:smooth val="0"/>
        <c:axId val="957595680"/>
        <c:axId val="957596008"/>
      </c:lineChart>
      <c:catAx>
        <c:axId val="957595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7596008"/>
        <c:crosses val="autoZero"/>
        <c:auto val="1"/>
        <c:lblAlgn val="ctr"/>
        <c:lblOffset val="100"/>
        <c:noMultiLvlLbl val="0"/>
      </c:catAx>
      <c:valAx>
        <c:axId val="957596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a:t>
                </a:r>
                <a:r>
                  <a:rPr lang="en-GB" baseline="0"/>
                  <a:t> 2020/21 prices</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75956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NGET TO</a:t>
            </a:r>
          </a:p>
        </c:rich>
      </c:tx>
      <c:layout>
        <c:manualLayout>
          <c:xMode val="edge"/>
          <c:yMode val="edge"/>
          <c:x val="0.42339962192032782"/>
          <c:y val="4.778158423333131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'8-year data'!$U$39</c:f>
              <c:strCache>
                <c:ptCount val="1"/>
                <c:pt idx="0">
                  <c:v>Actual expenditure</c:v>
                </c:pt>
              </c:strCache>
            </c:strRef>
          </c:tx>
          <c:spPr>
            <a:solidFill>
              <a:schemeClr val="accent1"/>
            </a:solidFill>
            <a:ln>
              <a:noFill/>
            </a:ln>
            <a:effectLst/>
          </c:spPr>
          <c:invertIfNegative val="0"/>
          <c:dPt>
            <c:idx val="0"/>
            <c:invertIfNegative val="0"/>
            <c:bubble3D val="0"/>
            <c:spPr>
              <a:solidFill>
                <a:srgbClr val="F57F29"/>
              </a:solidFill>
              <a:ln>
                <a:noFill/>
              </a:ln>
              <a:effectLst/>
            </c:spPr>
            <c:extLst>
              <c:ext xmlns:c16="http://schemas.microsoft.com/office/drawing/2014/chart" uri="{C3380CC4-5D6E-409C-BE32-E72D297353CC}">
                <c16:uniqueId val="{00000001-1B9A-494B-8660-B4AB7A5C3350}"/>
              </c:ext>
            </c:extLst>
          </c:dPt>
          <c:dPt>
            <c:idx val="1"/>
            <c:invertIfNegative val="0"/>
            <c:bubble3D val="0"/>
            <c:spPr>
              <a:solidFill>
                <a:srgbClr val="45216F"/>
              </a:solidFill>
              <a:ln>
                <a:noFill/>
              </a:ln>
              <a:effectLst/>
            </c:spPr>
            <c:extLst>
              <c:ext xmlns:c16="http://schemas.microsoft.com/office/drawing/2014/chart" uri="{C3380CC4-5D6E-409C-BE32-E72D297353CC}">
                <c16:uniqueId val="{00000003-1B9A-494B-8660-B4AB7A5C3350}"/>
              </c:ext>
            </c:extLst>
          </c:dPt>
          <c:dPt>
            <c:idx val="2"/>
            <c:invertIfNegative val="0"/>
            <c:bubble3D val="0"/>
            <c:spPr>
              <a:solidFill>
                <a:srgbClr val="D0B00E"/>
              </a:solidFill>
              <a:ln>
                <a:noFill/>
              </a:ln>
              <a:effectLst/>
            </c:spPr>
            <c:extLst>
              <c:ext xmlns:c16="http://schemas.microsoft.com/office/drawing/2014/chart" uri="{C3380CC4-5D6E-409C-BE32-E72D297353CC}">
                <c16:uniqueId val="{00000005-1B9A-494B-8660-B4AB7A5C3350}"/>
              </c:ext>
            </c:extLst>
          </c:dPt>
          <c:dPt>
            <c:idx val="3"/>
            <c:invertIfNegative val="0"/>
            <c:bubble3D val="0"/>
            <c:spPr>
              <a:solidFill>
                <a:srgbClr val="CD151B"/>
              </a:solidFill>
              <a:ln>
                <a:noFill/>
              </a:ln>
              <a:effectLst/>
            </c:spPr>
            <c:extLst>
              <c:ext xmlns:c16="http://schemas.microsoft.com/office/drawing/2014/chart" uri="{C3380CC4-5D6E-409C-BE32-E72D297353CC}">
                <c16:uniqueId val="{00000007-1B9A-494B-8660-B4AB7A5C3350}"/>
              </c:ext>
            </c:extLst>
          </c:dPt>
          <c:dPt>
            <c:idx val="4"/>
            <c:invertIfNegative val="0"/>
            <c:bubble3D val="0"/>
            <c:spPr>
              <a:solidFill>
                <a:srgbClr val="2062AF"/>
              </a:solidFill>
              <a:ln>
                <a:noFill/>
              </a:ln>
              <a:effectLst/>
            </c:spPr>
            <c:extLst>
              <c:ext xmlns:c16="http://schemas.microsoft.com/office/drawing/2014/chart" uri="{C3380CC4-5D6E-409C-BE32-E72D297353CC}">
                <c16:uniqueId val="{00000009-1B9A-494B-8660-B4AB7A5C3350}"/>
              </c:ext>
            </c:extLst>
          </c:dPt>
          <c:dPt>
            <c:idx val="5"/>
            <c:invertIfNegative val="0"/>
            <c:bubble3D val="0"/>
            <c:spPr>
              <a:solidFill>
                <a:srgbClr val="00B2BF"/>
              </a:solidFill>
              <a:ln>
                <a:noFill/>
              </a:ln>
              <a:effectLst/>
            </c:spPr>
            <c:extLst>
              <c:ext xmlns:c16="http://schemas.microsoft.com/office/drawing/2014/chart" uri="{C3380CC4-5D6E-409C-BE32-E72D297353CC}">
                <c16:uniqueId val="{0000000B-1B9A-494B-8660-B4AB7A5C3350}"/>
              </c:ext>
            </c:extLst>
          </c:dPt>
          <c:cat>
            <c:numRef>
              <c:f>'8-year data'!$V$38:$AC$38</c:f>
              <c:numCache>
                <c:formatCode>General</c:formatCode>
                <c:ptCount val="8"/>
                <c:pt idx="0">
                  <c:v>2014</c:v>
                </c:pt>
                <c:pt idx="1">
                  <c:v>2015</c:v>
                </c:pt>
                <c:pt idx="2">
                  <c:v>2016</c:v>
                </c:pt>
                <c:pt idx="3">
                  <c:v>2017</c:v>
                </c:pt>
                <c:pt idx="4">
                  <c:v>2018</c:v>
                </c:pt>
                <c:pt idx="5">
                  <c:v>2019</c:v>
                </c:pt>
                <c:pt idx="6">
                  <c:v>2020</c:v>
                </c:pt>
                <c:pt idx="7">
                  <c:v>2021</c:v>
                </c:pt>
              </c:numCache>
            </c:numRef>
          </c:cat>
          <c:val>
            <c:numRef>
              <c:f>'8-year data'!$V$39:$AC$39</c:f>
              <c:numCache>
                <c:formatCode>0</c:formatCode>
                <c:ptCount val="8"/>
                <c:pt idx="0">
                  <c:v>1642.4450048483368</c:v>
                </c:pt>
                <c:pt idx="1">
                  <c:v>1233.1974840820894</c:v>
                </c:pt>
                <c:pt idx="2">
                  <c:v>1324.9888753281225</c:v>
                </c:pt>
                <c:pt idx="3">
                  <c:v>1240.3006043570699</c:v>
                </c:pt>
                <c:pt idx="4">
                  <c:v>1141.7790140150184</c:v>
                </c:pt>
                <c:pt idx="5">
                  <c:v>1096.6345151657902</c:v>
                </c:pt>
                <c:pt idx="6">
                  <c:v>1076.8938876092961</c:v>
                </c:pt>
                <c:pt idx="7" formatCode="#,##0">
                  <c:v>1157.8508198093762</c:v>
                </c:pt>
              </c:numCache>
            </c:numRef>
          </c:val>
          <c:extLst>
            <c:ext xmlns:c16="http://schemas.microsoft.com/office/drawing/2014/chart" uri="{C3380CC4-5D6E-409C-BE32-E72D297353CC}">
              <c16:uniqueId val="{0000000C-1B9A-494B-8660-B4AB7A5C3350}"/>
            </c:ext>
          </c:extLst>
        </c:ser>
        <c:ser>
          <c:idx val="1"/>
          <c:order val="1"/>
          <c:tx>
            <c:strRef>
              <c:f>'8-year data'!$U$40</c:f>
              <c:strCache>
                <c:ptCount val="1"/>
                <c:pt idx="0">
                  <c:v>Forecast expenditure</c:v>
                </c:pt>
              </c:strCache>
            </c:strRef>
          </c:tx>
          <c:spPr>
            <a:solidFill>
              <a:schemeClr val="accent2"/>
            </a:solidFill>
            <a:ln>
              <a:noFill/>
            </a:ln>
            <a:effectLst/>
          </c:spPr>
          <c:invertIfNegative val="0"/>
          <c:dPt>
            <c:idx val="6"/>
            <c:invertIfNegative val="0"/>
            <c:bubble3D val="0"/>
            <c:spPr>
              <a:solidFill>
                <a:srgbClr val="A1ABA8"/>
              </a:solidFill>
              <a:ln>
                <a:noFill/>
              </a:ln>
              <a:effectLst/>
            </c:spPr>
            <c:extLst>
              <c:ext xmlns:c16="http://schemas.microsoft.com/office/drawing/2014/chart" uri="{C3380CC4-5D6E-409C-BE32-E72D297353CC}">
                <c16:uniqueId val="{0000000E-1B9A-494B-8660-B4AB7A5C3350}"/>
              </c:ext>
            </c:extLst>
          </c:dPt>
          <c:dPt>
            <c:idx val="7"/>
            <c:invertIfNegative val="0"/>
            <c:bubble3D val="0"/>
            <c:spPr>
              <a:solidFill>
                <a:srgbClr val="A28F5C"/>
              </a:solidFill>
              <a:ln>
                <a:noFill/>
              </a:ln>
              <a:effectLst/>
            </c:spPr>
            <c:extLst>
              <c:ext xmlns:c16="http://schemas.microsoft.com/office/drawing/2014/chart" uri="{C3380CC4-5D6E-409C-BE32-E72D297353CC}">
                <c16:uniqueId val="{00000010-1B9A-494B-8660-B4AB7A5C3350}"/>
              </c:ext>
            </c:extLst>
          </c:dPt>
          <c:cat>
            <c:numRef>
              <c:f>'8-year data'!$V$38:$AC$38</c:f>
              <c:numCache>
                <c:formatCode>General</c:formatCode>
                <c:ptCount val="8"/>
                <c:pt idx="0">
                  <c:v>2014</c:v>
                </c:pt>
                <c:pt idx="1">
                  <c:v>2015</c:v>
                </c:pt>
                <c:pt idx="2">
                  <c:v>2016</c:v>
                </c:pt>
                <c:pt idx="3">
                  <c:v>2017</c:v>
                </c:pt>
                <c:pt idx="4">
                  <c:v>2018</c:v>
                </c:pt>
                <c:pt idx="5">
                  <c:v>2019</c:v>
                </c:pt>
                <c:pt idx="6">
                  <c:v>2020</c:v>
                </c:pt>
                <c:pt idx="7">
                  <c:v>2021</c:v>
                </c:pt>
              </c:numCache>
            </c:numRef>
          </c:cat>
          <c:val>
            <c:numRef>
              <c:f>'8-year data'!$V$40:$AC$40</c:f>
              <c:numCache>
                <c:formatCode>General</c:formatCode>
                <c:ptCount val="8"/>
              </c:numCache>
            </c:numRef>
          </c:val>
          <c:extLst>
            <c:ext xmlns:c16="http://schemas.microsoft.com/office/drawing/2014/chart" uri="{C3380CC4-5D6E-409C-BE32-E72D297353CC}">
              <c16:uniqueId val="{00000011-1B9A-494B-8660-B4AB7A5C3350}"/>
            </c:ext>
          </c:extLst>
        </c:ser>
        <c:dLbls>
          <c:showLegendKey val="0"/>
          <c:showVal val="0"/>
          <c:showCatName val="0"/>
          <c:showSerName val="0"/>
          <c:showPercent val="0"/>
          <c:showBubbleSize val="0"/>
        </c:dLbls>
        <c:gapWidth val="219"/>
        <c:overlap val="-27"/>
        <c:axId val="811119504"/>
        <c:axId val="811125408"/>
      </c:barChart>
      <c:lineChart>
        <c:grouping val="standard"/>
        <c:varyColors val="0"/>
        <c:ser>
          <c:idx val="2"/>
          <c:order val="2"/>
          <c:tx>
            <c:strRef>
              <c:f>'8-year data'!$U$41</c:f>
              <c:strCache>
                <c:ptCount val="1"/>
                <c:pt idx="0">
                  <c:v>Adjusted allowance</c:v>
                </c:pt>
              </c:strCache>
            </c:strRef>
          </c:tx>
          <c:spPr>
            <a:ln w="28575" cap="rnd">
              <a:solidFill>
                <a:schemeClr val="tx1"/>
              </a:solidFill>
              <a:round/>
            </a:ln>
            <a:effectLst/>
          </c:spPr>
          <c:marker>
            <c:symbol val="none"/>
          </c:marker>
          <c:cat>
            <c:numRef>
              <c:f>'8-year data'!$V$38:$AC$38</c:f>
              <c:numCache>
                <c:formatCode>General</c:formatCode>
                <c:ptCount val="8"/>
                <c:pt idx="0">
                  <c:v>2014</c:v>
                </c:pt>
                <c:pt idx="1">
                  <c:v>2015</c:v>
                </c:pt>
                <c:pt idx="2">
                  <c:v>2016</c:v>
                </c:pt>
                <c:pt idx="3">
                  <c:v>2017</c:v>
                </c:pt>
                <c:pt idx="4">
                  <c:v>2018</c:v>
                </c:pt>
                <c:pt idx="5">
                  <c:v>2019</c:v>
                </c:pt>
                <c:pt idx="6">
                  <c:v>2020</c:v>
                </c:pt>
                <c:pt idx="7">
                  <c:v>2021</c:v>
                </c:pt>
              </c:numCache>
            </c:numRef>
          </c:cat>
          <c:val>
            <c:numRef>
              <c:f>'8-year data'!$V$41:$AC$41</c:f>
              <c:numCache>
                <c:formatCode>0</c:formatCode>
                <c:ptCount val="8"/>
                <c:pt idx="0">
                  <c:v>2165.1744037247863</c:v>
                </c:pt>
                <c:pt idx="1">
                  <c:v>1872.7675529475705</c:v>
                </c:pt>
                <c:pt idx="2">
                  <c:v>1549.6723347309264</c:v>
                </c:pt>
                <c:pt idx="3">
                  <c:v>1419.7259377797068</c:v>
                </c:pt>
                <c:pt idx="4">
                  <c:v>1391.6437867787117</c:v>
                </c:pt>
                <c:pt idx="5">
                  <c:v>1659.5012505789448</c:v>
                </c:pt>
                <c:pt idx="6">
                  <c:v>1871.992541303478</c:v>
                </c:pt>
                <c:pt idx="7">
                  <c:v>1940.7430405271073</c:v>
                </c:pt>
              </c:numCache>
            </c:numRef>
          </c:val>
          <c:smooth val="0"/>
          <c:extLst>
            <c:ext xmlns:c16="http://schemas.microsoft.com/office/drawing/2014/chart" uri="{C3380CC4-5D6E-409C-BE32-E72D297353CC}">
              <c16:uniqueId val="{00000012-1B9A-494B-8660-B4AB7A5C3350}"/>
            </c:ext>
          </c:extLst>
        </c:ser>
        <c:dLbls>
          <c:showLegendKey val="0"/>
          <c:showVal val="0"/>
          <c:showCatName val="0"/>
          <c:showSerName val="0"/>
          <c:showPercent val="0"/>
          <c:showBubbleSize val="0"/>
        </c:dLbls>
        <c:marker val="1"/>
        <c:smooth val="0"/>
        <c:axId val="811119504"/>
        <c:axId val="811125408"/>
      </c:lineChart>
      <c:catAx>
        <c:axId val="811119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1125408"/>
        <c:crosses val="autoZero"/>
        <c:auto val="1"/>
        <c:lblAlgn val="ctr"/>
        <c:lblOffset val="100"/>
        <c:noMultiLvlLbl val="0"/>
      </c:catAx>
      <c:valAx>
        <c:axId val="811125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a:t>
                </a:r>
                <a:r>
                  <a:rPr lang="en-GB" baseline="0"/>
                  <a:t> 2020/21 prices</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11195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SHET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'8-year data'!$AW$32</c:f>
              <c:strCache>
                <c:ptCount val="1"/>
                <c:pt idx="0">
                  <c:v>Actual expenditure</c:v>
                </c:pt>
              </c:strCache>
            </c:strRef>
          </c:tx>
          <c:spPr>
            <a:solidFill>
              <a:schemeClr val="accent1"/>
            </a:solidFill>
            <a:ln>
              <a:noFill/>
            </a:ln>
            <a:effectLst/>
          </c:spPr>
          <c:invertIfNegative val="0"/>
          <c:dPt>
            <c:idx val="0"/>
            <c:invertIfNegative val="0"/>
            <c:bubble3D val="0"/>
            <c:spPr>
              <a:solidFill>
                <a:srgbClr val="F57F29"/>
              </a:solidFill>
              <a:ln>
                <a:noFill/>
              </a:ln>
              <a:effectLst/>
            </c:spPr>
            <c:extLst>
              <c:ext xmlns:c16="http://schemas.microsoft.com/office/drawing/2014/chart" uri="{C3380CC4-5D6E-409C-BE32-E72D297353CC}">
                <c16:uniqueId val="{00000001-FC91-495B-9608-01A36D253C28}"/>
              </c:ext>
            </c:extLst>
          </c:dPt>
          <c:dPt>
            <c:idx val="1"/>
            <c:invertIfNegative val="0"/>
            <c:bubble3D val="0"/>
            <c:spPr>
              <a:solidFill>
                <a:srgbClr val="45216F"/>
              </a:solidFill>
              <a:ln>
                <a:noFill/>
              </a:ln>
              <a:effectLst/>
            </c:spPr>
            <c:extLst>
              <c:ext xmlns:c16="http://schemas.microsoft.com/office/drawing/2014/chart" uri="{C3380CC4-5D6E-409C-BE32-E72D297353CC}">
                <c16:uniqueId val="{00000003-FC91-495B-9608-01A36D253C28}"/>
              </c:ext>
            </c:extLst>
          </c:dPt>
          <c:dPt>
            <c:idx val="2"/>
            <c:invertIfNegative val="0"/>
            <c:bubble3D val="0"/>
            <c:spPr>
              <a:solidFill>
                <a:srgbClr val="D0B00E"/>
              </a:solidFill>
              <a:ln>
                <a:noFill/>
              </a:ln>
              <a:effectLst/>
            </c:spPr>
            <c:extLst>
              <c:ext xmlns:c16="http://schemas.microsoft.com/office/drawing/2014/chart" uri="{C3380CC4-5D6E-409C-BE32-E72D297353CC}">
                <c16:uniqueId val="{00000005-FC91-495B-9608-01A36D253C28}"/>
              </c:ext>
            </c:extLst>
          </c:dPt>
          <c:dPt>
            <c:idx val="3"/>
            <c:invertIfNegative val="0"/>
            <c:bubble3D val="0"/>
            <c:spPr>
              <a:solidFill>
                <a:srgbClr val="CD151B"/>
              </a:solidFill>
              <a:ln>
                <a:noFill/>
              </a:ln>
              <a:effectLst/>
            </c:spPr>
            <c:extLst>
              <c:ext xmlns:c16="http://schemas.microsoft.com/office/drawing/2014/chart" uri="{C3380CC4-5D6E-409C-BE32-E72D297353CC}">
                <c16:uniqueId val="{00000007-FC91-495B-9608-01A36D253C28}"/>
              </c:ext>
            </c:extLst>
          </c:dPt>
          <c:dPt>
            <c:idx val="4"/>
            <c:invertIfNegative val="0"/>
            <c:bubble3D val="0"/>
            <c:spPr>
              <a:solidFill>
                <a:srgbClr val="2062AF"/>
              </a:solidFill>
              <a:ln>
                <a:noFill/>
              </a:ln>
              <a:effectLst/>
            </c:spPr>
            <c:extLst>
              <c:ext xmlns:c16="http://schemas.microsoft.com/office/drawing/2014/chart" uri="{C3380CC4-5D6E-409C-BE32-E72D297353CC}">
                <c16:uniqueId val="{00000009-FC91-495B-9608-01A36D253C28}"/>
              </c:ext>
            </c:extLst>
          </c:dPt>
          <c:dPt>
            <c:idx val="5"/>
            <c:invertIfNegative val="0"/>
            <c:bubble3D val="0"/>
            <c:spPr>
              <a:solidFill>
                <a:srgbClr val="00B2BF"/>
              </a:solidFill>
              <a:ln>
                <a:noFill/>
              </a:ln>
              <a:effectLst/>
            </c:spPr>
            <c:extLst>
              <c:ext xmlns:c16="http://schemas.microsoft.com/office/drawing/2014/chart" uri="{C3380CC4-5D6E-409C-BE32-E72D297353CC}">
                <c16:uniqueId val="{0000000B-FC91-495B-9608-01A36D253C28}"/>
              </c:ext>
            </c:extLst>
          </c:dPt>
          <c:dPt>
            <c:idx val="6"/>
            <c:invertIfNegative val="0"/>
            <c:bubble3D val="0"/>
            <c:spPr>
              <a:solidFill>
                <a:srgbClr val="A1ABB2"/>
              </a:solidFill>
              <a:ln>
                <a:noFill/>
              </a:ln>
              <a:effectLst/>
            </c:spPr>
            <c:extLst>
              <c:ext xmlns:c16="http://schemas.microsoft.com/office/drawing/2014/chart" uri="{C3380CC4-5D6E-409C-BE32-E72D297353CC}">
                <c16:uniqueId val="{0000000D-FC91-495B-9608-01A36D253C28}"/>
              </c:ext>
            </c:extLst>
          </c:dPt>
          <c:cat>
            <c:numRef>
              <c:f>'8-year data'!$AX$31:$BE$31</c:f>
              <c:numCache>
                <c:formatCode>General</c:formatCode>
                <c:ptCount val="8"/>
                <c:pt idx="0">
                  <c:v>2014</c:v>
                </c:pt>
                <c:pt idx="1">
                  <c:v>2015</c:v>
                </c:pt>
                <c:pt idx="2">
                  <c:v>2016</c:v>
                </c:pt>
                <c:pt idx="3">
                  <c:v>2017</c:v>
                </c:pt>
                <c:pt idx="4">
                  <c:v>2018</c:v>
                </c:pt>
                <c:pt idx="5">
                  <c:v>2019</c:v>
                </c:pt>
                <c:pt idx="6">
                  <c:v>2020</c:v>
                </c:pt>
                <c:pt idx="7">
                  <c:v>2021</c:v>
                </c:pt>
              </c:numCache>
            </c:numRef>
          </c:cat>
          <c:val>
            <c:numRef>
              <c:f>'8-year data'!$AX$32:$BE$32</c:f>
              <c:numCache>
                <c:formatCode>0</c:formatCode>
                <c:ptCount val="8"/>
                <c:pt idx="0">
                  <c:v>203.91025157295437</c:v>
                </c:pt>
                <c:pt idx="1">
                  <c:v>387.95743507014015</c:v>
                </c:pt>
                <c:pt idx="2">
                  <c:v>594.00476054239562</c:v>
                </c:pt>
                <c:pt idx="3">
                  <c:v>512.42643122999539</c:v>
                </c:pt>
                <c:pt idx="4">
                  <c:v>461.13240923444323</c:v>
                </c:pt>
                <c:pt idx="5">
                  <c:v>358.60218002968503</c:v>
                </c:pt>
                <c:pt idx="6">
                  <c:v>373.24369135398922</c:v>
                </c:pt>
                <c:pt idx="7" formatCode="#,##0.0;[Red]\(#,##0.0\)">
                  <c:v>469.84581800000007</c:v>
                </c:pt>
              </c:numCache>
            </c:numRef>
          </c:val>
          <c:extLst>
            <c:ext xmlns:c16="http://schemas.microsoft.com/office/drawing/2014/chart" uri="{C3380CC4-5D6E-409C-BE32-E72D297353CC}">
              <c16:uniqueId val="{0000000E-FC91-495B-9608-01A36D253C28}"/>
            </c:ext>
          </c:extLst>
        </c:ser>
        <c:ser>
          <c:idx val="1"/>
          <c:order val="1"/>
          <c:tx>
            <c:strRef>
              <c:f>'8-year data'!$AW$33</c:f>
              <c:strCache>
                <c:ptCount val="1"/>
                <c:pt idx="0">
                  <c:v>Forecast expenditure</c:v>
                </c:pt>
              </c:strCache>
            </c:strRef>
          </c:tx>
          <c:spPr>
            <a:solidFill>
              <a:schemeClr val="accent2"/>
            </a:solidFill>
            <a:ln>
              <a:noFill/>
            </a:ln>
            <a:effectLst/>
          </c:spPr>
          <c:invertIfNegative val="0"/>
          <c:dPt>
            <c:idx val="6"/>
            <c:invertIfNegative val="0"/>
            <c:bubble3D val="0"/>
            <c:spPr>
              <a:solidFill>
                <a:srgbClr val="A1ABA8"/>
              </a:solidFill>
              <a:ln>
                <a:noFill/>
              </a:ln>
              <a:effectLst/>
            </c:spPr>
            <c:extLst>
              <c:ext xmlns:c16="http://schemas.microsoft.com/office/drawing/2014/chart" uri="{C3380CC4-5D6E-409C-BE32-E72D297353CC}">
                <c16:uniqueId val="{00000010-FC91-495B-9608-01A36D253C28}"/>
              </c:ext>
            </c:extLst>
          </c:dPt>
          <c:dPt>
            <c:idx val="7"/>
            <c:invertIfNegative val="0"/>
            <c:bubble3D val="0"/>
            <c:spPr>
              <a:solidFill>
                <a:srgbClr val="A28F5C"/>
              </a:solidFill>
              <a:ln>
                <a:noFill/>
              </a:ln>
              <a:effectLst/>
            </c:spPr>
            <c:extLst>
              <c:ext xmlns:c16="http://schemas.microsoft.com/office/drawing/2014/chart" uri="{C3380CC4-5D6E-409C-BE32-E72D297353CC}">
                <c16:uniqueId val="{00000012-FC91-495B-9608-01A36D253C28}"/>
              </c:ext>
            </c:extLst>
          </c:dPt>
          <c:cat>
            <c:numRef>
              <c:f>'8-year data'!$AX$31:$BE$31</c:f>
              <c:numCache>
                <c:formatCode>General</c:formatCode>
                <c:ptCount val="8"/>
                <c:pt idx="0">
                  <c:v>2014</c:v>
                </c:pt>
                <c:pt idx="1">
                  <c:v>2015</c:v>
                </c:pt>
                <c:pt idx="2">
                  <c:v>2016</c:v>
                </c:pt>
                <c:pt idx="3">
                  <c:v>2017</c:v>
                </c:pt>
                <c:pt idx="4">
                  <c:v>2018</c:v>
                </c:pt>
                <c:pt idx="5">
                  <c:v>2019</c:v>
                </c:pt>
                <c:pt idx="6">
                  <c:v>2020</c:v>
                </c:pt>
                <c:pt idx="7">
                  <c:v>2021</c:v>
                </c:pt>
              </c:numCache>
            </c:numRef>
          </c:cat>
          <c:val>
            <c:numRef>
              <c:f>'8-year data'!$AX$33:$BE$33</c:f>
              <c:numCache>
                <c:formatCode>General</c:formatCode>
                <c:ptCount val="8"/>
              </c:numCache>
            </c:numRef>
          </c:val>
          <c:extLst>
            <c:ext xmlns:c16="http://schemas.microsoft.com/office/drawing/2014/chart" uri="{C3380CC4-5D6E-409C-BE32-E72D297353CC}">
              <c16:uniqueId val="{00000013-FC91-495B-9608-01A36D253C28}"/>
            </c:ext>
          </c:extLst>
        </c:ser>
        <c:dLbls>
          <c:showLegendKey val="0"/>
          <c:showVal val="0"/>
          <c:showCatName val="0"/>
          <c:showSerName val="0"/>
          <c:showPercent val="0"/>
          <c:showBubbleSize val="0"/>
        </c:dLbls>
        <c:gapWidth val="219"/>
        <c:overlap val="-27"/>
        <c:axId val="813276416"/>
        <c:axId val="813278384"/>
      </c:barChart>
      <c:lineChart>
        <c:grouping val="standard"/>
        <c:varyColors val="0"/>
        <c:ser>
          <c:idx val="2"/>
          <c:order val="2"/>
          <c:tx>
            <c:strRef>
              <c:f>'8-year data'!$AW$34</c:f>
              <c:strCache>
                <c:ptCount val="1"/>
                <c:pt idx="0">
                  <c:v>Adjusted allowance</c:v>
                </c:pt>
              </c:strCache>
            </c:strRef>
          </c:tx>
          <c:spPr>
            <a:ln w="28575" cap="rnd">
              <a:solidFill>
                <a:schemeClr val="tx1"/>
              </a:solidFill>
              <a:round/>
            </a:ln>
            <a:effectLst/>
          </c:spPr>
          <c:marker>
            <c:symbol val="none"/>
          </c:marker>
          <c:cat>
            <c:numRef>
              <c:f>'8-year data'!$AX$31:$BE$31</c:f>
              <c:numCache>
                <c:formatCode>General</c:formatCode>
                <c:ptCount val="8"/>
                <c:pt idx="0">
                  <c:v>2014</c:v>
                </c:pt>
                <c:pt idx="1">
                  <c:v>2015</c:v>
                </c:pt>
                <c:pt idx="2">
                  <c:v>2016</c:v>
                </c:pt>
                <c:pt idx="3">
                  <c:v>2017</c:v>
                </c:pt>
                <c:pt idx="4">
                  <c:v>2018</c:v>
                </c:pt>
                <c:pt idx="5">
                  <c:v>2019</c:v>
                </c:pt>
                <c:pt idx="6">
                  <c:v>2020</c:v>
                </c:pt>
                <c:pt idx="7">
                  <c:v>2021</c:v>
                </c:pt>
              </c:numCache>
            </c:numRef>
          </c:cat>
          <c:val>
            <c:numRef>
              <c:f>'8-year data'!$AX$34:$BE$34</c:f>
              <c:numCache>
                <c:formatCode>0.0</c:formatCode>
                <c:ptCount val="8"/>
                <c:pt idx="0">
                  <c:v>274.0561571000726</c:v>
                </c:pt>
                <c:pt idx="1">
                  <c:v>480.50328618495047</c:v>
                </c:pt>
                <c:pt idx="2">
                  <c:v>910.18120429569535</c:v>
                </c:pt>
                <c:pt idx="3">
                  <c:v>742.74071261450501</c:v>
                </c:pt>
                <c:pt idx="4">
                  <c:v>437.72505369870703</c:v>
                </c:pt>
                <c:pt idx="5">
                  <c:v>237.99745946486667</c:v>
                </c:pt>
                <c:pt idx="6">
                  <c:v>242.52887879404943</c:v>
                </c:pt>
                <c:pt idx="7">
                  <c:v>342.79265703991985</c:v>
                </c:pt>
              </c:numCache>
            </c:numRef>
          </c:val>
          <c:smooth val="0"/>
          <c:extLst>
            <c:ext xmlns:c16="http://schemas.microsoft.com/office/drawing/2014/chart" uri="{C3380CC4-5D6E-409C-BE32-E72D297353CC}">
              <c16:uniqueId val="{00000014-FC91-495B-9608-01A36D253C28}"/>
            </c:ext>
          </c:extLst>
        </c:ser>
        <c:dLbls>
          <c:showLegendKey val="0"/>
          <c:showVal val="0"/>
          <c:showCatName val="0"/>
          <c:showSerName val="0"/>
          <c:showPercent val="0"/>
          <c:showBubbleSize val="0"/>
        </c:dLbls>
        <c:marker val="1"/>
        <c:smooth val="0"/>
        <c:axId val="813276416"/>
        <c:axId val="813278384"/>
      </c:lineChart>
      <c:catAx>
        <c:axId val="813276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3278384"/>
        <c:crosses val="autoZero"/>
        <c:auto val="1"/>
        <c:lblAlgn val="ctr"/>
        <c:lblOffset val="100"/>
        <c:noMultiLvlLbl val="0"/>
      </c:catAx>
      <c:valAx>
        <c:axId val="813278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 2020/21 prices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3276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SPT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'8-year data'!$AH$39</c:f>
              <c:strCache>
                <c:ptCount val="1"/>
                <c:pt idx="0">
                  <c:v>Actual expenditure</c:v>
                </c:pt>
              </c:strCache>
            </c:strRef>
          </c:tx>
          <c:spPr>
            <a:solidFill>
              <a:schemeClr val="accent1"/>
            </a:solidFill>
            <a:ln>
              <a:noFill/>
            </a:ln>
            <a:effectLst/>
          </c:spPr>
          <c:invertIfNegative val="0"/>
          <c:dPt>
            <c:idx val="0"/>
            <c:invertIfNegative val="0"/>
            <c:bubble3D val="0"/>
            <c:spPr>
              <a:solidFill>
                <a:srgbClr val="F57F29"/>
              </a:solidFill>
              <a:ln>
                <a:noFill/>
              </a:ln>
              <a:effectLst/>
            </c:spPr>
            <c:extLst>
              <c:ext xmlns:c16="http://schemas.microsoft.com/office/drawing/2014/chart" uri="{C3380CC4-5D6E-409C-BE32-E72D297353CC}">
                <c16:uniqueId val="{00000001-BFAF-4C44-B678-81C560F57075}"/>
              </c:ext>
            </c:extLst>
          </c:dPt>
          <c:dPt>
            <c:idx val="1"/>
            <c:invertIfNegative val="0"/>
            <c:bubble3D val="0"/>
            <c:spPr>
              <a:solidFill>
                <a:srgbClr val="45216F"/>
              </a:solidFill>
              <a:ln>
                <a:noFill/>
              </a:ln>
              <a:effectLst/>
            </c:spPr>
            <c:extLst>
              <c:ext xmlns:c16="http://schemas.microsoft.com/office/drawing/2014/chart" uri="{C3380CC4-5D6E-409C-BE32-E72D297353CC}">
                <c16:uniqueId val="{00000003-BFAF-4C44-B678-81C560F57075}"/>
              </c:ext>
            </c:extLst>
          </c:dPt>
          <c:dPt>
            <c:idx val="2"/>
            <c:invertIfNegative val="0"/>
            <c:bubble3D val="0"/>
            <c:spPr>
              <a:solidFill>
                <a:srgbClr val="D0B00E"/>
              </a:solidFill>
              <a:ln>
                <a:noFill/>
              </a:ln>
              <a:effectLst/>
            </c:spPr>
            <c:extLst>
              <c:ext xmlns:c16="http://schemas.microsoft.com/office/drawing/2014/chart" uri="{C3380CC4-5D6E-409C-BE32-E72D297353CC}">
                <c16:uniqueId val="{00000005-BFAF-4C44-B678-81C560F57075}"/>
              </c:ext>
            </c:extLst>
          </c:dPt>
          <c:dPt>
            <c:idx val="3"/>
            <c:invertIfNegative val="0"/>
            <c:bubble3D val="0"/>
            <c:spPr>
              <a:solidFill>
                <a:srgbClr val="CD151B"/>
              </a:solidFill>
              <a:ln>
                <a:noFill/>
              </a:ln>
              <a:effectLst/>
            </c:spPr>
            <c:extLst>
              <c:ext xmlns:c16="http://schemas.microsoft.com/office/drawing/2014/chart" uri="{C3380CC4-5D6E-409C-BE32-E72D297353CC}">
                <c16:uniqueId val="{00000007-BFAF-4C44-B678-81C560F57075}"/>
              </c:ext>
            </c:extLst>
          </c:dPt>
          <c:dPt>
            <c:idx val="4"/>
            <c:invertIfNegative val="0"/>
            <c:bubble3D val="0"/>
            <c:spPr>
              <a:solidFill>
                <a:srgbClr val="2062AF"/>
              </a:solidFill>
              <a:ln>
                <a:noFill/>
              </a:ln>
              <a:effectLst/>
            </c:spPr>
            <c:extLst>
              <c:ext xmlns:c16="http://schemas.microsoft.com/office/drawing/2014/chart" uri="{C3380CC4-5D6E-409C-BE32-E72D297353CC}">
                <c16:uniqueId val="{00000009-BFAF-4C44-B678-81C560F57075}"/>
              </c:ext>
            </c:extLst>
          </c:dPt>
          <c:dPt>
            <c:idx val="5"/>
            <c:invertIfNegative val="0"/>
            <c:bubble3D val="0"/>
            <c:spPr>
              <a:solidFill>
                <a:srgbClr val="00B2BF"/>
              </a:solidFill>
              <a:ln>
                <a:noFill/>
              </a:ln>
              <a:effectLst/>
            </c:spPr>
            <c:extLst>
              <c:ext xmlns:c16="http://schemas.microsoft.com/office/drawing/2014/chart" uri="{C3380CC4-5D6E-409C-BE32-E72D297353CC}">
                <c16:uniqueId val="{0000000B-BFAF-4C44-B678-81C560F57075}"/>
              </c:ext>
            </c:extLst>
          </c:dPt>
          <c:dPt>
            <c:idx val="6"/>
            <c:invertIfNegative val="0"/>
            <c:bubble3D val="0"/>
            <c:spPr>
              <a:solidFill>
                <a:srgbClr val="A1ABB2"/>
              </a:solidFill>
              <a:ln>
                <a:noFill/>
              </a:ln>
              <a:effectLst/>
            </c:spPr>
            <c:extLst>
              <c:ext xmlns:c16="http://schemas.microsoft.com/office/drawing/2014/chart" uri="{C3380CC4-5D6E-409C-BE32-E72D297353CC}">
                <c16:uniqueId val="{0000000D-BFAF-4C44-B678-81C560F57075}"/>
              </c:ext>
            </c:extLst>
          </c:dPt>
          <c:cat>
            <c:numRef>
              <c:f>'8-year data'!$AI$38:$AP$38</c:f>
              <c:numCache>
                <c:formatCode>General</c:formatCode>
                <c:ptCount val="8"/>
                <c:pt idx="0">
                  <c:v>2014</c:v>
                </c:pt>
                <c:pt idx="1">
                  <c:v>2015</c:v>
                </c:pt>
                <c:pt idx="2">
                  <c:v>2016</c:v>
                </c:pt>
                <c:pt idx="3">
                  <c:v>2017</c:v>
                </c:pt>
                <c:pt idx="4">
                  <c:v>2018</c:v>
                </c:pt>
                <c:pt idx="5">
                  <c:v>2019</c:v>
                </c:pt>
                <c:pt idx="6">
                  <c:v>2020</c:v>
                </c:pt>
                <c:pt idx="7">
                  <c:v>2021</c:v>
                </c:pt>
              </c:numCache>
            </c:numRef>
          </c:cat>
          <c:val>
            <c:numRef>
              <c:f>'8-year data'!$AI$39:$AP$39</c:f>
              <c:numCache>
                <c:formatCode>0</c:formatCode>
                <c:ptCount val="8"/>
                <c:pt idx="0">
                  <c:v>279.77337500052897</c:v>
                </c:pt>
                <c:pt idx="1">
                  <c:v>320.47272648511466</c:v>
                </c:pt>
                <c:pt idx="2">
                  <c:v>402.87298376250715</c:v>
                </c:pt>
                <c:pt idx="3">
                  <c:v>383.70254107026437</c:v>
                </c:pt>
                <c:pt idx="4">
                  <c:v>255.52675533582692</c:v>
                </c:pt>
                <c:pt idx="5">
                  <c:v>194.88128510250772</c:v>
                </c:pt>
                <c:pt idx="6">
                  <c:v>206.99894754311654</c:v>
                </c:pt>
                <c:pt idx="7" formatCode="#,##0">
                  <c:v>228.10364294385707</c:v>
                </c:pt>
              </c:numCache>
            </c:numRef>
          </c:val>
          <c:extLst>
            <c:ext xmlns:c16="http://schemas.microsoft.com/office/drawing/2014/chart" uri="{C3380CC4-5D6E-409C-BE32-E72D297353CC}">
              <c16:uniqueId val="{0000000E-BFAF-4C44-B678-81C560F57075}"/>
            </c:ext>
          </c:extLst>
        </c:ser>
        <c:ser>
          <c:idx val="1"/>
          <c:order val="1"/>
          <c:tx>
            <c:strRef>
              <c:f>'8-year data'!$AH$40</c:f>
              <c:strCache>
                <c:ptCount val="1"/>
                <c:pt idx="0">
                  <c:v>Forecast expenditure</c:v>
                </c:pt>
              </c:strCache>
            </c:strRef>
          </c:tx>
          <c:spPr>
            <a:solidFill>
              <a:srgbClr val="A1ABA8"/>
            </a:solidFill>
            <a:ln>
              <a:noFill/>
            </a:ln>
            <a:effectLst/>
          </c:spPr>
          <c:invertIfNegative val="0"/>
          <c:dPt>
            <c:idx val="7"/>
            <c:invertIfNegative val="0"/>
            <c:bubble3D val="0"/>
            <c:spPr>
              <a:solidFill>
                <a:srgbClr val="A28F5C"/>
              </a:solidFill>
              <a:ln>
                <a:noFill/>
              </a:ln>
              <a:effectLst/>
            </c:spPr>
            <c:extLst>
              <c:ext xmlns:c16="http://schemas.microsoft.com/office/drawing/2014/chart" uri="{C3380CC4-5D6E-409C-BE32-E72D297353CC}">
                <c16:uniqueId val="{00000010-BFAF-4C44-B678-81C560F57075}"/>
              </c:ext>
            </c:extLst>
          </c:dPt>
          <c:cat>
            <c:numRef>
              <c:f>'8-year data'!$AI$38:$AP$38</c:f>
              <c:numCache>
                <c:formatCode>General</c:formatCode>
                <c:ptCount val="8"/>
                <c:pt idx="0">
                  <c:v>2014</c:v>
                </c:pt>
                <c:pt idx="1">
                  <c:v>2015</c:v>
                </c:pt>
                <c:pt idx="2">
                  <c:v>2016</c:v>
                </c:pt>
                <c:pt idx="3">
                  <c:v>2017</c:v>
                </c:pt>
                <c:pt idx="4">
                  <c:v>2018</c:v>
                </c:pt>
                <c:pt idx="5">
                  <c:v>2019</c:v>
                </c:pt>
                <c:pt idx="6">
                  <c:v>2020</c:v>
                </c:pt>
                <c:pt idx="7">
                  <c:v>2021</c:v>
                </c:pt>
              </c:numCache>
            </c:numRef>
          </c:cat>
          <c:val>
            <c:numRef>
              <c:f>'8-year data'!$AI$40:$AP$40</c:f>
              <c:numCache>
                <c:formatCode>General</c:formatCode>
                <c:ptCount val="8"/>
              </c:numCache>
            </c:numRef>
          </c:val>
          <c:extLst>
            <c:ext xmlns:c16="http://schemas.microsoft.com/office/drawing/2014/chart" uri="{C3380CC4-5D6E-409C-BE32-E72D297353CC}">
              <c16:uniqueId val="{00000011-BFAF-4C44-B678-81C560F57075}"/>
            </c:ext>
          </c:extLst>
        </c:ser>
        <c:dLbls>
          <c:showLegendKey val="0"/>
          <c:showVal val="0"/>
          <c:showCatName val="0"/>
          <c:showSerName val="0"/>
          <c:showPercent val="0"/>
          <c:showBubbleSize val="0"/>
        </c:dLbls>
        <c:gapWidth val="219"/>
        <c:overlap val="-27"/>
        <c:axId val="781826000"/>
        <c:axId val="781822720"/>
      </c:barChart>
      <c:lineChart>
        <c:grouping val="standard"/>
        <c:varyColors val="0"/>
        <c:ser>
          <c:idx val="2"/>
          <c:order val="2"/>
          <c:tx>
            <c:strRef>
              <c:f>'8-year data'!$AH$41</c:f>
              <c:strCache>
                <c:ptCount val="1"/>
                <c:pt idx="0">
                  <c:v>Adjusted allowance</c:v>
                </c:pt>
              </c:strCache>
            </c:strRef>
          </c:tx>
          <c:spPr>
            <a:ln w="28575" cap="rnd">
              <a:solidFill>
                <a:schemeClr val="tx1"/>
              </a:solidFill>
              <a:round/>
            </a:ln>
            <a:effectLst/>
          </c:spPr>
          <c:marker>
            <c:symbol val="none"/>
          </c:marker>
          <c:cat>
            <c:numRef>
              <c:f>'8-year data'!$AI$38:$AP$38</c:f>
              <c:numCache>
                <c:formatCode>General</c:formatCode>
                <c:ptCount val="8"/>
                <c:pt idx="0">
                  <c:v>2014</c:v>
                </c:pt>
                <c:pt idx="1">
                  <c:v>2015</c:v>
                </c:pt>
                <c:pt idx="2">
                  <c:v>2016</c:v>
                </c:pt>
                <c:pt idx="3">
                  <c:v>2017</c:v>
                </c:pt>
                <c:pt idx="4">
                  <c:v>2018</c:v>
                </c:pt>
                <c:pt idx="5">
                  <c:v>2019</c:v>
                </c:pt>
                <c:pt idx="6">
                  <c:v>2020</c:v>
                </c:pt>
                <c:pt idx="7">
                  <c:v>2021</c:v>
                </c:pt>
              </c:numCache>
            </c:numRef>
          </c:cat>
          <c:val>
            <c:numRef>
              <c:f>'8-year data'!$AI$41:$AP$41</c:f>
              <c:numCache>
                <c:formatCode>0.0</c:formatCode>
                <c:ptCount val="8"/>
                <c:pt idx="0">
                  <c:v>395.00193164384314</c:v>
                </c:pt>
                <c:pt idx="1">
                  <c:v>454.37786938340327</c:v>
                </c:pt>
                <c:pt idx="2">
                  <c:v>359.73865774387338</c:v>
                </c:pt>
                <c:pt idx="3">
                  <c:v>260.85420925826674</c:v>
                </c:pt>
                <c:pt idx="4">
                  <c:v>289.69942026647169</c:v>
                </c:pt>
                <c:pt idx="5">
                  <c:v>297.25683051507855</c:v>
                </c:pt>
                <c:pt idx="6">
                  <c:v>248.15450961591392</c:v>
                </c:pt>
                <c:pt idx="7">
                  <c:v>129.42825516590372</c:v>
                </c:pt>
              </c:numCache>
            </c:numRef>
          </c:val>
          <c:smooth val="0"/>
          <c:extLst>
            <c:ext xmlns:c16="http://schemas.microsoft.com/office/drawing/2014/chart" uri="{C3380CC4-5D6E-409C-BE32-E72D297353CC}">
              <c16:uniqueId val="{00000012-BFAF-4C44-B678-81C560F57075}"/>
            </c:ext>
          </c:extLst>
        </c:ser>
        <c:dLbls>
          <c:showLegendKey val="0"/>
          <c:showVal val="0"/>
          <c:showCatName val="0"/>
          <c:showSerName val="0"/>
          <c:showPercent val="0"/>
          <c:showBubbleSize val="0"/>
        </c:dLbls>
        <c:marker val="1"/>
        <c:smooth val="0"/>
        <c:axId val="781736128"/>
        <c:axId val="781738752"/>
      </c:lineChart>
      <c:catAx>
        <c:axId val="78182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1822720"/>
        <c:crosses val="autoZero"/>
        <c:auto val="1"/>
        <c:lblAlgn val="ctr"/>
        <c:lblOffset val="100"/>
        <c:noMultiLvlLbl val="0"/>
      </c:catAx>
      <c:valAx>
        <c:axId val="7818227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a:t>
                </a:r>
                <a:r>
                  <a:rPr lang="en-GB" baseline="0"/>
                  <a:t> 2020/21 prices</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1826000"/>
        <c:crosses val="autoZero"/>
        <c:crossBetween val="between"/>
      </c:valAx>
      <c:valAx>
        <c:axId val="781738752"/>
        <c:scaling>
          <c:orientation val="minMax"/>
        </c:scaling>
        <c:delete val="1"/>
        <c:axPos val="r"/>
        <c:numFmt formatCode="0.0" sourceLinked="1"/>
        <c:majorTickMark val="out"/>
        <c:minorTickMark val="none"/>
        <c:tickLblPos val="nextTo"/>
        <c:crossAx val="781736128"/>
        <c:crosses val="max"/>
        <c:crossBetween val="between"/>
      </c:valAx>
      <c:catAx>
        <c:axId val="781736128"/>
        <c:scaling>
          <c:orientation val="minMax"/>
        </c:scaling>
        <c:delete val="1"/>
        <c:axPos val="b"/>
        <c:numFmt formatCode="General" sourceLinked="1"/>
        <c:majorTickMark val="out"/>
        <c:minorTickMark val="none"/>
        <c:tickLblPos val="nextTo"/>
        <c:crossAx val="781738752"/>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943597400483012E-2"/>
          <c:y val="4.9335193261879115E-2"/>
          <c:w val="0.88906662014766125"/>
          <c:h val="0.74402486182967531"/>
        </c:manualLayout>
      </c:layout>
      <c:barChart>
        <c:barDir val="col"/>
        <c:grouping val="clustered"/>
        <c:varyColors val="0"/>
        <c:ser>
          <c:idx val="0"/>
          <c:order val="0"/>
          <c:tx>
            <c:strRef>
              <c:f>'8-year data'!$BP$6</c:f>
              <c:strCache>
                <c:ptCount val="1"/>
                <c:pt idx="0">
                  <c:v>Actual expenditure</c:v>
                </c:pt>
              </c:strCache>
            </c:strRef>
          </c:tx>
          <c:spPr>
            <a:solidFill>
              <a:schemeClr val="accent1"/>
            </a:solidFill>
            <a:ln>
              <a:noFill/>
            </a:ln>
            <a:effectLst/>
          </c:spPr>
          <c:invertIfNegative val="0"/>
          <c:dPt>
            <c:idx val="0"/>
            <c:invertIfNegative val="0"/>
            <c:bubble3D val="0"/>
            <c:spPr>
              <a:solidFill>
                <a:srgbClr val="F57F29"/>
              </a:solidFill>
              <a:ln>
                <a:noFill/>
              </a:ln>
              <a:effectLst/>
            </c:spPr>
            <c:extLst>
              <c:ext xmlns:c16="http://schemas.microsoft.com/office/drawing/2014/chart" uri="{C3380CC4-5D6E-409C-BE32-E72D297353CC}">
                <c16:uniqueId val="{00000001-B30A-47B4-A2BE-77EA437BD7CE}"/>
              </c:ext>
            </c:extLst>
          </c:dPt>
          <c:dPt>
            <c:idx val="1"/>
            <c:invertIfNegative val="0"/>
            <c:bubble3D val="0"/>
            <c:spPr>
              <a:solidFill>
                <a:srgbClr val="45216F"/>
              </a:solidFill>
              <a:ln>
                <a:noFill/>
              </a:ln>
              <a:effectLst/>
            </c:spPr>
            <c:extLst>
              <c:ext xmlns:c16="http://schemas.microsoft.com/office/drawing/2014/chart" uri="{C3380CC4-5D6E-409C-BE32-E72D297353CC}">
                <c16:uniqueId val="{00000003-B30A-47B4-A2BE-77EA437BD7CE}"/>
              </c:ext>
            </c:extLst>
          </c:dPt>
          <c:dPt>
            <c:idx val="2"/>
            <c:invertIfNegative val="0"/>
            <c:bubble3D val="0"/>
            <c:spPr>
              <a:solidFill>
                <a:srgbClr val="D0B00E"/>
              </a:solidFill>
              <a:ln>
                <a:noFill/>
              </a:ln>
              <a:effectLst/>
            </c:spPr>
            <c:extLst>
              <c:ext xmlns:c16="http://schemas.microsoft.com/office/drawing/2014/chart" uri="{C3380CC4-5D6E-409C-BE32-E72D297353CC}">
                <c16:uniqueId val="{00000005-B30A-47B4-A2BE-77EA437BD7CE}"/>
              </c:ext>
            </c:extLst>
          </c:dPt>
          <c:dPt>
            <c:idx val="3"/>
            <c:invertIfNegative val="0"/>
            <c:bubble3D val="0"/>
            <c:spPr>
              <a:solidFill>
                <a:srgbClr val="CD1543"/>
              </a:solidFill>
              <a:ln>
                <a:noFill/>
              </a:ln>
              <a:effectLst/>
            </c:spPr>
            <c:extLst>
              <c:ext xmlns:c16="http://schemas.microsoft.com/office/drawing/2014/chart" uri="{C3380CC4-5D6E-409C-BE32-E72D297353CC}">
                <c16:uniqueId val="{00000007-B30A-47B4-A2BE-77EA437BD7CE}"/>
              </c:ext>
            </c:extLst>
          </c:dPt>
          <c:dPt>
            <c:idx val="4"/>
            <c:invertIfNegative val="0"/>
            <c:bubble3D val="0"/>
            <c:spPr>
              <a:solidFill>
                <a:srgbClr val="2062AF"/>
              </a:solidFill>
              <a:ln>
                <a:noFill/>
              </a:ln>
              <a:effectLst/>
            </c:spPr>
            <c:extLst>
              <c:ext xmlns:c16="http://schemas.microsoft.com/office/drawing/2014/chart" uri="{C3380CC4-5D6E-409C-BE32-E72D297353CC}">
                <c16:uniqueId val="{00000009-B30A-47B4-A2BE-77EA437BD7CE}"/>
              </c:ext>
            </c:extLst>
          </c:dPt>
          <c:dPt>
            <c:idx val="5"/>
            <c:invertIfNegative val="0"/>
            <c:bubble3D val="0"/>
            <c:spPr>
              <a:solidFill>
                <a:srgbClr val="00B2BF"/>
              </a:solidFill>
              <a:ln>
                <a:noFill/>
              </a:ln>
              <a:effectLst/>
            </c:spPr>
            <c:extLst>
              <c:ext xmlns:c16="http://schemas.microsoft.com/office/drawing/2014/chart" uri="{C3380CC4-5D6E-409C-BE32-E72D297353CC}">
                <c16:uniqueId val="{0000000B-B30A-47B4-A2BE-77EA437BD7CE}"/>
              </c:ext>
            </c:extLst>
          </c:dPt>
          <c:dPt>
            <c:idx val="6"/>
            <c:invertIfNegative val="0"/>
            <c:bubble3D val="0"/>
            <c:spPr>
              <a:solidFill>
                <a:srgbClr val="A1ABB2"/>
              </a:solidFill>
              <a:ln>
                <a:noFill/>
              </a:ln>
              <a:effectLst/>
            </c:spPr>
            <c:extLst>
              <c:ext xmlns:c16="http://schemas.microsoft.com/office/drawing/2014/chart" uri="{C3380CC4-5D6E-409C-BE32-E72D297353CC}">
                <c16:uniqueId val="{0000000D-B30A-47B4-A2BE-77EA437BD7CE}"/>
              </c:ext>
            </c:extLst>
          </c:dPt>
          <c:cat>
            <c:numRef>
              <c:f>'8-year data'!$AX$5:$BE$5</c:f>
              <c:numCache>
                <c:formatCode>General</c:formatCode>
                <c:ptCount val="8"/>
                <c:pt idx="0">
                  <c:v>2014</c:v>
                </c:pt>
                <c:pt idx="1">
                  <c:v>2015</c:v>
                </c:pt>
                <c:pt idx="2">
                  <c:v>2016</c:v>
                </c:pt>
                <c:pt idx="3">
                  <c:v>2017</c:v>
                </c:pt>
                <c:pt idx="4">
                  <c:v>2018</c:v>
                </c:pt>
                <c:pt idx="5">
                  <c:v>2019</c:v>
                </c:pt>
                <c:pt idx="6">
                  <c:v>2020</c:v>
                </c:pt>
                <c:pt idx="7">
                  <c:v>2021</c:v>
                </c:pt>
              </c:numCache>
            </c:numRef>
          </c:cat>
          <c:val>
            <c:numRef>
              <c:f>'8-year data'!$BQ$6:$BX$6</c:f>
              <c:numCache>
                <c:formatCode>0</c:formatCode>
                <c:ptCount val="8"/>
                <c:pt idx="0">
                  <c:v>2126.12863142182</c:v>
                </c:pt>
                <c:pt idx="1">
                  <c:v>1941.6276456373444</c:v>
                </c:pt>
                <c:pt idx="2">
                  <c:v>2321.866619633025</c:v>
                </c:pt>
                <c:pt idx="3">
                  <c:v>2136.4295766573296</c:v>
                </c:pt>
                <c:pt idx="4">
                  <c:v>1858.4381785852886</c:v>
                </c:pt>
                <c:pt idx="5">
                  <c:v>1650.117980297983</c:v>
                </c:pt>
                <c:pt idx="6">
                  <c:v>1657.1365265064019</c:v>
                </c:pt>
                <c:pt idx="7">
                  <c:v>1855.8002807532334</c:v>
                </c:pt>
              </c:numCache>
            </c:numRef>
          </c:val>
          <c:extLst>
            <c:ext xmlns:c16="http://schemas.microsoft.com/office/drawing/2014/chart" uri="{C3380CC4-5D6E-409C-BE32-E72D297353CC}">
              <c16:uniqueId val="{0000000E-B30A-47B4-A2BE-77EA437BD7CE}"/>
            </c:ext>
          </c:extLst>
        </c:ser>
        <c:dLbls>
          <c:showLegendKey val="0"/>
          <c:showVal val="0"/>
          <c:showCatName val="0"/>
          <c:showSerName val="0"/>
          <c:showPercent val="0"/>
          <c:showBubbleSize val="0"/>
        </c:dLbls>
        <c:gapWidth val="150"/>
        <c:axId val="957595680"/>
        <c:axId val="957596008"/>
        <c:extLst>
          <c:ext xmlns:c15="http://schemas.microsoft.com/office/drawing/2012/chart" uri="{02D57815-91ED-43cb-92C2-25804820EDAC}">
            <c15:filteredBarSeries>
              <c15:ser>
                <c:idx val="1"/>
                <c:order val="1"/>
                <c:tx>
                  <c:strRef>
                    <c:extLst>
                      <c:ext uri="{02D57815-91ED-43cb-92C2-25804820EDAC}">
                        <c15:formulaRef>
                          <c15:sqref>'8-year data'!$BP$7</c15:sqref>
                        </c15:formulaRef>
                      </c:ext>
                    </c:extLst>
                    <c:strCache>
                      <c:ptCount val="1"/>
                      <c:pt idx="0">
                        <c:v>Forecast expenditure</c:v>
                      </c:pt>
                    </c:strCache>
                  </c:strRef>
                </c:tx>
                <c:spPr>
                  <a:solidFill>
                    <a:schemeClr val="accent2"/>
                  </a:solidFill>
                  <a:ln>
                    <a:noFill/>
                  </a:ln>
                  <a:effectLst/>
                </c:spPr>
                <c:invertIfNegative val="0"/>
                <c:dPt>
                  <c:idx val="6"/>
                  <c:invertIfNegative val="0"/>
                  <c:bubble3D val="0"/>
                  <c:spPr>
                    <a:solidFill>
                      <a:srgbClr val="A1ABA8"/>
                    </a:solidFill>
                    <a:ln>
                      <a:noFill/>
                    </a:ln>
                    <a:effectLst/>
                  </c:spPr>
                  <c:extLst>
                    <c:ext xmlns:c16="http://schemas.microsoft.com/office/drawing/2014/chart" uri="{C3380CC4-5D6E-409C-BE32-E72D297353CC}">
                      <c16:uniqueId val="{00000010-B30A-47B4-A2BE-77EA437BD7CE}"/>
                    </c:ext>
                  </c:extLst>
                </c:dPt>
                <c:dPt>
                  <c:idx val="7"/>
                  <c:invertIfNegative val="0"/>
                  <c:bubble3D val="0"/>
                  <c:spPr>
                    <a:solidFill>
                      <a:srgbClr val="A28F5C"/>
                    </a:solidFill>
                    <a:ln>
                      <a:noFill/>
                    </a:ln>
                    <a:effectLst/>
                  </c:spPr>
                  <c:extLst>
                    <c:ext xmlns:c16="http://schemas.microsoft.com/office/drawing/2014/chart" uri="{C3380CC4-5D6E-409C-BE32-E72D297353CC}">
                      <c16:uniqueId val="{00000012-B30A-47B4-A2BE-77EA437BD7CE}"/>
                    </c:ext>
                  </c:extLst>
                </c:dPt>
                <c:cat>
                  <c:numRef>
                    <c:extLst>
                      <c:ext uri="{02D57815-91ED-43cb-92C2-25804820EDAC}">
                        <c15:formulaRef>
                          <c15:sqref>'8-year data'!$AX$5:$BE$5</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c:ext uri="{02D57815-91ED-43cb-92C2-25804820EDAC}">
                        <c15:formulaRef>
                          <c15:sqref>'8-year data'!$BQ$7:$BX$7</c15:sqref>
                        </c15:formulaRef>
                      </c:ext>
                    </c:extLst>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3-B30A-47B4-A2BE-77EA437BD7CE}"/>
                  </c:ext>
                </c:extLst>
              </c15:ser>
            </c15:filteredBarSeries>
          </c:ext>
        </c:extLst>
      </c:barChart>
      <c:lineChart>
        <c:grouping val="standard"/>
        <c:varyColors val="0"/>
        <c:ser>
          <c:idx val="2"/>
          <c:order val="2"/>
          <c:tx>
            <c:strRef>
              <c:f>'8-year data'!$BP$8</c:f>
              <c:strCache>
                <c:ptCount val="1"/>
                <c:pt idx="0">
                  <c:v>Adjusted allowance</c:v>
                </c:pt>
              </c:strCache>
            </c:strRef>
          </c:tx>
          <c:spPr>
            <a:ln w="28575" cap="rnd">
              <a:solidFill>
                <a:schemeClr val="tx1"/>
              </a:solidFill>
              <a:round/>
            </a:ln>
            <a:effectLst/>
          </c:spPr>
          <c:marker>
            <c:symbol val="none"/>
          </c:marker>
          <c:cat>
            <c:numRef>
              <c:f>'8-year data'!$AX$5:$BE$5</c:f>
              <c:numCache>
                <c:formatCode>General</c:formatCode>
                <c:ptCount val="8"/>
                <c:pt idx="0">
                  <c:v>2014</c:v>
                </c:pt>
                <c:pt idx="1">
                  <c:v>2015</c:v>
                </c:pt>
                <c:pt idx="2">
                  <c:v>2016</c:v>
                </c:pt>
                <c:pt idx="3">
                  <c:v>2017</c:v>
                </c:pt>
                <c:pt idx="4">
                  <c:v>2018</c:v>
                </c:pt>
                <c:pt idx="5">
                  <c:v>2019</c:v>
                </c:pt>
                <c:pt idx="6">
                  <c:v>2020</c:v>
                </c:pt>
                <c:pt idx="7">
                  <c:v>2021</c:v>
                </c:pt>
              </c:numCache>
            </c:numRef>
          </c:cat>
          <c:val>
            <c:numRef>
              <c:f>'8-year data'!$BQ$8:$BX$8</c:f>
              <c:numCache>
                <c:formatCode>0</c:formatCode>
                <c:ptCount val="8"/>
                <c:pt idx="0">
                  <c:v>2834.2324924687018</c:v>
                </c:pt>
                <c:pt idx="1">
                  <c:v>2807.6487085159242</c:v>
                </c:pt>
                <c:pt idx="2">
                  <c:v>2819.5921967704953</c:v>
                </c:pt>
                <c:pt idx="3">
                  <c:v>2423.3208596524782</c:v>
                </c:pt>
                <c:pt idx="4">
                  <c:v>2119.0682607438903</c:v>
                </c:pt>
                <c:pt idx="5">
                  <c:v>2194.7555405588901</c:v>
                </c:pt>
                <c:pt idx="6">
                  <c:v>2067.8363857986483</c:v>
                </c:pt>
                <c:pt idx="7">
                  <c:v>2118.1244088181375</c:v>
                </c:pt>
              </c:numCache>
            </c:numRef>
          </c:val>
          <c:smooth val="0"/>
          <c:extLst>
            <c:ext xmlns:c16="http://schemas.microsoft.com/office/drawing/2014/chart" uri="{C3380CC4-5D6E-409C-BE32-E72D297353CC}">
              <c16:uniqueId val="{00000014-B30A-47B4-A2BE-77EA437BD7CE}"/>
            </c:ext>
          </c:extLst>
        </c:ser>
        <c:dLbls>
          <c:showLegendKey val="0"/>
          <c:showVal val="0"/>
          <c:showCatName val="0"/>
          <c:showSerName val="0"/>
          <c:showPercent val="0"/>
          <c:showBubbleSize val="0"/>
        </c:dLbls>
        <c:marker val="1"/>
        <c:smooth val="0"/>
        <c:axId val="957595680"/>
        <c:axId val="957596008"/>
      </c:lineChart>
      <c:catAx>
        <c:axId val="957595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957596008"/>
        <c:crosses val="autoZero"/>
        <c:auto val="1"/>
        <c:lblAlgn val="ctr"/>
        <c:lblOffset val="100"/>
        <c:noMultiLvlLbl val="0"/>
      </c:catAx>
      <c:valAx>
        <c:axId val="957596008"/>
        <c:scaling>
          <c:orientation val="minMax"/>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a:t>£m, 2020/21 prices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957595680"/>
        <c:crosses val="autoZero"/>
        <c:crossBetween val="between"/>
      </c:valAx>
      <c:spPr>
        <a:noFill/>
        <a:ln>
          <a:noFill/>
        </a:ln>
        <a:effectLst/>
      </c:spPr>
    </c:plotArea>
    <c:legend>
      <c:legendPos val="b"/>
      <c:layout>
        <c:manualLayout>
          <c:xMode val="edge"/>
          <c:yMode val="edge"/>
          <c:x val="0.13179463300356528"/>
          <c:y val="0.86691450568631567"/>
          <c:w val="0.69249634567052176"/>
          <c:h val="0.13308549431368435"/>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450690544945995E-2"/>
          <c:y val="3.3072511872901555E-2"/>
          <c:w val="0.90388493397997616"/>
          <c:h val="0.81124397696174033"/>
        </c:manualLayout>
      </c:layout>
      <c:barChart>
        <c:barDir val="col"/>
        <c:grouping val="clustered"/>
        <c:varyColors val="0"/>
        <c:ser>
          <c:idx val="0"/>
          <c:order val="0"/>
          <c:tx>
            <c:strRef>
              <c:f>'8-year data'!$BP$32</c:f>
              <c:strCache>
                <c:ptCount val="1"/>
                <c:pt idx="0">
                  <c:v>Actual expenditure</c:v>
                </c:pt>
              </c:strCache>
            </c:strRef>
          </c:tx>
          <c:spPr>
            <a:solidFill>
              <a:schemeClr val="accent1"/>
            </a:solidFill>
            <a:ln>
              <a:noFill/>
            </a:ln>
            <a:effectLst/>
          </c:spPr>
          <c:invertIfNegative val="0"/>
          <c:dPt>
            <c:idx val="0"/>
            <c:invertIfNegative val="0"/>
            <c:bubble3D val="0"/>
            <c:spPr>
              <a:solidFill>
                <a:srgbClr val="F57F29"/>
              </a:solidFill>
              <a:ln>
                <a:noFill/>
              </a:ln>
              <a:effectLst/>
            </c:spPr>
            <c:extLst>
              <c:ext xmlns:c16="http://schemas.microsoft.com/office/drawing/2014/chart" uri="{C3380CC4-5D6E-409C-BE32-E72D297353CC}">
                <c16:uniqueId val="{00000001-1807-4DFC-B612-4091C4247889}"/>
              </c:ext>
            </c:extLst>
          </c:dPt>
          <c:dPt>
            <c:idx val="1"/>
            <c:invertIfNegative val="0"/>
            <c:bubble3D val="0"/>
            <c:spPr>
              <a:solidFill>
                <a:srgbClr val="45216F"/>
              </a:solidFill>
              <a:ln>
                <a:noFill/>
              </a:ln>
              <a:effectLst/>
            </c:spPr>
            <c:extLst>
              <c:ext xmlns:c16="http://schemas.microsoft.com/office/drawing/2014/chart" uri="{C3380CC4-5D6E-409C-BE32-E72D297353CC}">
                <c16:uniqueId val="{00000003-1807-4DFC-B612-4091C4247889}"/>
              </c:ext>
            </c:extLst>
          </c:dPt>
          <c:dPt>
            <c:idx val="2"/>
            <c:invertIfNegative val="0"/>
            <c:bubble3D val="0"/>
            <c:spPr>
              <a:solidFill>
                <a:srgbClr val="D0B00E"/>
              </a:solidFill>
              <a:ln>
                <a:noFill/>
              </a:ln>
              <a:effectLst/>
            </c:spPr>
            <c:extLst>
              <c:ext xmlns:c16="http://schemas.microsoft.com/office/drawing/2014/chart" uri="{C3380CC4-5D6E-409C-BE32-E72D297353CC}">
                <c16:uniqueId val="{00000005-1807-4DFC-B612-4091C4247889}"/>
              </c:ext>
            </c:extLst>
          </c:dPt>
          <c:dPt>
            <c:idx val="3"/>
            <c:invertIfNegative val="0"/>
            <c:bubble3D val="0"/>
            <c:spPr>
              <a:solidFill>
                <a:srgbClr val="CD151B"/>
              </a:solidFill>
              <a:ln>
                <a:noFill/>
              </a:ln>
              <a:effectLst/>
            </c:spPr>
            <c:extLst>
              <c:ext xmlns:c16="http://schemas.microsoft.com/office/drawing/2014/chart" uri="{C3380CC4-5D6E-409C-BE32-E72D297353CC}">
                <c16:uniqueId val="{00000007-1807-4DFC-B612-4091C4247889}"/>
              </c:ext>
            </c:extLst>
          </c:dPt>
          <c:dPt>
            <c:idx val="4"/>
            <c:invertIfNegative val="0"/>
            <c:bubble3D val="0"/>
            <c:spPr>
              <a:solidFill>
                <a:srgbClr val="2062AF"/>
              </a:solidFill>
              <a:ln>
                <a:noFill/>
              </a:ln>
              <a:effectLst/>
            </c:spPr>
            <c:extLst>
              <c:ext xmlns:c16="http://schemas.microsoft.com/office/drawing/2014/chart" uri="{C3380CC4-5D6E-409C-BE32-E72D297353CC}">
                <c16:uniqueId val="{00000009-1807-4DFC-B612-4091C4247889}"/>
              </c:ext>
            </c:extLst>
          </c:dPt>
          <c:dPt>
            <c:idx val="5"/>
            <c:invertIfNegative val="0"/>
            <c:bubble3D val="0"/>
            <c:spPr>
              <a:solidFill>
                <a:srgbClr val="00B2BF"/>
              </a:solidFill>
              <a:ln>
                <a:noFill/>
              </a:ln>
              <a:effectLst/>
            </c:spPr>
            <c:extLst>
              <c:ext xmlns:c16="http://schemas.microsoft.com/office/drawing/2014/chart" uri="{C3380CC4-5D6E-409C-BE32-E72D297353CC}">
                <c16:uniqueId val="{0000000B-1807-4DFC-B612-4091C4247889}"/>
              </c:ext>
            </c:extLst>
          </c:dPt>
          <c:dPt>
            <c:idx val="6"/>
            <c:invertIfNegative val="0"/>
            <c:bubble3D val="0"/>
            <c:spPr>
              <a:solidFill>
                <a:srgbClr val="A1ABB2"/>
              </a:solidFill>
              <a:ln>
                <a:noFill/>
              </a:ln>
              <a:effectLst/>
            </c:spPr>
            <c:extLst>
              <c:ext xmlns:c16="http://schemas.microsoft.com/office/drawing/2014/chart" uri="{C3380CC4-5D6E-409C-BE32-E72D297353CC}">
                <c16:uniqueId val="{0000000D-1807-4DFC-B612-4091C4247889}"/>
              </c:ext>
            </c:extLst>
          </c:dPt>
          <c:cat>
            <c:numRef>
              <c:f>'8-year data'!$AX$31:$BE$31</c:f>
              <c:numCache>
                <c:formatCode>General</c:formatCode>
                <c:ptCount val="8"/>
                <c:pt idx="0">
                  <c:v>2014</c:v>
                </c:pt>
                <c:pt idx="1">
                  <c:v>2015</c:v>
                </c:pt>
                <c:pt idx="2">
                  <c:v>2016</c:v>
                </c:pt>
                <c:pt idx="3">
                  <c:v>2017</c:v>
                </c:pt>
                <c:pt idx="4">
                  <c:v>2018</c:v>
                </c:pt>
                <c:pt idx="5">
                  <c:v>2019</c:v>
                </c:pt>
                <c:pt idx="6">
                  <c:v>2020</c:v>
                </c:pt>
                <c:pt idx="7">
                  <c:v>2021</c:v>
                </c:pt>
              </c:numCache>
            </c:numRef>
          </c:cat>
          <c:val>
            <c:numRef>
              <c:f>'8-year data'!$BQ$32:$BX$32</c:f>
              <c:numCache>
                <c:formatCode>0</c:formatCode>
                <c:ptCount val="8"/>
                <c:pt idx="0">
                  <c:v>2126.12863142182</c:v>
                </c:pt>
                <c:pt idx="1">
                  <c:v>1941.6276456373444</c:v>
                </c:pt>
                <c:pt idx="2">
                  <c:v>2321.866619633025</c:v>
                </c:pt>
                <c:pt idx="3">
                  <c:v>2136.4295766573296</c:v>
                </c:pt>
                <c:pt idx="4">
                  <c:v>1858.4381785852886</c:v>
                </c:pt>
                <c:pt idx="5">
                  <c:v>1650.117980297983</c:v>
                </c:pt>
                <c:pt idx="6">
                  <c:v>1657.1365265064019</c:v>
                </c:pt>
                <c:pt idx="7">
                  <c:v>1855.8002807532332</c:v>
                </c:pt>
              </c:numCache>
            </c:numRef>
          </c:val>
          <c:extLst>
            <c:ext xmlns:c16="http://schemas.microsoft.com/office/drawing/2014/chart" uri="{C3380CC4-5D6E-409C-BE32-E72D297353CC}">
              <c16:uniqueId val="{0000000E-1807-4DFC-B612-4091C4247889}"/>
            </c:ext>
          </c:extLst>
        </c:ser>
        <c:dLbls>
          <c:showLegendKey val="0"/>
          <c:showVal val="0"/>
          <c:showCatName val="0"/>
          <c:showSerName val="0"/>
          <c:showPercent val="0"/>
          <c:showBubbleSize val="0"/>
        </c:dLbls>
        <c:gapWidth val="219"/>
        <c:overlap val="-27"/>
        <c:axId val="813276416"/>
        <c:axId val="813278384"/>
        <c:extLst>
          <c:ext xmlns:c15="http://schemas.microsoft.com/office/drawing/2012/chart" uri="{02D57815-91ED-43cb-92C2-25804820EDAC}">
            <c15:filteredBarSeries>
              <c15:ser>
                <c:idx val="1"/>
                <c:order val="1"/>
                <c:tx>
                  <c:strRef>
                    <c:extLst>
                      <c:ext uri="{02D57815-91ED-43cb-92C2-25804820EDAC}">
                        <c15:formulaRef>
                          <c15:sqref>'8-year data'!$BP$33</c15:sqref>
                        </c15:formulaRef>
                      </c:ext>
                    </c:extLst>
                    <c:strCache>
                      <c:ptCount val="1"/>
                      <c:pt idx="0">
                        <c:v>Forecast expenditure</c:v>
                      </c:pt>
                    </c:strCache>
                  </c:strRef>
                </c:tx>
                <c:spPr>
                  <a:solidFill>
                    <a:schemeClr val="accent2"/>
                  </a:solidFill>
                  <a:ln>
                    <a:noFill/>
                  </a:ln>
                  <a:effectLst/>
                </c:spPr>
                <c:invertIfNegative val="0"/>
                <c:dPt>
                  <c:idx val="6"/>
                  <c:invertIfNegative val="0"/>
                  <c:bubble3D val="0"/>
                  <c:spPr>
                    <a:solidFill>
                      <a:srgbClr val="A1ABA8"/>
                    </a:solidFill>
                    <a:ln>
                      <a:noFill/>
                    </a:ln>
                    <a:effectLst/>
                  </c:spPr>
                  <c:extLst>
                    <c:ext xmlns:c16="http://schemas.microsoft.com/office/drawing/2014/chart" uri="{C3380CC4-5D6E-409C-BE32-E72D297353CC}">
                      <c16:uniqueId val="{00000010-1807-4DFC-B612-4091C4247889}"/>
                    </c:ext>
                  </c:extLst>
                </c:dPt>
                <c:dPt>
                  <c:idx val="7"/>
                  <c:invertIfNegative val="0"/>
                  <c:bubble3D val="0"/>
                  <c:spPr>
                    <a:solidFill>
                      <a:srgbClr val="A28F5C"/>
                    </a:solidFill>
                    <a:ln>
                      <a:noFill/>
                    </a:ln>
                    <a:effectLst/>
                  </c:spPr>
                  <c:extLst>
                    <c:ext xmlns:c16="http://schemas.microsoft.com/office/drawing/2014/chart" uri="{C3380CC4-5D6E-409C-BE32-E72D297353CC}">
                      <c16:uniqueId val="{00000012-1807-4DFC-B612-4091C4247889}"/>
                    </c:ext>
                  </c:extLst>
                </c:dPt>
                <c:cat>
                  <c:numRef>
                    <c:extLst>
                      <c:ext uri="{02D57815-91ED-43cb-92C2-25804820EDAC}">
                        <c15:formulaRef>
                          <c15:sqref>'8-year data'!$AX$31:$BE$31</c15:sqref>
                        </c15:formulaRef>
                      </c:ext>
                    </c:extLst>
                    <c:numCache>
                      <c:formatCode>General</c:formatCode>
                      <c:ptCount val="8"/>
                      <c:pt idx="0">
                        <c:v>2014</c:v>
                      </c:pt>
                      <c:pt idx="1">
                        <c:v>2015</c:v>
                      </c:pt>
                      <c:pt idx="2">
                        <c:v>2016</c:v>
                      </c:pt>
                      <c:pt idx="3">
                        <c:v>2017</c:v>
                      </c:pt>
                      <c:pt idx="4">
                        <c:v>2018</c:v>
                      </c:pt>
                      <c:pt idx="5">
                        <c:v>2019</c:v>
                      </c:pt>
                      <c:pt idx="6">
                        <c:v>2020</c:v>
                      </c:pt>
                      <c:pt idx="7">
                        <c:v>2021</c:v>
                      </c:pt>
                    </c:numCache>
                  </c:numRef>
                </c:cat>
                <c:val>
                  <c:numRef>
                    <c:extLst>
                      <c:ext uri="{02D57815-91ED-43cb-92C2-25804820EDAC}">
                        <c15:formulaRef>
                          <c15:sqref>'8-year data'!$BQ$33:$BX$33</c15:sqref>
                        </c15:formulaRef>
                      </c:ext>
                    </c:extLst>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3-1807-4DFC-B612-4091C4247889}"/>
                  </c:ext>
                </c:extLst>
              </c15:ser>
            </c15:filteredBarSeries>
          </c:ext>
        </c:extLst>
      </c:barChart>
      <c:lineChart>
        <c:grouping val="standard"/>
        <c:varyColors val="0"/>
        <c:ser>
          <c:idx val="2"/>
          <c:order val="2"/>
          <c:tx>
            <c:strRef>
              <c:f>'8-year data'!$AW$34</c:f>
              <c:strCache>
                <c:ptCount val="1"/>
                <c:pt idx="0">
                  <c:v>Adjusted allowance</c:v>
                </c:pt>
              </c:strCache>
            </c:strRef>
          </c:tx>
          <c:spPr>
            <a:ln w="28575" cap="rnd">
              <a:solidFill>
                <a:schemeClr val="tx1"/>
              </a:solidFill>
              <a:round/>
            </a:ln>
            <a:effectLst/>
          </c:spPr>
          <c:marker>
            <c:symbol val="none"/>
          </c:marker>
          <c:cat>
            <c:numRef>
              <c:f>'8-year data'!$AX$31:$BE$31</c:f>
              <c:numCache>
                <c:formatCode>General</c:formatCode>
                <c:ptCount val="8"/>
                <c:pt idx="0">
                  <c:v>2014</c:v>
                </c:pt>
                <c:pt idx="1">
                  <c:v>2015</c:v>
                </c:pt>
                <c:pt idx="2">
                  <c:v>2016</c:v>
                </c:pt>
                <c:pt idx="3">
                  <c:v>2017</c:v>
                </c:pt>
                <c:pt idx="4">
                  <c:v>2018</c:v>
                </c:pt>
                <c:pt idx="5">
                  <c:v>2019</c:v>
                </c:pt>
                <c:pt idx="6">
                  <c:v>2020</c:v>
                </c:pt>
                <c:pt idx="7">
                  <c:v>2021</c:v>
                </c:pt>
              </c:numCache>
            </c:numRef>
          </c:cat>
          <c:val>
            <c:numRef>
              <c:f>'8-year data'!$BQ$34:$BX$34</c:f>
              <c:numCache>
                <c:formatCode>0</c:formatCode>
                <c:ptCount val="8"/>
                <c:pt idx="0">
                  <c:v>2834.2324924687018</c:v>
                </c:pt>
                <c:pt idx="1">
                  <c:v>2807.6487085159242</c:v>
                </c:pt>
                <c:pt idx="2">
                  <c:v>2819.5921967704953</c:v>
                </c:pt>
                <c:pt idx="3">
                  <c:v>2423.3208596524787</c:v>
                </c:pt>
                <c:pt idx="4">
                  <c:v>2119.0682607438903</c:v>
                </c:pt>
                <c:pt idx="5">
                  <c:v>2194.7555405588901</c:v>
                </c:pt>
                <c:pt idx="6">
                  <c:v>2035.4702951090283</c:v>
                </c:pt>
                <c:pt idx="7">
                  <c:v>2085.7583181285177</c:v>
                </c:pt>
              </c:numCache>
            </c:numRef>
          </c:val>
          <c:smooth val="0"/>
          <c:extLst>
            <c:ext xmlns:c16="http://schemas.microsoft.com/office/drawing/2014/chart" uri="{C3380CC4-5D6E-409C-BE32-E72D297353CC}">
              <c16:uniqueId val="{00000014-1807-4DFC-B612-4091C4247889}"/>
            </c:ext>
          </c:extLst>
        </c:ser>
        <c:dLbls>
          <c:showLegendKey val="0"/>
          <c:showVal val="0"/>
          <c:showCatName val="0"/>
          <c:showSerName val="0"/>
          <c:showPercent val="0"/>
          <c:showBubbleSize val="0"/>
        </c:dLbls>
        <c:marker val="1"/>
        <c:smooth val="0"/>
        <c:axId val="813276416"/>
        <c:axId val="813278384"/>
      </c:lineChart>
      <c:catAx>
        <c:axId val="813276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3278384"/>
        <c:crosses val="autoZero"/>
        <c:auto val="1"/>
        <c:lblAlgn val="ctr"/>
        <c:lblOffset val="100"/>
        <c:noMultiLvlLbl val="0"/>
      </c:catAx>
      <c:valAx>
        <c:axId val="81327838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 2020/21 prices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3276416"/>
        <c:crosses val="autoZero"/>
        <c:crossBetween val="between"/>
      </c:valAx>
      <c:spPr>
        <a:noFill/>
        <a:ln>
          <a:noFill/>
        </a:ln>
        <a:effectLst/>
      </c:spPr>
    </c:plotArea>
    <c:legend>
      <c:legendPos val="b"/>
      <c:layout>
        <c:manualLayout>
          <c:xMode val="edge"/>
          <c:yMode val="edge"/>
          <c:x val="6.2927048277997305E-2"/>
          <c:y val="0.91371366100014617"/>
          <c:w val="0.66034408536275868"/>
          <c:h val="6.975252327834320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GB" sz="1400" b="1" i="0" baseline="0">
                <a:solidFill>
                  <a:schemeClr val="tx1"/>
                </a:solidFill>
                <a:effectLst/>
              </a:rPr>
              <a:t>SF6 leakage: SPT and SHET</a:t>
            </a:r>
            <a:endParaRPr lang="en-GB" sz="1400" b="1">
              <a:solidFill>
                <a:schemeClr val="tx1"/>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tx>
            <c:strRef>
              <c:f>'Incentives - charts '!$B$52</c:f>
              <c:strCache>
                <c:ptCount val="1"/>
                <c:pt idx="0">
                  <c:v>2013-14</c:v>
                </c:pt>
              </c:strCache>
            </c:strRef>
          </c:tx>
          <c:spPr>
            <a:solidFill>
              <a:srgbClr val="45216F"/>
            </a:solidFill>
            <a:ln>
              <a:noFill/>
            </a:ln>
            <a:effectLst/>
          </c:spPr>
          <c:invertIfNegative val="0"/>
          <c:cat>
            <c:strRef>
              <c:f>'Incentives - charts '!$C$51:$D$51</c:f>
              <c:strCache>
                <c:ptCount val="2"/>
                <c:pt idx="0">
                  <c:v>SPT</c:v>
                </c:pt>
                <c:pt idx="1">
                  <c:v>SHET</c:v>
                </c:pt>
              </c:strCache>
            </c:strRef>
          </c:cat>
          <c:val>
            <c:numRef>
              <c:f>'Incentives - charts '!$C$52:$D$52</c:f>
              <c:numCache>
                <c:formatCode>General</c:formatCode>
                <c:ptCount val="2"/>
                <c:pt idx="0">
                  <c:v>139.00307279999981</c:v>
                </c:pt>
                <c:pt idx="1">
                  <c:v>184.57</c:v>
                </c:pt>
              </c:numCache>
            </c:numRef>
          </c:val>
          <c:extLst>
            <c:ext xmlns:c16="http://schemas.microsoft.com/office/drawing/2014/chart" uri="{C3380CC4-5D6E-409C-BE32-E72D297353CC}">
              <c16:uniqueId val="{00000000-7AD0-4109-A9F4-5CD971C6EA05}"/>
            </c:ext>
          </c:extLst>
        </c:ser>
        <c:ser>
          <c:idx val="1"/>
          <c:order val="1"/>
          <c:tx>
            <c:strRef>
              <c:f>'Incentives - charts '!$B$53</c:f>
              <c:strCache>
                <c:ptCount val="1"/>
                <c:pt idx="0">
                  <c:v>2014-15</c:v>
                </c:pt>
              </c:strCache>
            </c:strRef>
          </c:tx>
          <c:spPr>
            <a:solidFill>
              <a:srgbClr val="D0B00E"/>
            </a:solidFill>
            <a:ln>
              <a:noFill/>
            </a:ln>
            <a:effectLst/>
          </c:spPr>
          <c:invertIfNegative val="0"/>
          <c:cat>
            <c:strRef>
              <c:f>'Incentives - charts '!$C$51:$D$51</c:f>
              <c:strCache>
                <c:ptCount val="2"/>
                <c:pt idx="0">
                  <c:v>SPT</c:v>
                </c:pt>
                <c:pt idx="1">
                  <c:v>SHET</c:v>
                </c:pt>
              </c:strCache>
            </c:strRef>
          </c:cat>
          <c:val>
            <c:numRef>
              <c:f>'Incentives - charts '!$C$53:$D$53</c:f>
              <c:numCache>
                <c:formatCode>General</c:formatCode>
                <c:ptCount val="2"/>
                <c:pt idx="0">
                  <c:v>34.980372799999714</c:v>
                </c:pt>
                <c:pt idx="1">
                  <c:v>166.1</c:v>
                </c:pt>
              </c:numCache>
            </c:numRef>
          </c:val>
          <c:extLst>
            <c:ext xmlns:c16="http://schemas.microsoft.com/office/drawing/2014/chart" uri="{C3380CC4-5D6E-409C-BE32-E72D297353CC}">
              <c16:uniqueId val="{00000001-7AD0-4109-A9F4-5CD971C6EA05}"/>
            </c:ext>
          </c:extLst>
        </c:ser>
        <c:ser>
          <c:idx val="2"/>
          <c:order val="2"/>
          <c:tx>
            <c:strRef>
              <c:f>'Incentives - charts '!$B$54</c:f>
              <c:strCache>
                <c:ptCount val="1"/>
                <c:pt idx="0">
                  <c:v>2015-16</c:v>
                </c:pt>
              </c:strCache>
            </c:strRef>
          </c:tx>
          <c:spPr>
            <a:solidFill>
              <a:srgbClr val="CD1543"/>
            </a:solidFill>
            <a:ln>
              <a:noFill/>
            </a:ln>
            <a:effectLst/>
          </c:spPr>
          <c:invertIfNegative val="0"/>
          <c:cat>
            <c:strRef>
              <c:f>'Incentives - charts '!$C$51:$D$51</c:f>
              <c:strCache>
                <c:ptCount val="2"/>
                <c:pt idx="0">
                  <c:v>SPT</c:v>
                </c:pt>
                <c:pt idx="1">
                  <c:v>SHET</c:v>
                </c:pt>
              </c:strCache>
            </c:strRef>
          </c:cat>
          <c:val>
            <c:numRef>
              <c:f>'Incentives - charts '!$C$54:$D$54</c:f>
              <c:numCache>
                <c:formatCode>General</c:formatCode>
                <c:ptCount val="2"/>
                <c:pt idx="0">
                  <c:v>-46.397827200000165</c:v>
                </c:pt>
                <c:pt idx="1">
                  <c:v>48.574000000000012</c:v>
                </c:pt>
              </c:numCache>
            </c:numRef>
          </c:val>
          <c:extLst>
            <c:ext xmlns:c16="http://schemas.microsoft.com/office/drawing/2014/chart" uri="{C3380CC4-5D6E-409C-BE32-E72D297353CC}">
              <c16:uniqueId val="{00000002-7AD0-4109-A9F4-5CD971C6EA05}"/>
            </c:ext>
          </c:extLst>
        </c:ser>
        <c:ser>
          <c:idx val="3"/>
          <c:order val="3"/>
          <c:tx>
            <c:strRef>
              <c:f>'Incentives - charts '!$B$55</c:f>
              <c:strCache>
                <c:ptCount val="1"/>
                <c:pt idx="0">
                  <c:v>2016-17</c:v>
                </c:pt>
              </c:strCache>
            </c:strRef>
          </c:tx>
          <c:spPr>
            <a:solidFill>
              <a:srgbClr val="2062AF"/>
            </a:solidFill>
            <a:ln>
              <a:noFill/>
            </a:ln>
            <a:effectLst/>
          </c:spPr>
          <c:invertIfNegative val="0"/>
          <c:cat>
            <c:strRef>
              <c:f>'Incentives - charts '!$C$51:$D$51</c:f>
              <c:strCache>
                <c:ptCount val="2"/>
                <c:pt idx="0">
                  <c:v>SPT</c:v>
                </c:pt>
                <c:pt idx="1">
                  <c:v>SHET</c:v>
                </c:pt>
              </c:strCache>
            </c:strRef>
          </c:cat>
          <c:val>
            <c:numRef>
              <c:f>'Incentives - charts '!$C$55:$D$55</c:f>
              <c:numCache>
                <c:formatCode>General</c:formatCode>
                <c:ptCount val="2"/>
                <c:pt idx="0">
                  <c:v>-205.0589222000001</c:v>
                </c:pt>
                <c:pt idx="1">
                  <c:v>7.9000000000007731E-2</c:v>
                </c:pt>
              </c:numCache>
            </c:numRef>
          </c:val>
          <c:extLst>
            <c:ext xmlns:c16="http://schemas.microsoft.com/office/drawing/2014/chart" uri="{C3380CC4-5D6E-409C-BE32-E72D297353CC}">
              <c16:uniqueId val="{00000000-4890-4076-B0B8-A2299F7A36EC}"/>
            </c:ext>
          </c:extLst>
        </c:ser>
        <c:ser>
          <c:idx val="4"/>
          <c:order val="4"/>
          <c:tx>
            <c:strRef>
              <c:f>'Incentives - charts '!$B$56</c:f>
              <c:strCache>
                <c:ptCount val="1"/>
                <c:pt idx="0">
                  <c:v>2017-18</c:v>
                </c:pt>
              </c:strCache>
            </c:strRef>
          </c:tx>
          <c:spPr>
            <a:solidFill>
              <a:srgbClr val="00B2BF"/>
            </a:solidFill>
            <a:ln>
              <a:noFill/>
            </a:ln>
            <a:effectLst/>
          </c:spPr>
          <c:invertIfNegative val="0"/>
          <c:cat>
            <c:strRef>
              <c:f>'Incentives - charts '!$C$51:$D$51</c:f>
              <c:strCache>
                <c:ptCount val="2"/>
                <c:pt idx="0">
                  <c:v>SPT</c:v>
                </c:pt>
                <c:pt idx="1">
                  <c:v>SHET</c:v>
                </c:pt>
              </c:strCache>
            </c:strRef>
          </c:cat>
          <c:val>
            <c:numRef>
              <c:f>'Incentives - charts '!$C$56:$D$56</c:f>
              <c:numCache>
                <c:formatCode>General</c:formatCode>
                <c:ptCount val="2"/>
                <c:pt idx="0">
                  <c:v>-213.58500720000029</c:v>
                </c:pt>
                <c:pt idx="1">
                  <c:v>-13.31475000000006</c:v>
                </c:pt>
              </c:numCache>
            </c:numRef>
          </c:val>
          <c:extLst>
            <c:ext xmlns:c16="http://schemas.microsoft.com/office/drawing/2014/chart" uri="{C3380CC4-5D6E-409C-BE32-E72D297353CC}">
              <c16:uniqueId val="{00000001-4890-4076-B0B8-A2299F7A36EC}"/>
            </c:ext>
          </c:extLst>
        </c:ser>
        <c:ser>
          <c:idx val="5"/>
          <c:order val="5"/>
          <c:tx>
            <c:strRef>
              <c:f>'Incentives - charts '!$B$57</c:f>
              <c:strCache>
                <c:ptCount val="1"/>
                <c:pt idx="0">
                  <c:v>2018-19</c:v>
                </c:pt>
              </c:strCache>
            </c:strRef>
          </c:tx>
          <c:spPr>
            <a:solidFill>
              <a:srgbClr val="A1ABC6"/>
            </a:solidFill>
            <a:ln>
              <a:noFill/>
            </a:ln>
            <a:effectLst/>
          </c:spPr>
          <c:invertIfNegative val="0"/>
          <c:cat>
            <c:strRef>
              <c:f>'Incentives - charts '!$C$51:$D$51</c:f>
              <c:strCache>
                <c:ptCount val="2"/>
                <c:pt idx="0">
                  <c:v>SPT</c:v>
                </c:pt>
                <c:pt idx="1">
                  <c:v>SHET</c:v>
                </c:pt>
              </c:strCache>
            </c:strRef>
          </c:cat>
          <c:val>
            <c:numRef>
              <c:f>'Incentives - charts '!$C$57:$D$57</c:f>
              <c:numCache>
                <c:formatCode>General</c:formatCode>
                <c:ptCount val="2"/>
                <c:pt idx="0">
                  <c:v>-10.772957200000292</c:v>
                </c:pt>
                <c:pt idx="1">
                  <c:v>-5.0717500000000086</c:v>
                </c:pt>
              </c:numCache>
            </c:numRef>
          </c:val>
          <c:extLst>
            <c:ext xmlns:c16="http://schemas.microsoft.com/office/drawing/2014/chart" uri="{C3380CC4-5D6E-409C-BE32-E72D297353CC}">
              <c16:uniqueId val="{00000002-4890-4076-B0B8-A2299F7A36EC}"/>
            </c:ext>
          </c:extLst>
        </c:ser>
        <c:ser>
          <c:idx val="6"/>
          <c:order val="6"/>
          <c:tx>
            <c:strRef>
              <c:f>'Incentives - charts '!$B$58</c:f>
              <c:strCache>
                <c:ptCount val="1"/>
                <c:pt idx="0">
                  <c:v>2019-20</c:v>
                </c:pt>
              </c:strCache>
            </c:strRef>
          </c:tx>
          <c:spPr>
            <a:solidFill>
              <a:schemeClr val="accent1">
                <a:lumMod val="60000"/>
              </a:schemeClr>
            </a:solidFill>
            <a:ln>
              <a:noFill/>
            </a:ln>
            <a:effectLst/>
          </c:spPr>
          <c:invertIfNegative val="0"/>
          <c:cat>
            <c:strRef>
              <c:f>'Incentives - charts '!$C$51:$D$51</c:f>
              <c:strCache>
                <c:ptCount val="2"/>
                <c:pt idx="0">
                  <c:v>SPT</c:v>
                </c:pt>
                <c:pt idx="1">
                  <c:v>SHET</c:v>
                </c:pt>
              </c:strCache>
            </c:strRef>
          </c:cat>
          <c:val>
            <c:numRef>
              <c:f>'Incentives - charts '!$C$58:$D$58</c:f>
              <c:numCache>
                <c:formatCode>General</c:formatCode>
                <c:ptCount val="2"/>
                <c:pt idx="0">
                  <c:v>-359.48165720000043</c:v>
                </c:pt>
                <c:pt idx="1">
                  <c:v>45.938249999999982</c:v>
                </c:pt>
              </c:numCache>
            </c:numRef>
          </c:val>
          <c:extLst>
            <c:ext xmlns:c16="http://schemas.microsoft.com/office/drawing/2014/chart" uri="{C3380CC4-5D6E-409C-BE32-E72D297353CC}">
              <c16:uniqueId val="{00000001-187C-49F1-BEEC-9F580E9D6333}"/>
            </c:ext>
          </c:extLst>
        </c:ser>
        <c:ser>
          <c:idx val="7"/>
          <c:order val="7"/>
          <c:tx>
            <c:strRef>
              <c:f>'Incentives - charts '!$B$59</c:f>
              <c:strCache>
                <c:ptCount val="1"/>
                <c:pt idx="0">
                  <c:v>2020-21</c:v>
                </c:pt>
              </c:strCache>
            </c:strRef>
          </c:tx>
          <c:spPr>
            <a:solidFill>
              <a:schemeClr val="accent2">
                <a:lumMod val="60000"/>
              </a:schemeClr>
            </a:solidFill>
            <a:ln>
              <a:noFill/>
            </a:ln>
            <a:effectLst/>
          </c:spPr>
          <c:invertIfNegative val="0"/>
          <c:cat>
            <c:strRef>
              <c:f>'Incentives - charts '!$C$51:$D$51</c:f>
              <c:strCache>
                <c:ptCount val="2"/>
                <c:pt idx="0">
                  <c:v>SPT</c:v>
                </c:pt>
                <c:pt idx="1">
                  <c:v>SHET</c:v>
                </c:pt>
              </c:strCache>
            </c:strRef>
          </c:cat>
          <c:val>
            <c:numRef>
              <c:f>'Incentives - charts '!$C$59:$D$59</c:f>
              <c:numCache>
                <c:formatCode>General</c:formatCode>
                <c:ptCount val="2"/>
                <c:pt idx="0">
                  <c:v>-132.96519920000037</c:v>
                </c:pt>
                <c:pt idx="1">
                  <c:v>85.288250000000062</c:v>
                </c:pt>
              </c:numCache>
            </c:numRef>
          </c:val>
          <c:extLst>
            <c:ext xmlns:c16="http://schemas.microsoft.com/office/drawing/2014/chart" uri="{C3380CC4-5D6E-409C-BE32-E72D297353CC}">
              <c16:uniqueId val="{00000001-8A65-46F4-A85A-1589407B4C64}"/>
            </c:ext>
          </c:extLst>
        </c:ser>
        <c:dLbls>
          <c:showLegendKey val="0"/>
          <c:showVal val="0"/>
          <c:showCatName val="0"/>
          <c:showSerName val="0"/>
          <c:showPercent val="0"/>
          <c:showBubbleSize val="0"/>
        </c:dLbls>
        <c:gapWidth val="219"/>
        <c:overlap val="-27"/>
        <c:axId val="861874448"/>
        <c:axId val="861873792"/>
      </c:barChart>
      <c:catAx>
        <c:axId val="86187444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861873792"/>
        <c:crosses val="autoZero"/>
        <c:auto val="1"/>
        <c:lblAlgn val="ctr"/>
        <c:lblOffset val="100"/>
        <c:noMultiLvlLbl val="0"/>
      </c:catAx>
      <c:valAx>
        <c:axId val="861873792"/>
        <c:scaling>
          <c:orientation val="minMax"/>
        </c:scaling>
        <c:delete val="0"/>
        <c:axPos val="l"/>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a:solidFill>
                      <a:sysClr val="windowText" lastClr="000000"/>
                    </a:solidFill>
                  </a:rPr>
                  <a:t>Annual leakage kg</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861874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GB" sz="1400" b="1" i="0" baseline="0">
                <a:solidFill>
                  <a:schemeClr val="tx1"/>
                </a:solidFill>
                <a:effectLst/>
              </a:rPr>
              <a:t>BCF: SPT and SHET</a:t>
            </a:r>
            <a:endParaRPr lang="en-GB" sz="1400" b="1">
              <a:solidFill>
                <a:schemeClr val="tx1"/>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0188817626417407"/>
          <c:y val="0.1584453798393442"/>
          <c:w val="0.87501471469366321"/>
          <c:h val="0.62448406223856456"/>
        </c:manualLayout>
      </c:layout>
      <c:barChart>
        <c:barDir val="col"/>
        <c:grouping val="clustered"/>
        <c:varyColors val="0"/>
        <c:ser>
          <c:idx val="1"/>
          <c:order val="0"/>
          <c:tx>
            <c:strRef>
              <c:f>'Incentives - charts '!$B$71</c:f>
              <c:strCache>
                <c:ptCount val="1"/>
                <c:pt idx="0">
                  <c:v>2014-15</c:v>
                </c:pt>
              </c:strCache>
            </c:strRef>
          </c:tx>
          <c:spPr>
            <a:solidFill>
              <a:srgbClr val="45216F"/>
            </a:solidFill>
            <a:ln>
              <a:noFill/>
            </a:ln>
            <a:effectLst/>
          </c:spPr>
          <c:invertIfNegative val="0"/>
          <c:cat>
            <c:strRef>
              <c:f>'Incentives - charts '!$D$70:$E$70</c:f>
              <c:strCache>
                <c:ptCount val="2"/>
                <c:pt idx="0">
                  <c:v>SHET</c:v>
                </c:pt>
                <c:pt idx="1">
                  <c:v>SPT</c:v>
                </c:pt>
              </c:strCache>
            </c:strRef>
          </c:cat>
          <c:val>
            <c:numRef>
              <c:f>'Incentives - charts '!$D$71:$E$71</c:f>
              <c:numCache>
                <c:formatCode>_-* #,##0_-;\-* #,##0_-;_-* "-"??_-;_-@_-</c:formatCode>
                <c:ptCount val="2"/>
                <c:pt idx="0">
                  <c:v>346188</c:v>
                </c:pt>
                <c:pt idx="1">
                  <c:v>258498.06617693813</c:v>
                </c:pt>
              </c:numCache>
            </c:numRef>
          </c:val>
          <c:extLst>
            <c:ext xmlns:c16="http://schemas.microsoft.com/office/drawing/2014/chart" uri="{C3380CC4-5D6E-409C-BE32-E72D297353CC}">
              <c16:uniqueId val="{00000001-0C90-4922-9F40-DFB6E6E28519}"/>
            </c:ext>
          </c:extLst>
        </c:ser>
        <c:ser>
          <c:idx val="2"/>
          <c:order val="1"/>
          <c:tx>
            <c:strRef>
              <c:f>'Incentives - charts '!$B$72</c:f>
              <c:strCache>
                <c:ptCount val="1"/>
                <c:pt idx="0">
                  <c:v>2015-16</c:v>
                </c:pt>
              </c:strCache>
            </c:strRef>
          </c:tx>
          <c:spPr>
            <a:solidFill>
              <a:srgbClr val="D0B00E"/>
            </a:solidFill>
            <a:ln>
              <a:noFill/>
            </a:ln>
            <a:effectLst/>
          </c:spPr>
          <c:invertIfNegative val="0"/>
          <c:cat>
            <c:strRef>
              <c:f>'Incentives - charts '!$D$70:$E$70</c:f>
              <c:strCache>
                <c:ptCount val="2"/>
                <c:pt idx="0">
                  <c:v>SHET</c:v>
                </c:pt>
                <c:pt idx="1">
                  <c:v>SPT</c:v>
                </c:pt>
              </c:strCache>
            </c:strRef>
          </c:cat>
          <c:val>
            <c:numRef>
              <c:f>'Incentives - charts '!$D$72:$E$72</c:f>
              <c:numCache>
                <c:formatCode>_-* #,##0_-;\-* #,##0_-;_-* "-"??_-;_-@_-</c:formatCode>
                <c:ptCount val="2"/>
                <c:pt idx="0">
                  <c:v>306158</c:v>
                </c:pt>
                <c:pt idx="1">
                  <c:v>210090.54150672312</c:v>
                </c:pt>
              </c:numCache>
            </c:numRef>
          </c:val>
          <c:extLst>
            <c:ext xmlns:c16="http://schemas.microsoft.com/office/drawing/2014/chart" uri="{C3380CC4-5D6E-409C-BE32-E72D297353CC}">
              <c16:uniqueId val="{00000002-822B-4170-B4B2-664CE27231C2}"/>
            </c:ext>
          </c:extLst>
        </c:ser>
        <c:ser>
          <c:idx val="0"/>
          <c:order val="2"/>
          <c:tx>
            <c:strRef>
              <c:f>'Incentives - charts '!$B$73</c:f>
              <c:strCache>
                <c:ptCount val="1"/>
                <c:pt idx="0">
                  <c:v>2016-17</c:v>
                </c:pt>
              </c:strCache>
            </c:strRef>
          </c:tx>
          <c:spPr>
            <a:solidFill>
              <a:srgbClr val="CD1525"/>
            </a:solidFill>
            <a:ln>
              <a:noFill/>
            </a:ln>
            <a:effectLst/>
          </c:spPr>
          <c:invertIfNegative val="0"/>
          <c:cat>
            <c:strRef>
              <c:f>'Incentives - charts '!$D$70:$E$70</c:f>
              <c:strCache>
                <c:ptCount val="2"/>
                <c:pt idx="0">
                  <c:v>SHET</c:v>
                </c:pt>
                <c:pt idx="1">
                  <c:v>SPT</c:v>
                </c:pt>
              </c:strCache>
            </c:strRef>
          </c:cat>
          <c:val>
            <c:numRef>
              <c:f>'Incentives - charts '!$D$73:$E$73</c:f>
              <c:numCache>
                <c:formatCode>_-* #,##0_-;\-* #,##0_-;_-* "-"??_-;_-@_-</c:formatCode>
                <c:ptCount val="2"/>
                <c:pt idx="0">
                  <c:v>124173</c:v>
                </c:pt>
                <c:pt idx="1">
                  <c:v>278778.14340608648</c:v>
                </c:pt>
              </c:numCache>
            </c:numRef>
          </c:val>
          <c:extLst>
            <c:ext xmlns:c16="http://schemas.microsoft.com/office/drawing/2014/chart" uri="{C3380CC4-5D6E-409C-BE32-E72D297353CC}">
              <c16:uniqueId val="{00000000-5239-4141-9C98-B2AB34976ADA}"/>
            </c:ext>
          </c:extLst>
        </c:ser>
        <c:ser>
          <c:idx val="3"/>
          <c:order val="3"/>
          <c:tx>
            <c:strRef>
              <c:f>'Incentives - charts '!$B$74</c:f>
              <c:strCache>
                <c:ptCount val="1"/>
                <c:pt idx="0">
                  <c:v>2017-18</c:v>
                </c:pt>
              </c:strCache>
            </c:strRef>
          </c:tx>
          <c:spPr>
            <a:solidFill>
              <a:srgbClr val="2062AF"/>
            </a:solidFill>
            <a:ln>
              <a:noFill/>
            </a:ln>
            <a:effectLst/>
          </c:spPr>
          <c:invertIfNegative val="0"/>
          <c:cat>
            <c:strRef>
              <c:f>'Incentives - charts '!$D$70:$E$70</c:f>
              <c:strCache>
                <c:ptCount val="2"/>
                <c:pt idx="0">
                  <c:v>SHET</c:v>
                </c:pt>
                <c:pt idx="1">
                  <c:v>SPT</c:v>
                </c:pt>
              </c:strCache>
            </c:strRef>
          </c:cat>
          <c:val>
            <c:numRef>
              <c:f>'Incentives - charts '!$D$74:$E$74</c:f>
              <c:numCache>
                <c:formatCode>_-* #,##0_-;\-* #,##0_-;_-* "-"??_-;_-@_-</c:formatCode>
                <c:ptCount val="2"/>
                <c:pt idx="0">
                  <c:v>112642.772</c:v>
                </c:pt>
                <c:pt idx="1">
                  <c:v>203164.27696665018</c:v>
                </c:pt>
              </c:numCache>
            </c:numRef>
          </c:val>
          <c:extLst>
            <c:ext xmlns:c16="http://schemas.microsoft.com/office/drawing/2014/chart" uri="{C3380CC4-5D6E-409C-BE32-E72D297353CC}">
              <c16:uniqueId val="{00000001-5239-4141-9C98-B2AB34976ADA}"/>
            </c:ext>
          </c:extLst>
        </c:ser>
        <c:ser>
          <c:idx val="4"/>
          <c:order val="4"/>
          <c:tx>
            <c:strRef>
              <c:f>'Incentives - charts '!$B$75</c:f>
              <c:strCache>
                <c:ptCount val="1"/>
                <c:pt idx="0">
                  <c:v>2018-19</c:v>
                </c:pt>
              </c:strCache>
            </c:strRef>
          </c:tx>
          <c:spPr>
            <a:solidFill>
              <a:srgbClr val="00B2BF"/>
            </a:solidFill>
            <a:ln>
              <a:noFill/>
            </a:ln>
            <a:effectLst/>
          </c:spPr>
          <c:invertIfNegative val="0"/>
          <c:cat>
            <c:strRef>
              <c:f>'Incentives - charts '!$D$70:$E$70</c:f>
              <c:strCache>
                <c:ptCount val="2"/>
                <c:pt idx="0">
                  <c:v>SHET</c:v>
                </c:pt>
                <c:pt idx="1">
                  <c:v>SPT</c:v>
                </c:pt>
              </c:strCache>
            </c:strRef>
          </c:cat>
          <c:val>
            <c:numRef>
              <c:f>'Incentives - charts '!$D$75:$E$75</c:f>
              <c:numCache>
                <c:formatCode>_-* #,##0_-;\-* #,##0_-;_-* "-"??_-;_-@_-</c:formatCode>
                <c:ptCount val="2"/>
                <c:pt idx="0">
                  <c:v>122017</c:v>
                </c:pt>
                <c:pt idx="1">
                  <c:v>225588.52340744235</c:v>
                </c:pt>
              </c:numCache>
            </c:numRef>
          </c:val>
          <c:extLst>
            <c:ext xmlns:c16="http://schemas.microsoft.com/office/drawing/2014/chart" uri="{C3380CC4-5D6E-409C-BE32-E72D297353CC}">
              <c16:uniqueId val="{00000002-5239-4141-9C98-B2AB34976ADA}"/>
            </c:ext>
          </c:extLst>
        </c:ser>
        <c:ser>
          <c:idx val="5"/>
          <c:order val="5"/>
          <c:tx>
            <c:strRef>
              <c:f>'Incentives - charts '!$B$76</c:f>
              <c:strCache>
                <c:ptCount val="1"/>
                <c:pt idx="0">
                  <c:v>2019-20</c:v>
                </c:pt>
              </c:strCache>
            </c:strRef>
          </c:tx>
          <c:spPr>
            <a:solidFill>
              <a:srgbClr val="A1ABB2"/>
            </a:solidFill>
            <a:ln>
              <a:noFill/>
            </a:ln>
            <a:effectLst/>
          </c:spPr>
          <c:invertIfNegative val="0"/>
          <c:cat>
            <c:strRef>
              <c:f>'Incentives - charts '!$D$70:$E$70</c:f>
              <c:strCache>
                <c:ptCount val="2"/>
                <c:pt idx="0">
                  <c:v>SHET</c:v>
                </c:pt>
                <c:pt idx="1">
                  <c:v>SPT</c:v>
                </c:pt>
              </c:strCache>
            </c:strRef>
          </c:cat>
          <c:val>
            <c:numRef>
              <c:f>'Incentives - charts '!$D$76:$E$76</c:f>
              <c:numCache>
                <c:formatCode>_-* #,##0_-;\-* #,##0_-;_-* "-"??_-;_-@_-</c:formatCode>
                <c:ptCount val="2"/>
                <c:pt idx="0">
                  <c:v>129361</c:v>
                </c:pt>
                <c:pt idx="1">
                  <c:v>209156.92</c:v>
                </c:pt>
              </c:numCache>
            </c:numRef>
          </c:val>
          <c:extLst>
            <c:ext xmlns:c16="http://schemas.microsoft.com/office/drawing/2014/chart" uri="{C3380CC4-5D6E-409C-BE32-E72D297353CC}">
              <c16:uniqueId val="{00000003-5239-4141-9C98-B2AB34976ADA}"/>
            </c:ext>
          </c:extLst>
        </c:ser>
        <c:ser>
          <c:idx val="6"/>
          <c:order val="6"/>
          <c:tx>
            <c:strRef>
              <c:f>'Incentives - charts '!$B$77</c:f>
              <c:strCache>
                <c:ptCount val="1"/>
                <c:pt idx="0">
                  <c:v>2020-21</c:v>
                </c:pt>
              </c:strCache>
            </c:strRef>
          </c:tx>
          <c:spPr>
            <a:solidFill>
              <a:schemeClr val="accent1">
                <a:lumMod val="60000"/>
              </a:schemeClr>
            </a:solidFill>
            <a:ln>
              <a:noFill/>
            </a:ln>
            <a:effectLst/>
          </c:spPr>
          <c:invertIfNegative val="0"/>
          <c:val>
            <c:numRef>
              <c:f>'Incentives - charts '!$D$77:$E$77</c:f>
              <c:numCache>
                <c:formatCode>_-* #,##0_-;\-* #,##0_-;_-* "-"??_-;_-@_-</c:formatCode>
                <c:ptCount val="2"/>
                <c:pt idx="0">
                  <c:v>121081.7986954526</c:v>
                </c:pt>
                <c:pt idx="1">
                  <c:v>182801.76067276075</c:v>
                </c:pt>
              </c:numCache>
            </c:numRef>
          </c:val>
          <c:extLst>
            <c:ext xmlns:c16="http://schemas.microsoft.com/office/drawing/2014/chart" uri="{C3380CC4-5D6E-409C-BE32-E72D297353CC}">
              <c16:uniqueId val="{00000002-ACFA-4C31-B756-911F4CE21709}"/>
            </c:ext>
          </c:extLst>
        </c:ser>
        <c:dLbls>
          <c:showLegendKey val="0"/>
          <c:showVal val="0"/>
          <c:showCatName val="0"/>
          <c:showSerName val="0"/>
          <c:showPercent val="0"/>
          <c:showBubbleSize val="0"/>
        </c:dLbls>
        <c:gapWidth val="219"/>
        <c:overlap val="-27"/>
        <c:axId val="861874448"/>
        <c:axId val="861873792"/>
      </c:barChart>
      <c:catAx>
        <c:axId val="861874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861873792"/>
        <c:crosses val="autoZero"/>
        <c:auto val="1"/>
        <c:lblAlgn val="ctr"/>
        <c:lblOffset val="100"/>
        <c:noMultiLvlLbl val="0"/>
      </c:catAx>
      <c:valAx>
        <c:axId val="861873792"/>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861874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'Incentives - charts '!$B$27</c:f>
              <c:strCache>
                <c:ptCount val="1"/>
                <c:pt idx="0">
                  <c:v>2013-14</c:v>
                </c:pt>
              </c:strCache>
            </c:strRef>
          </c:tx>
          <c:spPr>
            <a:solidFill>
              <a:srgbClr val="45216F"/>
            </a:solidFill>
            <a:ln>
              <a:noFill/>
            </a:ln>
            <a:effectLst/>
          </c:spPr>
          <c:invertIfNegative val="0"/>
          <c:cat>
            <c:strRef>
              <c:f>'Incentives - charts '!$C$26:$E$26</c:f>
              <c:strCache>
                <c:ptCount val="3"/>
                <c:pt idx="0">
                  <c:v>SPT</c:v>
                </c:pt>
                <c:pt idx="1">
                  <c:v>NGET</c:v>
                </c:pt>
                <c:pt idx="2">
                  <c:v>SHET</c:v>
                </c:pt>
              </c:strCache>
            </c:strRef>
          </c:cat>
          <c:val>
            <c:numRef>
              <c:f>'Incentives - charts '!$C$27:$E$27</c:f>
              <c:numCache>
                <c:formatCode>General</c:formatCode>
                <c:ptCount val="3"/>
                <c:pt idx="0">
                  <c:v>42.2</c:v>
                </c:pt>
                <c:pt idx="1">
                  <c:v>135</c:v>
                </c:pt>
                <c:pt idx="2">
                  <c:v>35.6</c:v>
                </c:pt>
              </c:numCache>
            </c:numRef>
          </c:val>
          <c:extLst>
            <c:ext xmlns:c16="http://schemas.microsoft.com/office/drawing/2014/chart" uri="{C3380CC4-5D6E-409C-BE32-E72D297353CC}">
              <c16:uniqueId val="{00000000-A177-414C-B0A3-8866CACB5798}"/>
            </c:ext>
          </c:extLst>
        </c:ser>
        <c:ser>
          <c:idx val="1"/>
          <c:order val="1"/>
          <c:tx>
            <c:strRef>
              <c:f>'Incentives - charts '!$B$28</c:f>
              <c:strCache>
                <c:ptCount val="1"/>
                <c:pt idx="0">
                  <c:v>2014-15</c:v>
                </c:pt>
              </c:strCache>
            </c:strRef>
          </c:tx>
          <c:spPr>
            <a:solidFill>
              <a:schemeClr val="accent2"/>
            </a:solidFill>
            <a:ln>
              <a:noFill/>
            </a:ln>
            <a:effectLst/>
          </c:spPr>
          <c:invertIfNegative val="0"/>
          <c:cat>
            <c:strRef>
              <c:f>'Incentives - charts '!$C$26:$E$26</c:f>
              <c:strCache>
                <c:ptCount val="3"/>
                <c:pt idx="0">
                  <c:v>SPT</c:v>
                </c:pt>
                <c:pt idx="1">
                  <c:v>NGET</c:v>
                </c:pt>
                <c:pt idx="2">
                  <c:v>SHET</c:v>
                </c:pt>
              </c:strCache>
            </c:strRef>
          </c:cat>
          <c:val>
            <c:numRef>
              <c:f>'Incentives - charts '!$C$28:$E$28</c:f>
              <c:numCache>
                <c:formatCode>General</c:formatCode>
                <c:ptCount val="3"/>
                <c:pt idx="0" formatCode="0">
                  <c:v>2.8</c:v>
                </c:pt>
                <c:pt idx="1">
                  <c:v>8.6999999999999993</c:v>
                </c:pt>
                <c:pt idx="2">
                  <c:v>106.1</c:v>
                </c:pt>
              </c:numCache>
            </c:numRef>
          </c:val>
          <c:extLst>
            <c:ext xmlns:c16="http://schemas.microsoft.com/office/drawing/2014/chart" uri="{C3380CC4-5D6E-409C-BE32-E72D297353CC}">
              <c16:uniqueId val="{00000004-4A10-412A-819E-ADC52FA0B623}"/>
            </c:ext>
          </c:extLst>
        </c:ser>
        <c:ser>
          <c:idx val="2"/>
          <c:order val="2"/>
          <c:tx>
            <c:strRef>
              <c:f>'Incentives - charts '!$B$29</c:f>
              <c:strCache>
                <c:ptCount val="1"/>
                <c:pt idx="0">
                  <c:v>2015-16</c:v>
                </c:pt>
              </c:strCache>
            </c:strRef>
          </c:tx>
          <c:spPr>
            <a:solidFill>
              <a:schemeClr val="accent3"/>
            </a:solidFill>
            <a:ln>
              <a:noFill/>
            </a:ln>
            <a:effectLst/>
          </c:spPr>
          <c:invertIfNegative val="0"/>
          <c:cat>
            <c:strRef>
              <c:f>'Incentives - charts '!$C$26:$E$26</c:f>
              <c:strCache>
                <c:ptCount val="3"/>
                <c:pt idx="0">
                  <c:v>SPT</c:v>
                </c:pt>
                <c:pt idx="1">
                  <c:v>NGET</c:v>
                </c:pt>
                <c:pt idx="2">
                  <c:v>SHET</c:v>
                </c:pt>
              </c:strCache>
            </c:strRef>
          </c:cat>
          <c:val>
            <c:numRef>
              <c:f>'Incentives - charts '!$C$29:$E$29</c:f>
              <c:numCache>
                <c:formatCode>General</c:formatCode>
                <c:ptCount val="3"/>
                <c:pt idx="0" formatCode="0">
                  <c:v>13.9</c:v>
                </c:pt>
                <c:pt idx="1">
                  <c:v>4.5</c:v>
                </c:pt>
                <c:pt idx="2">
                  <c:v>0</c:v>
                </c:pt>
              </c:numCache>
            </c:numRef>
          </c:val>
          <c:extLst>
            <c:ext xmlns:c16="http://schemas.microsoft.com/office/drawing/2014/chart" uri="{C3380CC4-5D6E-409C-BE32-E72D297353CC}">
              <c16:uniqueId val="{00000005-4A10-412A-819E-ADC52FA0B623}"/>
            </c:ext>
          </c:extLst>
        </c:ser>
        <c:ser>
          <c:idx val="3"/>
          <c:order val="3"/>
          <c:tx>
            <c:strRef>
              <c:f>'Incentives - charts '!$B$30</c:f>
              <c:strCache>
                <c:ptCount val="1"/>
                <c:pt idx="0">
                  <c:v>2016-17</c:v>
                </c:pt>
              </c:strCache>
            </c:strRef>
          </c:tx>
          <c:spPr>
            <a:solidFill>
              <a:schemeClr val="accent4"/>
            </a:solidFill>
            <a:ln>
              <a:noFill/>
            </a:ln>
            <a:effectLst/>
          </c:spPr>
          <c:invertIfNegative val="0"/>
          <c:cat>
            <c:strRef>
              <c:f>'Incentives - charts '!$C$26:$E$26</c:f>
              <c:strCache>
                <c:ptCount val="3"/>
                <c:pt idx="0">
                  <c:v>SPT</c:v>
                </c:pt>
                <c:pt idx="1">
                  <c:v>NGET</c:v>
                </c:pt>
                <c:pt idx="2">
                  <c:v>SHET</c:v>
                </c:pt>
              </c:strCache>
            </c:strRef>
          </c:cat>
          <c:val>
            <c:numRef>
              <c:f>'Incentives - charts '!$C$30:$E$30</c:f>
              <c:numCache>
                <c:formatCode>General</c:formatCode>
                <c:ptCount val="3"/>
                <c:pt idx="0" formatCode="0">
                  <c:v>10.3</c:v>
                </c:pt>
                <c:pt idx="1">
                  <c:v>6.8</c:v>
                </c:pt>
                <c:pt idx="2">
                  <c:v>4.4000000000000004</c:v>
                </c:pt>
              </c:numCache>
            </c:numRef>
          </c:val>
          <c:extLst>
            <c:ext xmlns:c16="http://schemas.microsoft.com/office/drawing/2014/chart" uri="{C3380CC4-5D6E-409C-BE32-E72D297353CC}">
              <c16:uniqueId val="{00000006-4A10-412A-819E-ADC52FA0B623}"/>
            </c:ext>
          </c:extLst>
        </c:ser>
        <c:ser>
          <c:idx val="4"/>
          <c:order val="4"/>
          <c:tx>
            <c:strRef>
              <c:f>'Incentives - charts '!$B$31</c:f>
              <c:strCache>
                <c:ptCount val="1"/>
                <c:pt idx="0">
                  <c:v>2017-18</c:v>
                </c:pt>
              </c:strCache>
            </c:strRef>
          </c:tx>
          <c:spPr>
            <a:solidFill>
              <a:schemeClr val="accent5"/>
            </a:solidFill>
            <a:ln>
              <a:noFill/>
            </a:ln>
            <a:effectLst/>
          </c:spPr>
          <c:invertIfNegative val="0"/>
          <c:cat>
            <c:strRef>
              <c:f>'Incentives - charts '!$C$26:$E$26</c:f>
              <c:strCache>
                <c:ptCount val="3"/>
                <c:pt idx="0">
                  <c:v>SPT</c:v>
                </c:pt>
                <c:pt idx="1">
                  <c:v>NGET</c:v>
                </c:pt>
                <c:pt idx="2">
                  <c:v>SHET</c:v>
                </c:pt>
              </c:strCache>
            </c:strRef>
          </c:cat>
          <c:val>
            <c:numRef>
              <c:f>'Incentives - charts '!$C$31:$E$31</c:f>
              <c:numCache>
                <c:formatCode>General</c:formatCode>
                <c:ptCount val="3"/>
                <c:pt idx="0" formatCode="0">
                  <c:v>3</c:v>
                </c:pt>
                <c:pt idx="1">
                  <c:v>39.700000000000003</c:v>
                </c:pt>
                <c:pt idx="2">
                  <c:v>24.3</c:v>
                </c:pt>
              </c:numCache>
            </c:numRef>
          </c:val>
          <c:extLst>
            <c:ext xmlns:c16="http://schemas.microsoft.com/office/drawing/2014/chart" uri="{C3380CC4-5D6E-409C-BE32-E72D297353CC}">
              <c16:uniqueId val="{00000007-4A10-412A-819E-ADC52FA0B623}"/>
            </c:ext>
          </c:extLst>
        </c:ser>
        <c:ser>
          <c:idx val="5"/>
          <c:order val="5"/>
          <c:tx>
            <c:strRef>
              <c:f>'Incentives - charts '!$B$32</c:f>
              <c:strCache>
                <c:ptCount val="1"/>
                <c:pt idx="0">
                  <c:v>2018-19</c:v>
                </c:pt>
              </c:strCache>
            </c:strRef>
          </c:tx>
          <c:spPr>
            <a:solidFill>
              <a:schemeClr val="accent6"/>
            </a:solidFill>
            <a:ln>
              <a:noFill/>
            </a:ln>
            <a:effectLst/>
          </c:spPr>
          <c:invertIfNegative val="0"/>
          <c:cat>
            <c:strRef>
              <c:f>'Incentives - charts '!$C$26:$E$26</c:f>
              <c:strCache>
                <c:ptCount val="3"/>
                <c:pt idx="0">
                  <c:v>SPT</c:v>
                </c:pt>
                <c:pt idx="1">
                  <c:v>NGET</c:v>
                </c:pt>
                <c:pt idx="2">
                  <c:v>SHET</c:v>
                </c:pt>
              </c:strCache>
            </c:strRef>
          </c:cat>
          <c:val>
            <c:numRef>
              <c:f>'Incentives - charts '!$C$32:$E$32</c:f>
              <c:numCache>
                <c:formatCode>General</c:formatCode>
                <c:ptCount val="3"/>
                <c:pt idx="0" formatCode="0">
                  <c:v>39.1</c:v>
                </c:pt>
                <c:pt idx="1">
                  <c:v>12</c:v>
                </c:pt>
                <c:pt idx="2">
                  <c:v>0</c:v>
                </c:pt>
              </c:numCache>
            </c:numRef>
          </c:val>
          <c:extLst>
            <c:ext xmlns:c16="http://schemas.microsoft.com/office/drawing/2014/chart" uri="{C3380CC4-5D6E-409C-BE32-E72D297353CC}">
              <c16:uniqueId val="{00000008-4A10-412A-819E-ADC52FA0B623}"/>
            </c:ext>
          </c:extLst>
        </c:ser>
        <c:ser>
          <c:idx val="6"/>
          <c:order val="6"/>
          <c:tx>
            <c:strRef>
              <c:f>'Incentives - charts '!$B$33</c:f>
              <c:strCache>
                <c:ptCount val="1"/>
                <c:pt idx="0">
                  <c:v>2019-20</c:v>
                </c:pt>
              </c:strCache>
            </c:strRef>
          </c:tx>
          <c:spPr>
            <a:solidFill>
              <a:schemeClr val="accent1">
                <a:lumMod val="60000"/>
              </a:schemeClr>
            </a:solidFill>
            <a:ln>
              <a:noFill/>
            </a:ln>
            <a:effectLst/>
          </c:spPr>
          <c:invertIfNegative val="0"/>
          <c:cat>
            <c:strRef>
              <c:f>'Incentives - charts '!$C$26:$E$26</c:f>
              <c:strCache>
                <c:ptCount val="3"/>
                <c:pt idx="0">
                  <c:v>SPT</c:v>
                </c:pt>
                <c:pt idx="1">
                  <c:v>NGET</c:v>
                </c:pt>
                <c:pt idx="2">
                  <c:v>SHET</c:v>
                </c:pt>
              </c:strCache>
            </c:strRef>
          </c:cat>
          <c:val>
            <c:numRef>
              <c:f>'Incentives - charts '!$C$33:$E$33</c:f>
              <c:numCache>
                <c:formatCode>General</c:formatCode>
                <c:ptCount val="3"/>
                <c:pt idx="0" formatCode="0">
                  <c:v>2</c:v>
                </c:pt>
                <c:pt idx="1">
                  <c:v>54.4</c:v>
                </c:pt>
                <c:pt idx="2">
                  <c:v>1.2</c:v>
                </c:pt>
              </c:numCache>
            </c:numRef>
          </c:val>
          <c:extLst>
            <c:ext xmlns:c16="http://schemas.microsoft.com/office/drawing/2014/chart" uri="{C3380CC4-5D6E-409C-BE32-E72D297353CC}">
              <c16:uniqueId val="{00000009-4A10-412A-819E-ADC52FA0B623}"/>
            </c:ext>
          </c:extLst>
        </c:ser>
        <c:ser>
          <c:idx val="7"/>
          <c:order val="7"/>
          <c:tx>
            <c:strRef>
              <c:f>'Incentives - charts '!$B$34</c:f>
              <c:strCache>
                <c:ptCount val="1"/>
                <c:pt idx="0">
                  <c:v>2020-21</c:v>
                </c:pt>
              </c:strCache>
            </c:strRef>
          </c:tx>
          <c:spPr>
            <a:solidFill>
              <a:schemeClr val="accent2">
                <a:lumMod val="60000"/>
              </a:schemeClr>
            </a:solidFill>
            <a:ln>
              <a:noFill/>
            </a:ln>
            <a:effectLst/>
          </c:spPr>
          <c:invertIfNegative val="0"/>
          <c:cat>
            <c:strRef>
              <c:f>'Incentives - charts '!$C$26:$E$26</c:f>
              <c:strCache>
                <c:ptCount val="3"/>
                <c:pt idx="0">
                  <c:v>SPT</c:v>
                </c:pt>
                <c:pt idx="1">
                  <c:v>NGET</c:v>
                </c:pt>
                <c:pt idx="2">
                  <c:v>SHET</c:v>
                </c:pt>
              </c:strCache>
            </c:strRef>
          </c:cat>
          <c:val>
            <c:numRef>
              <c:f>'Incentives - charts '!$C$34:$E$34</c:f>
              <c:numCache>
                <c:formatCode>General</c:formatCode>
                <c:ptCount val="3"/>
                <c:pt idx="0" formatCode="0">
                  <c:v>47.98</c:v>
                </c:pt>
                <c:pt idx="1">
                  <c:v>0</c:v>
                </c:pt>
                <c:pt idx="2">
                  <c:v>0</c:v>
                </c:pt>
              </c:numCache>
            </c:numRef>
          </c:val>
          <c:extLst>
            <c:ext xmlns:c16="http://schemas.microsoft.com/office/drawing/2014/chart" uri="{C3380CC4-5D6E-409C-BE32-E72D297353CC}">
              <c16:uniqueId val="{00000002-C0B4-4868-BCDA-4BB260EB8D0F}"/>
            </c:ext>
          </c:extLst>
        </c:ser>
        <c:dLbls>
          <c:showLegendKey val="0"/>
          <c:showVal val="0"/>
          <c:showCatName val="0"/>
          <c:showSerName val="0"/>
          <c:showPercent val="0"/>
          <c:showBubbleSize val="0"/>
        </c:dLbls>
        <c:gapWidth val="219"/>
        <c:overlap val="-27"/>
        <c:axId val="861874448"/>
        <c:axId val="861873792"/>
      </c:barChart>
      <c:catAx>
        <c:axId val="861874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861873792"/>
        <c:crosses val="autoZero"/>
        <c:auto val="1"/>
        <c:lblAlgn val="ctr"/>
        <c:lblOffset val="100"/>
        <c:noMultiLvlLbl val="0"/>
      </c:catAx>
      <c:valAx>
        <c:axId val="861873792"/>
        <c:scaling>
          <c:orientation val="minMax"/>
          <c:max val="6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Annual MWh</a:t>
                </a:r>
                <a:r>
                  <a:rPr lang="en-US" baseline="0"/>
                  <a:t> lost</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61874448"/>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GB" sz="1400" b="1" i="0" baseline="0">
                <a:solidFill>
                  <a:schemeClr val="tx1"/>
                </a:solidFill>
                <a:effectLst/>
              </a:rPr>
              <a:t>SF6 leakage: NGET TO</a:t>
            </a:r>
            <a:endParaRPr lang="en-GB" sz="1400" b="1">
              <a:solidFill>
                <a:schemeClr val="tx1"/>
              </a:solidFill>
              <a:effectLst/>
            </a:endParaRPr>
          </a:p>
        </c:rich>
      </c:tx>
      <c:layout>
        <c:manualLayout>
          <c:xMode val="edge"/>
          <c:yMode val="edge"/>
          <c:x val="0.36682826396069684"/>
          <c:y val="1.3000218376371676E-2"/>
        </c:manualLayout>
      </c:layout>
      <c:overlay val="0"/>
      <c:spPr>
        <a:solidFill>
          <a:schemeClr val="bg1"/>
        </a:solid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1823671004854963"/>
          <c:y val="7.482399439009435E-2"/>
          <c:w val="0.85896536249031052"/>
          <c:h val="0.78963663169972242"/>
        </c:manualLayout>
      </c:layout>
      <c:barChart>
        <c:barDir val="col"/>
        <c:grouping val="clustered"/>
        <c:varyColors val="0"/>
        <c:ser>
          <c:idx val="0"/>
          <c:order val="0"/>
          <c:tx>
            <c:strRef>
              <c:f>'Incentives - charts '!$F$52</c:f>
              <c:strCache>
                <c:ptCount val="1"/>
                <c:pt idx="0">
                  <c:v>2013-14</c:v>
                </c:pt>
              </c:strCache>
            </c:strRef>
          </c:tx>
          <c:spPr>
            <a:solidFill>
              <a:srgbClr val="45216F"/>
            </a:solidFill>
            <a:ln>
              <a:noFill/>
            </a:ln>
            <a:effectLst/>
          </c:spPr>
          <c:invertIfNegative val="0"/>
          <c:cat>
            <c:strRef>
              <c:f>'Incentives - charts '!$G$51</c:f>
              <c:strCache>
                <c:ptCount val="1"/>
                <c:pt idx="0">
                  <c:v>NGET TO</c:v>
                </c:pt>
              </c:strCache>
            </c:strRef>
          </c:cat>
          <c:val>
            <c:numRef>
              <c:f>'Incentives - charts '!$G$52</c:f>
              <c:numCache>
                <c:formatCode>General</c:formatCode>
                <c:ptCount val="1"/>
                <c:pt idx="0">
                  <c:v>-1942.8587925000011</c:v>
                </c:pt>
              </c:numCache>
            </c:numRef>
          </c:val>
          <c:extLst>
            <c:ext xmlns:c16="http://schemas.microsoft.com/office/drawing/2014/chart" uri="{C3380CC4-5D6E-409C-BE32-E72D297353CC}">
              <c16:uniqueId val="{00000000-D137-444D-BFBD-CCF2966B73A2}"/>
            </c:ext>
          </c:extLst>
        </c:ser>
        <c:ser>
          <c:idx val="1"/>
          <c:order val="1"/>
          <c:tx>
            <c:strRef>
              <c:f>'Incentives - charts '!$F$53</c:f>
              <c:strCache>
                <c:ptCount val="1"/>
                <c:pt idx="0">
                  <c:v>2014-15</c:v>
                </c:pt>
              </c:strCache>
            </c:strRef>
          </c:tx>
          <c:spPr>
            <a:solidFill>
              <a:srgbClr val="D0B00E"/>
            </a:solidFill>
            <a:ln>
              <a:noFill/>
            </a:ln>
            <a:effectLst/>
          </c:spPr>
          <c:invertIfNegative val="0"/>
          <c:cat>
            <c:strRef>
              <c:f>'Incentives - charts '!$G$51</c:f>
              <c:strCache>
                <c:ptCount val="1"/>
                <c:pt idx="0">
                  <c:v>NGET TO</c:v>
                </c:pt>
              </c:strCache>
            </c:strRef>
          </c:cat>
          <c:val>
            <c:numRef>
              <c:f>'Incentives - charts '!$G$53</c:f>
              <c:numCache>
                <c:formatCode>General</c:formatCode>
                <c:ptCount val="1"/>
                <c:pt idx="0">
                  <c:v>-2614.0326850000001</c:v>
                </c:pt>
              </c:numCache>
            </c:numRef>
          </c:val>
          <c:extLst>
            <c:ext xmlns:c16="http://schemas.microsoft.com/office/drawing/2014/chart" uri="{C3380CC4-5D6E-409C-BE32-E72D297353CC}">
              <c16:uniqueId val="{00000006-B006-44A4-84EA-913FBB8A06BA}"/>
            </c:ext>
          </c:extLst>
        </c:ser>
        <c:ser>
          <c:idx val="2"/>
          <c:order val="2"/>
          <c:tx>
            <c:strRef>
              <c:f>'Incentives - charts '!$F$54</c:f>
              <c:strCache>
                <c:ptCount val="1"/>
                <c:pt idx="0">
                  <c:v>2015-16</c:v>
                </c:pt>
              </c:strCache>
            </c:strRef>
          </c:tx>
          <c:spPr>
            <a:solidFill>
              <a:srgbClr val="CD1543"/>
            </a:solidFill>
            <a:ln>
              <a:noFill/>
            </a:ln>
            <a:effectLst/>
          </c:spPr>
          <c:invertIfNegative val="0"/>
          <c:cat>
            <c:strRef>
              <c:f>'Incentives - charts '!$G$51</c:f>
              <c:strCache>
                <c:ptCount val="1"/>
                <c:pt idx="0">
                  <c:v>NGET TO</c:v>
                </c:pt>
              </c:strCache>
            </c:strRef>
          </c:cat>
          <c:val>
            <c:numRef>
              <c:f>'Incentives - charts '!$G$54</c:f>
              <c:numCache>
                <c:formatCode>General</c:formatCode>
                <c:ptCount val="1"/>
                <c:pt idx="0">
                  <c:v>-2557.9516900000035</c:v>
                </c:pt>
              </c:numCache>
            </c:numRef>
          </c:val>
          <c:extLst>
            <c:ext xmlns:c16="http://schemas.microsoft.com/office/drawing/2014/chart" uri="{C3380CC4-5D6E-409C-BE32-E72D297353CC}">
              <c16:uniqueId val="{00000007-B006-44A4-84EA-913FBB8A06BA}"/>
            </c:ext>
          </c:extLst>
        </c:ser>
        <c:ser>
          <c:idx val="3"/>
          <c:order val="3"/>
          <c:tx>
            <c:strRef>
              <c:f>'Incentives - charts '!$F$55</c:f>
              <c:strCache>
                <c:ptCount val="1"/>
                <c:pt idx="0">
                  <c:v>2016-17</c:v>
                </c:pt>
              </c:strCache>
            </c:strRef>
          </c:tx>
          <c:spPr>
            <a:solidFill>
              <a:srgbClr val="2062AF"/>
            </a:solidFill>
            <a:ln>
              <a:noFill/>
            </a:ln>
            <a:effectLst/>
          </c:spPr>
          <c:invertIfNegative val="0"/>
          <c:dPt>
            <c:idx val="0"/>
            <c:invertIfNegative val="0"/>
            <c:bubble3D val="0"/>
            <c:extLst>
              <c:ext xmlns:c16="http://schemas.microsoft.com/office/drawing/2014/chart" uri="{C3380CC4-5D6E-409C-BE32-E72D297353CC}">
                <c16:uniqueId val="{0000000C-B006-44A4-84EA-913FBB8A06BA}"/>
              </c:ext>
            </c:extLst>
          </c:dPt>
          <c:cat>
            <c:strRef>
              <c:f>'Incentives - charts '!$G$51</c:f>
              <c:strCache>
                <c:ptCount val="1"/>
                <c:pt idx="0">
                  <c:v>NGET TO</c:v>
                </c:pt>
              </c:strCache>
            </c:strRef>
          </c:cat>
          <c:val>
            <c:numRef>
              <c:f>'Incentives - charts '!$G$55</c:f>
              <c:numCache>
                <c:formatCode>General</c:formatCode>
                <c:ptCount val="1"/>
                <c:pt idx="0">
                  <c:v>-1353.4162200000028</c:v>
                </c:pt>
              </c:numCache>
            </c:numRef>
          </c:val>
          <c:extLst>
            <c:ext xmlns:c16="http://schemas.microsoft.com/office/drawing/2014/chart" uri="{C3380CC4-5D6E-409C-BE32-E72D297353CC}">
              <c16:uniqueId val="{00000008-B006-44A4-84EA-913FBB8A06BA}"/>
            </c:ext>
          </c:extLst>
        </c:ser>
        <c:ser>
          <c:idx val="4"/>
          <c:order val="4"/>
          <c:tx>
            <c:strRef>
              <c:f>'Incentives - charts '!$F$56</c:f>
              <c:strCache>
                <c:ptCount val="1"/>
                <c:pt idx="0">
                  <c:v>2017-18</c:v>
                </c:pt>
              </c:strCache>
            </c:strRef>
          </c:tx>
          <c:spPr>
            <a:solidFill>
              <a:srgbClr val="00B2BF"/>
            </a:solidFill>
            <a:ln>
              <a:noFill/>
            </a:ln>
            <a:effectLst/>
          </c:spPr>
          <c:invertIfNegative val="0"/>
          <c:cat>
            <c:strRef>
              <c:f>'Incentives - charts '!$G$51</c:f>
              <c:strCache>
                <c:ptCount val="1"/>
                <c:pt idx="0">
                  <c:v>NGET TO</c:v>
                </c:pt>
              </c:strCache>
            </c:strRef>
          </c:cat>
          <c:val>
            <c:numRef>
              <c:f>'Incentives - charts '!$G$56</c:f>
              <c:numCache>
                <c:formatCode>General</c:formatCode>
                <c:ptCount val="1"/>
                <c:pt idx="0">
                  <c:v>-2843.6260675000012</c:v>
                </c:pt>
              </c:numCache>
            </c:numRef>
          </c:val>
          <c:extLst>
            <c:ext xmlns:c16="http://schemas.microsoft.com/office/drawing/2014/chart" uri="{C3380CC4-5D6E-409C-BE32-E72D297353CC}">
              <c16:uniqueId val="{00000009-B006-44A4-84EA-913FBB8A06BA}"/>
            </c:ext>
          </c:extLst>
        </c:ser>
        <c:ser>
          <c:idx val="5"/>
          <c:order val="5"/>
          <c:tx>
            <c:strRef>
              <c:f>'Incentives - charts '!$F$57</c:f>
              <c:strCache>
                <c:ptCount val="1"/>
                <c:pt idx="0">
                  <c:v>2018-19</c:v>
                </c:pt>
              </c:strCache>
            </c:strRef>
          </c:tx>
          <c:spPr>
            <a:solidFill>
              <a:srgbClr val="A1ABB2"/>
            </a:solidFill>
            <a:ln>
              <a:noFill/>
            </a:ln>
            <a:effectLst/>
          </c:spPr>
          <c:invertIfNegative val="0"/>
          <c:cat>
            <c:strRef>
              <c:f>'Incentives - charts '!$G$51</c:f>
              <c:strCache>
                <c:ptCount val="1"/>
                <c:pt idx="0">
                  <c:v>NGET TO</c:v>
                </c:pt>
              </c:strCache>
            </c:strRef>
          </c:cat>
          <c:val>
            <c:numRef>
              <c:f>'Incentives - charts '!$G$57</c:f>
              <c:numCache>
                <c:formatCode>General</c:formatCode>
                <c:ptCount val="1"/>
                <c:pt idx="0">
                  <c:v>-204.24755250000089</c:v>
                </c:pt>
              </c:numCache>
            </c:numRef>
          </c:val>
          <c:extLst>
            <c:ext xmlns:c16="http://schemas.microsoft.com/office/drawing/2014/chart" uri="{C3380CC4-5D6E-409C-BE32-E72D297353CC}">
              <c16:uniqueId val="{0000000A-B006-44A4-84EA-913FBB8A06BA}"/>
            </c:ext>
          </c:extLst>
        </c:ser>
        <c:ser>
          <c:idx val="6"/>
          <c:order val="6"/>
          <c:tx>
            <c:strRef>
              <c:f>'Incentives - charts '!$F$58</c:f>
              <c:strCache>
                <c:ptCount val="1"/>
                <c:pt idx="0">
                  <c:v>2019-20</c:v>
                </c:pt>
              </c:strCache>
            </c:strRef>
          </c:tx>
          <c:spPr>
            <a:solidFill>
              <a:schemeClr val="accent2">
                <a:tint val="62000"/>
              </a:schemeClr>
            </a:solidFill>
            <a:ln>
              <a:noFill/>
            </a:ln>
            <a:effectLst/>
          </c:spPr>
          <c:invertIfNegative val="0"/>
          <c:cat>
            <c:strRef>
              <c:f>'Incentives - charts '!$G$51</c:f>
              <c:strCache>
                <c:ptCount val="1"/>
                <c:pt idx="0">
                  <c:v>NGET TO</c:v>
                </c:pt>
              </c:strCache>
            </c:strRef>
          </c:cat>
          <c:val>
            <c:numRef>
              <c:f>'Incentives - charts '!$G$58</c:f>
              <c:numCache>
                <c:formatCode>General</c:formatCode>
                <c:ptCount val="1"/>
                <c:pt idx="0">
                  <c:v>27.378893750001225</c:v>
                </c:pt>
              </c:numCache>
            </c:numRef>
          </c:val>
          <c:extLst>
            <c:ext xmlns:c16="http://schemas.microsoft.com/office/drawing/2014/chart" uri="{C3380CC4-5D6E-409C-BE32-E72D297353CC}">
              <c16:uniqueId val="{00000003-9756-49AF-90C0-DD748E5AFE9E}"/>
            </c:ext>
          </c:extLst>
        </c:ser>
        <c:ser>
          <c:idx val="7"/>
          <c:order val="7"/>
          <c:tx>
            <c:strRef>
              <c:f>'Incentives - charts '!$F$59</c:f>
              <c:strCache>
                <c:ptCount val="1"/>
                <c:pt idx="0">
                  <c:v>2020-21</c:v>
                </c:pt>
              </c:strCache>
            </c:strRef>
          </c:tx>
          <c:spPr>
            <a:solidFill>
              <a:schemeClr val="accent2">
                <a:tint val="46000"/>
              </a:schemeClr>
            </a:solidFill>
            <a:ln>
              <a:noFill/>
            </a:ln>
            <a:effectLst/>
          </c:spPr>
          <c:invertIfNegative val="0"/>
          <c:cat>
            <c:strRef>
              <c:f>'Incentives - charts '!$G$51</c:f>
              <c:strCache>
                <c:ptCount val="1"/>
                <c:pt idx="0">
                  <c:v>NGET TO</c:v>
                </c:pt>
              </c:strCache>
            </c:strRef>
          </c:cat>
          <c:val>
            <c:numRef>
              <c:f>'Incentives - charts '!$G$59</c:f>
              <c:numCache>
                <c:formatCode>General</c:formatCode>
                <c:ptCount val="1"/>
                <c:pt idx="0">
                  <c:v>-696.27862999999707</c:v>
                </c:pt>
              </c:numCache>
            </c:numRef>
          </c:val>
          <c:extLst>
            <c:ext xmlns:c16="http://schemas.microsoft.com/office/drawing/2014/chart" uri="{C3380CC4-5D6E-409C-BE32-E72D297353CC}">
              <c16:uniqueId val="{00000002-BC72-480D-8B7C-0FF15CAC92C1}"/>
            </c:ext>
          </c:extLst>
        </c:ser>
        <c:dLbls>
          <c:showLegendKey val="0"/>
          <c:showVal val="0"/>
          <c:showCatName val="0"/>
          <c:showSerName val="0"/>
          <c:showPercent val="0"/>
          <c:showBubbleSize val="0"/>
        </c:dLbls>
        <c:gapWidth val="120"/>
        <c:overlap val="-100"/>
        <c:axId val="861874448"/>
        <c:axId val="861873792"/>
      </c:barChart>
      <c:catAx>
        <c:axId val="861874448"/>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861873792"/>
        <c:crosses val="autoZero"/>
        <c:auto val="1"/>
        <c:lblAlgn val="ctr"/>
        <c:lblOffset val="100"/>
        <c:noMultiLvlLbl val="0"/>
      </c:catAx>
      <c:valAx>
        <c:axId val="86187379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861874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GB" sz="1400" b="1" i="0" baseline="0">
                <a:solidFill>
                  <a:schemeClr val="tx1"/>
                </a:solidFill>
                <a:effectLst/>
              </a:rPr>
              <a:t>BCF: NGET</a:t>
            </a:r>
            <a:endParaRPr lang="en-GB" sz="1400" b="1">
              <a:solidFill>
                <a:schemeClr val="tx1"/>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tx>
            <c:strRef>
              <c:f>'Incentives - charts '!$B$71</c:f>
              <c:strCache>
                <c:ptCount val="1"/>
                <c:pt idx="0">
                  <c:v>2014-15</c:v>
                </c:pt>
              </c:strCache>
            </c:strRef>
          </c:tx>
          <c:spPr>
            <a:solidFill>
              <a:srgbClr val="45216F"/>
            </a:solidFill>
            <a:ln>
              <a:noFill/>
            </a:ln>
            <a:effectLst/>
          </c:spPr>
          <c:invertIfNegative val="0"/>
          <c:cat>
            <c:strRef>
              <c:f>'Incentives - charts '!$C$70</c:f>
              <c:strCache>
                <c:ptCount val="1"/>
                <c:pt idx="0">
                  <c:v>NGET TO</c:v>
                </c:pt>
              </c:strCache>
            </c:strRef>
          </c:cat>
          <c:val>
            <c:numRef>
              <c:f>'Incentives - charts '!$C$71</c:f>
              <c:numCache>
                <c:formatCode>_-* #,##0_-;\-* #,##0_-;_-* "-"??_-;_-@_-</c:formatCode>
                <c:ptCount val="1"/>
                <c:pt idx="0">
                  <c:v>2552420</c:v>
                </c:pt>
              </c:numCache>
            </c:numRef>
          </c:val>
          <c:extLst>
            <c:ext xmlns:c16="http://schemas.microsoft.com/office/drawing/2014/chart" uri="{C3380CC4-5D6E-409C-BE32-E72D297353CC}">
              <c16:uniqueId val="{00000000-7886-4156-93D7-DF51C3BF6CD6}"/>
            </c:ext>
          </c:extLst>
        </c:ser>
        <c:ser>
          <c:idx val="1"/>
          <c:order val="1"/>
          <c:tx>
            <c:strRef>
              <c:f>'Incentives - charts '!$B$72</c:f>
              <c:strCache>
                <c:ptCount val="1"/>
                <c:pt idx="0">
                  <c:v>2015-16</c:v>
                </c:pt>
              </c:strCache>
            </c:strRef>
          </c:tx>
          <c:spPr>
            <a:solidFill>
              <a:srgbClr val="D0B00E"/>
            </a:solidFill>
            <a:ln>
              <a:noFill/>
            </a:ln>
            <a:effectLst/>
          </c:spPr>
          <c:invertIfNegative val="0"/>
          <c:cat>
            <c:strRef>
              <c:f>'Incentives - charts '!$C$70</c:f>
              <c:strCache>
                <c:ptCount val="1"/>
                <c:pt idx="0">
                  <c:v>NGET TO</c:v>
                </c:pt>
              </c:strCache>
            </c:strRef>
          </c:cat>
          <c:val>
            <c:numRef>
              <c:f>'Incentives - charts '!$C$72</c:f>
              <c:numCache>
                <c:formatCode>_-* #,##0_-;\-* #,##0_-;_-* "-"??_-;_-@_-</c:formatCode>
                <c:ptCount val="1"/>
                <c:pt idx="0">
                  <c:v>2400267</c:v>
                </c:pt>
              </c:numCache>
            </c:numRef>
          </c:val>
          <c:extLst>
            <c:ext xmlns:c16="http://schemas.microsoft.com/office/drawing/2014/chart" uri="{C3380CC4-5D6E-409C-BE32-E72D297353CC}">
              <c16:uniqueId val="{00000000-E1DE-46D6-9227-339129D1859D}"/>
            </c:ext>
          </c:extLst>
        </c:ser>
        <c:ser>
          <c:idx val="2"/>
          <c:order val="2"/>
          <c:tx>
            <c:strRef>
              <c:f>'Incentives - charts '!$B$73</c:f>
              <c:strCache>
                <c:ptCount val="1"/>
                <c:pt idx="0">
                  <c:v>2016-17</c:v>
                </c:pt>
              </c:strCache>
            </c:strRef>
          </c:tx>
          <c:spPr>
            <a:solidFill>
              <a:srgbClr val="CD1525"/>
            </a:solidFill>
            <a:ln>
              <a:noFill/>
            </a:ln>
            <a:effectLst/>
          </c:spPr>
          <c:invertIfNegative val="0"/>
          <c:cat>
            <c:strRef>
              <c:f>'Incentives - charts '!$C$70</c:f>
              <c:strCache>
                <c:ptCount val="1"/>
                <c:pt idx="0">
                  <c:v>NGET TO</c:v>
                </c:pt>
              </c:strCache>
            </c:strRef>
          </c:cat>
          <c:val>
            <c:numRef>
              <c:f>'Incentives - charts '!$C$73</c:f>
              <c:numCache>
                <c:formatCode>_-* #,##0_-;\-* #,##0_-;_-* "-"??_-;_-@_-</c:formatCode>
                <c:ptCount val="1"/>
                <c:pt idx="0">
                  <c:v>1986349</c:v>
                </c:pt>
              </c:numCache>
            </c:numRef>
          </c:val>
          <c:extLst>
            <c:ext xmlns:c16="http://schemas.microsoft.com/office/drawing/2014/chart" uri="{C3380CC4-5D6E-409C-BE32-E72D297353CC}">
              <c16:uniqueId val="{00000001-E1DE-46D6-9227-339129D1859D}"/>
            </c:ext>
          </c:extLst>
        </c:ser>
        <c:ser>
          <c:idx val="3"/>
          <c:order val="3"/>
          <c:tx>
            <c:strRef>
              <c:f>'Incentives - charts '!$B$74</c:f>
              <c:strCache>
                <c:ptCount val="1"/>
                <c:pt idx="0">
                  <c:v>2017-18</c:v>
                </c:pt>
              </c:strCache>
            </c:strRef>
          </c:tx>
          <c:spPr>
            <a:solidFill>
              <a:srgbClr val="2062AF"/>
            </a:solidFill>
            <a:ln>
              <a:noFill/>
            </a:ln>
            <a:effectLst/>
          </c:spPr>
          <c:invertIfNegative val="0"/>
          <c:cat>
            <c:strRef>
              <c:f>'Incentives - charts '!$C$70</c:f>
              <c:strCache>
                <c:ptCount val="1"/>
                <c:pt idx="0">
                  <c:v>NGET TO</c:v>
                </c:pt>
              </c:strCache>
            </c:strRef>
          </c:cat>
          <c:val>
            <c:numRef>
              <c:f>'Incentives - charts '!$C$74</c:f>
              <c:numCache>
                <c:formatCode>_-* #,##0_-;\-* #,##0_-;_-* "-"??_-;_-@_-</c:formatCode>
                <c:ptCount val="1"/>
                <c:pt idx="0">
                  <c:v>1886503</c:v>
                </c:pt>
              </c:numCache>
            </c:numRef>
          </c:val>
          <c:extLst>
            <c:ext xmlns:c16="http://schemas.microsoft.com/office/drawing/2014/chart" uri="{C3380CC4-5D6E-409C-BE32-E72D297353CC}">
              <c16:uniqueId val="{00000002-E1DE-46D6-9227-339129D1859D}"/>
            </c:ext>
          </c:extLst>
        </c:ser>
        <c:ser>
          <c:idx val="4"/>
          <c:order val="4"/>
          <c:tx>
            <c:strRef>
              <c:f>'Incentives - charts '!$B$75</c:f>
              <c:strCache>
                <c:ptCount val="1"/>
                <c:pt idx="0">
                  <c:v>2018-19</c:v>
                </c:pt>
              </c:strCache>
            </c:strRef>
          </c:tx>
          <c:spPr>
            <a:solidFill>
              <a:srgbClr val="00B2BF"/>
            </a:solidFill>
            <a:ln>
              <a:noFill/>
            </a:ln>
            <a:effectLst/>
          </c:spPr>
          <c:invertIfNegative val="0"/>
          <c:cat>
            <c:strRef>
              <c:f>'Incentives - charts '!$C$70</c:f>
              <c:strCache>
                <c:ptCount val="1"/>
                <c:pt idx="0">
                  <c:v>NGET TO</c:v>
                </c:pt>
              </c:strCache>
            </c:strRef>
          </c:cat>
          <c:val>
            <c:numRef>
              <c:f>'Incentives - charts '!$C$75</c:f>
              <c:numCache>
                <c:formatCode>_-* #,##0_-;\-* #,##0_-;_-* "-"??_-;_-@_-</c:formatCode>
                <c:ptCount val="1"/>
                <c:pt idx="0">
                  <c:v>1594730.6738931057</c:v>
                </c:pt>
              </c:numCache>
            </c:numRef>
          </c:val>
          <c:extLst>
            <c:ext xmlns:c16="http://schemas.microsoft.com/office/drawing/2014/chart" uri="{C3380CC4-5D6E-409C-BE32-E72D297353CC}">
              <c16:uniqueId val="{00000003-E1DE-46D6-9227-339129D1859D}"/>
            </c:ext>
          </c:extLst>
        </c:ser>
        <c:ser>
          <c:idx val="5"/>
          <c:order val="5"/>
          <c:tx>
            <c:strRef>
              <c:f>'Incentives - charts '!$B$76</c:f>
              <c:strCache>
                <c:ptCount val="1"/>
                <c:pt idx="0">
                  <c:v>2019-20</c:v>
                </c:pt>
              </c:strCache>
            </c:strRef>
          </c:tx>
          <c:spPr>
            <a:solidFill>
              <a:srgbClr val="A1ABB2"/>
            </a:solidFill>
            <a:ln>
              <a:noFill/>
            </a:ln>
            <a:effectLst/>
          </c:spPr>
          <c:invertIfNegative val="0"/>
          <c:cat>
            <c:strRef>
              <c:f>'Incentives - charts '!$C$70</c:f>
              <c:strCache>
                <c:ptCount val="1"/>
                <c:pt idx="0">
                  <c:v>NGET TO</c:v>
                </c:pt>
              </c:strCache>
            </c:strRef>
          </c:cat>
          <c:val>
            <c:numRef>
              <c:f>'Incentives - charts '!$C$76</c:f>
              <c:numCache>
                <c:formatCode>_-* #,##0_-;\-* #,##0_-;_-* "-"??_-;_-@_-</c:formatCode>
                <c:ptCount val="1"/>
                <c:pt idx="0">
                  <c:v>1784260.43</c:v>
                </c:pt>
              </c:numCache>
            </c:numRef>
          </c:val>
          <c:extLst>
            <c:ext xmlns:c16="http://schemas.microsoft.com/office/drawing/2014/chart" uri="{C3380CC4-5D6E-409C-BE32-E72D297353CC}">
              <c16:uniqueId val="{00000004-E1DE-46D6-9227-339129D1859D}"/>
            </c:ext>
          </c:extLst>
        </c:ser>
        <c:ser>
          <c:idx val="6"/>
          <c:order val="6"/>
          <c:tx>
            <c:strRef>
              <c:f>'Incentives - charts '!$B$77</c:f>
              <c:strCache>
                <c:ptCount val="1"/>
                <c:pt idx="0">
                  <c:v>2020-21</c:v>
                </c:pt>
              </c:strCache>
            </c:strRef>
          </c:tx>
          <c:spPr>
            <a:solidFill>
              <a:schemeClr val="accent1">
                <a:lumMod val="60000"/>
              </a:schemeClr>
            </a:solidFill>
            <a:ln>
              <a:noFill/>
            </a:ln>
            <a:effectLst/>
          </c:spPr>
          <c:invertIfNegative val="0"/>
          <c:val>
            <c:numRef>
              <c:f>'Incentives - charts '!$C$77</c:f>
              <c:numCache>
                <c:formatCode>_-* #,##0_-;\-* #,##0_-;_-* "-"??_-;_-@_-</c:formatCode>
                <c:ptCount val="1"/>
                <c:pt idx="0">
                  <c:v>1543932.8032709553</c:v>
                </c:pt>
              </c:numCache>
            </c:numRef>
          </c:val>
          <c:extLst>
            <c:ext xmlns:c16="http://schemas.microsoft.com/office/drawing/2014/chart" uri="{C3380CC4-5D6E-409C-BE32-E72D297353CC}">
              <c16:uniqueId val="{00000002-EC29-4B01-82B9-FD2AA2252F25}"/>
            </c:ext>
          </c:extLst>
        </c:ser>
        <c:dLbls>
          <c:showLegendKey val="0"/>
          <c:showVal val="0"/>
          <c:showCatName val="0"/>
          <c:showSerName val="0"/>
          <c:showPercent val="0"/>
          <c:showBubbleSize val="0"/>
        </c:dLbls>
        <c:gapWidth val="219"/>
        <c:overlap val="-27"/>
        <c:axId val="861874448"/>
        <c:axId val="861873792"/>
      </c:barChart>
      <c:catAx>
        <c:axId val="861874448"/>
        <c:scaling>
          <c:orientation val="minMax"/>
        </c:scaling>
        <c:delete val="1"/>
        <c:axPos val="b"/>
        <c:numFmt formatCode="General" sourceLinked="1"/>
        <c:majorTickMark val="none"/>
        <c:minorTickMark val="none"/>
        <c:tickLblPos val="nextTo"/>
        <c:crossAx val="861873792"/>
        <c:crosses val="autoZero"/>
        <c:auto val="1"/>
        <c:lblAlgn val="ctr"/>
        <c:lblOffset val="100"/>
        <c:noMultiLvlLbl val="0"/>
      </c:catAx>
      <c:valAx>
        <c:axId val="861873792"/>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861874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sz="1400" b="1" i="0" baseline="0">
                <a:solidFill>
                  <a:schemeClr val="tx1"/>
                </a:solidFill>
                <a:effectLst/>
              </a:rPr>
              <a:t>Customer survey: NGET only</a:t>
            </a:r>
            <a:endParaRPr lang="en-US" sz="1400" b="1">
              <a:solidFill>
                <a:schemeClr val="tx1"/>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9.619107403275419E-2"/>
          <c:y val="0.16747624207095543"/>
          <c:w val="0.87630862808815568"/>
          <c:h val="0.62448392872634395"/>
        </c:manualLayout>
      </c:layout>
      <c:barChart>
        <c:barDir val="col"/>
        <c:grouping val="clustered"/>
        <c:varyColors val="0"/>
        <c:ser>
          <c:idx val="0"/>
          <c:order val="0"/>
          <c:tx>
            <c:strRef>
              <c:f>'Incentives - charts '!$R$6</c:f>
              <c:strCache>
                <c:ptCount val="1"/>
                <c:pt idx="0">
                  <c:v>2013-14</c:v>
                </c:pt>
              </c:strCache>
            </c:strRef>
          </c:tx>
          <c:spPr>
            <a:solidFill>
              <a:schemeClr val="accent2"/>
            </a:solidFill>
            <a:ln>
              <a:noFill/>
            </a:ln>
            <a:effectLst/>
          </c:spPr>
          <c:invertIfNegative val="0"/>
          <c:dPt>
            <c:idx val="0"/>
            <c:invertIfNegative val="0"/>
            <c:bubble3D val="0"/>
            <c:spPr>
              <a:solidFill>
                <a:srgbClr val="F57F29"/>
              </a:solidFill>
              <a:ln>
                <a:noFill/>
              </a:ln>
              <a:effectLst/>
            </c:spPr>
            <c:extLst>
              <c:ext xmlns:c16="http://schemas.microsoft.com/office/drawing/2014/chart" uri="{C3380CC4-5D6E-409C-BE32-E72D297353CC}">
                <c16:uniqueId val="{00000000-9D3E-4C22-893F-210E88C993FF}"/>
              </c:ext>
            </c:extLst>
          </c:dPt>
          <c:dPt>
            <c:idx val="1"/>
            <c:invertIfNegative val="0"/>
            <c:bubble3D val="0"/>
            <c:spPr>
              <a:solidFill>
                <a:srgbClr val="45216F"/>
              </a:solidFill>
              <a:ln>
                <a:noFill/>
              </a:ln>
              <a:effectLst/>
            </c:spPr>
            <c:extLst>
              <c:ext xmlns:c16="http://schemas.microsoft.com/office/drawing/2014/chart" uri="{C3380CC4-5D6E-409C-BE32-E72D297353CC}">
                <c16:uniqueId val="{00000001-9D3E-4C22-893F-210E88C993FF}"/>
              </c:ext>
            </c:extLst>
          </c:dPt>
          <c:dPt>
            <c:idx val="2"/>
            <c:invertIfNegative val="0"/>
            <c:bubble3D val="0"/>
            <c:spPr>
              <a:solidFill>
                <a:srgbClr val="D0B00E"/>
              </a:solidFill>
              <a:ln>
                <a:noFill/>
              </a:ln>
              <a:effectLst/>
            </c:spPr>
            <c:extLst>
              <c:ext xmlns:c16="http://schemas.microsoft.com/office/drawing/2014/chart" uri="{C3380CC4-5D6E-409C-BE32-E72D297353CC}">
                <c16:uniqueId val="{00000002-9D3E-4C22-893F-210E88C993FF}"/>
              </c:ext>
            </c:extLst>
          </c:dPt>
          <c:dPt>
            <c:idx val="3"/>
            <c:invertIfNegative val="0"/>
            <c:bubble3D val="0"/>
            <c:spPr>
              <a:solidFill>
                <a:srgbClr val="CD1543"/>
              </a:solidFill>
              <a:ln>
                <a:noFill/>
              </a:ln>
              <a:effectLst/>
            </c:spPr>
            <c:extLst>
              <c:ext xmlns:c16="http://schemas.microsoft.com/office/drawing/2014/chart" uri="{C3380CC4-5D6E-409C-BE32-E72D297353CC}">
                <c16:uniqueId val="{00000003-9D3E-4C22-893F-210E88C993FF}"/>
              </c:ext>
            </c:extLst>
          </c:dPt>
          <c:dPt>
            <c:idx val="4"/>
            <c:invertIfNegative val="0"/>
            <c:bubble3D val="0"/>
            <c:spPr>
              <a:solidFill>
                <a:srgbClr val="2062AF"/>
              </a:solidFill>
              <a:ln>
                <a:noFill/>
              </a:ln>
              <a:effectLst/>
            </c:spPr>
            <c:extLst>
              <c:ext xmlns:c16="http://schemas.microsoft.com/office/drawing/2014/chart" uri="{C3380CC4-5D6E-409C-BE32-E72D297353CC}">
                <c16:uniqueId val="{00000004-9D3E-4C22-893F-210E88C993FF}"/>
              </c:ext>
            </c:extLst>
          </c:dPt>
          <c:dPt>
            <c:idx val="5"/>
            <c:invertIfNegative val="0"/>
            <c:bubble3D val="0"/>
            <c:spPr>
              <a:solidFill>
                <a:srgbClr val="00B2BF"/>
              </a:solidFill>
              <a:ln>
                <a:noFill/>
              </a:ln>
              <a:effectLst/>
            </c:spPr>
            <c:extLst>
              <c:ext xmlns:c16="http://schemas.microsoft.com/office/drawing/2014/chart" uri="{C3380CC4-5D6E-409C-BE32-E72D297353CC}">
                <c16:uniqueId val="{00000005-9D3E-4C22-893F-210E88C993FF}"/>
              </c:ext>
            </c:extLst>
          </c:dPt>
          <c:val>
            <c:numRef>
              <c:f>'Incentives - charts '!$S$6</c:f>
              <c:numCache>
                <c:formatCode>0.0</c:formatCode>
                <c:ptCount val="1"/>
                <c:pt idx="0">
                  <c:v>7.4089999999999998</c:v>
                </c:pt>
              </c:numCache>
            </c:numRef>
          </c:val>
          <c:extLst>
            <c:ext xmlns:c16="http://schemas.microsoft.com/office/drawing/2014/chart" uri="{C3380CC4-5D6E-409C-BE32-E72D297353CC}">
              <c16:uniqueId val="{00000000-0D14-4296-8DB1-2745E94FDC88}"/>
            </c:ext>
          </c:extLst>
        </c:ser>
        <c:ser>
          <c:idx val="1"/>
          <c:order val="1"/>
          <c:tx>
            <c:strRef>
              <c:f>'Incentives - charts '!$R$7</c:f>
              <c:strCache>
                <c:ptCount val="1"/>
                <c:pt idx="0">
                  <c:v>2014-15</c:v>
                </c:pt>
              </c:strCache>
            </c:strRef>
          </c:tx>
          <c:spPr>
            <a:solidFill>
              <a:srgbClr val="45216F"/>
            </a:solidFill>
            <a:ln>
              <a:noFill/>
            </a:ln>
            <a:effectLst/>
          </c:spPr>
          <c:invertIfNegative val="0"/>
          <c:val>
            <c:numRef>
              <c:f>'Incentives - charts '!$S$7</c:f>
              <c:numCache>
                <c:formatCode>0.0</c:formatCode>
                <c:ptCount val="1"/>
                <c:pt idx="0">
                  <c:v>7.4009999999999998</c:v>
                </c:pt>
              </c:numCache>
            </c:numRef>
          </c:val>
          <c:extLst>
            <c:ext xmlns:c16="http://schemas.microsoft.com/office/drawing/2014/chart" uri="{C3380CC4-5D6E-409C-BE32-E72D297353CC}">
              <c16:uniqueId val="{00000006-9D3E-4C22-893F-210E88C993FF}"/>
            </c:ext>
          </c:extLst>
        </c:ser>
        <c:ser>
          <c:idx val="2"/>
          <c:order val="2"/>
          <c:tx>
            <c:strRef>
              <c:f>'Incentives - charts '!$R$8</c:f>
              <c:strCache>
                <c:ptCount val="1"/>
                <c:pt idx="0">
                  <c:v>2015-16</c:v>
                </c:pt>
              </c:strCache>
            </c:strRef>
          </c:tx>
          <c:spPr>
            <a:solidFill>
              <a:srgbClr val="D0B00E"/>
            </a:solidFill>
            <a:ln>
              <a:noFill/>
            </a:ln>
            <a:effectLst/>
          </c:spPr>
          <c:invertIfNegative val="0"/>
          <c:val>
            <c:numRef>
              <c:f>'Incentives - charts '!$S$8</c:f>
              <c:numCache>
                <c:formatCode>0.0</c:formatCode>
                <c:ptCount val="1"/>
                <c:pt idx="0">
                  <c:v>7.5380000000000003</c:v>
                </c:pt>
              </c:numCache>
            </c:numRef>
          </c:val>
          <c:extLst>
            <c:ext xmlns:c16="http://schemas.microsoft.com/office/drawing/2014/chart" uri="{C3380CC4-5D6E-409C-BE32-E72D297353CC}">
              <c16:uniqueId val="{00000007-9D3E-4C22-893F-210E88C993FF}"/>
            </c:ext>
          </c:extLst>
        </c:ser>
        <c:ser>
          <c:idx val="3"/>
          <c:order val="3"/>
          <c:tx>
            <c:strRef>
              <c:f>'Incentives - charts '!$R$9</c:f>
              <c:strCache>
                <c:ptCount val="1"/>
                <c:pt idx="0">
                  <c:v>2016-17</c:v>
                </c:pt>
              </c:strCache>
            </c:strRef>
          </c:tx>
          <c:spPr>
            <a:solidFill>
              <a:srgbClr val="CD1543"/>
            </a:solidFill>
            <a:ln>
              <a:noFill/>
            </a:ln>
            <a:effectLst/>
          </c:spPr>
          <c:invertIfNegative val="0"/>
          <c:val>
            <c:numRef>
              <c:f>'Incentives - charts '!$S$9</c:f>
              <c:numCache>
                <c:formatCode>0.0</c:formatCode>
                <c:ptCount val="1"/>
                <c:pt idx="0">
                  <c:v>7.41</c:v>
                </c:pt>
              </c:numCache>
            </c:numRef>
          </c:val>
          <c:extLst>
            <c:ext xmlns:c16="http://schemas.microsoft.com/office/drawing/2014/chart" uri="{C3380CC4-5D6E-409C-BE32-E72D297353CC}">
              <c16:uniqueId val="{00000008-9D3E-4C22-893F-210E88C993FF}"/>
            </c:ext>
          </c:extLst>
        </c:ser>
        <c:ser>
          <c:idx val="4"/>
          <c:order val="4"/>
          <c:tx>
            <c:strRef>
              <c:f>'Incentives - charts '!$R$10</c:f>
              <c:strCache>
                <c:ptCount val="1"/>
                <c:pt idx="0">
                  <c:v>2017-18</c:v>
                </c:pt>
              </c:strCache>
            </c:strRef>
          </c:tx>
          <c:spPr>
            <a:solidFill>
              <a:srgbClr val="2062AF"/>
            </a:solidFill>
            <a:ln>
              <a:noFill/>
            </a:ln>
            <a:effectLst/>
          </c:spPr>
          <c:invertIfNegative val="0"/>
          <c:val>
            <c:numRef>
              <c:f>'Incentives - charts '!$S$10</c:f>
              <c:numCache>
                <c:formatCode>0.0</c:formatCode>
                <c:ptCount val="1"/>
                <c:pt idx="0">
                  <c:v>7.7430000000000003</c:v>
                </c:pt>
              </c:numCache>
            </c:numRef>
          </c:val>
          <c:extLst>
            <c:ext xmlns:c16="http://schemas.microsoft.com/office/drawing/2014/chart" uri="{C3380CC4-5D6E-409C-BE32-E72D297353CC}">
              <c16:uniqueId val="{00000009-9D3E-4C22-893F-210E88C993FF}"/>
            </c:ext>
          </c:extLst>
        </c:ser>
        <c:ser>
          <c:idx val="5"/>
          <c:order val="5"/>
          <c:tx>
            <c:strRef>
              <c:f>'Incentives - charts '!$R$11</c:f>
              <c:strCache>
                <c:ptCount val="1"/>
                <c:pt idx="0">
                  <c:v>2018-19</c:v>
                </c:pt>
              </c:strCache>
            </c:strRef>
          </c:tx>
          <c:spPr>
            <a:solidFill>
              <a:srgbClr val="00B2BF"/>
            </a:solidFill>
            <a:ln>
              <a:noFill/>
            </a:ln>
            <a:effectLst/>
          </c:spPr>
          <c:invertIfNegative val="0"/>
          <c:val>
            <c:numRef>
              <c:f>'Incentives - charts '!$S$11</c:f>
              <c:numCache>
                <c:formatCode>0.0</c:formatCode>
                <c:ptCount val="1"/>
                <c:pt idx="0">
                  <c:v>7.9240000000000004</c:v>
                </c:pt>
              </c:numCache>
            </c:numRef>
          </c:val>
          <c:extLst>
            <c:ext xmlns:c16="http://schemas.microsoft.com/office/drawing/2014/chart" uri="{C3380CC4-5D6E-409C-BE32-E72D297353CC}">
              <c16:uniqueId val="{0000000A-9D3E-4C22-893F-210E88C993FF}"/>
            </c:ext>
          </c:extLst>
        </c:ser>
        <c:ser>
          <c:idx val="6"/>
          <c:order val="6"/>
          <c:tx>
            <c:strRef>
              <c:f>'Incentives - charts '!$R$12</c:f>
              <c:strCache>
                <c:ptCount val="1"/>
                <c:pt idx="0">
                  <c:v>2019-20</c:v>
                </c:pt>
              </c:strCache>
            </c:strRef>
          </c:tx>
          <c:spPr>
            <a:solidFill>
              <a:srgbClr val="A1ABC6"/>
            </a:solidFill>
            <a:ln>
              <a:solidFill>
                <a:srgbClr val="A1ABB2"/>
              </a:solidFill>
            </a:ln>
            <a:effectLst/>
          </c:spPr>
          <c:invertIfNegative val="0"/>
          <c:val>
            <c:numRef>
              <c:f>'Incentives - charts '!$S$12</c:f>
              <c:numCache>
                <c:formatCode>0.0</c:formatCode>
                <c:ptCount val="1"/>
                <c:pt idx="0">
                  <c:v>8.2110000000000003</c:v>
                </c:pt>
              </c:numCache>
            </c:numRef>
          </c:val>
          <c:extLst>
            <c:ext xmlns:c16="http://schemas.microsoft.com/office/drawing/2014/chart" uri="{C3380CC4-5D6E-409C-BE32-E72D297353CC}">
              <c16:uniqueId val="{0000000D-0698-4A95-9FF6-8723D0EEEB60}"/>
            </c:ext>
          </c:extLst>
        </c:ser>
        <c:ser>
          <c:idx val="7"/>
          <c:order val="7"/>
          <c:tx>
            <c:strRef>
              <c:f>'Incentives - charts '!$R$13</c:f>
              <c:strCache>
                <c:ptCount val="1"/>
                <c:pt idx="0">
                  <c:v>2020-21</c:v>
                </c:pt>
              </c:strCache>
            </c:strRef>
          </c:tx>
          <c:spPr>
            <a:solidFill>
              <a:schemeClr val="accent2">
                <a:lumMod val="60000"/>
              </a:schemeClr>
            </a:solidFill>
            <a:ln>
              <a:noFill/>
            </a:ln>
            <a:effectLst/>
          </c:spPr>
          <c:invertIfNegative val="0"/>
          <c:val>
            <c:numRef>
              <c:f>'Incentives - charts '!$S$13</c:f>
              <c:numCache>
                <c:formatCode>#,##0.00</c:formatCode>
                <c:ptCount val="1"/>
                <c:pt idx="0">
                  <c:v>8.3849999999999998</c:v>
                </c:pt>
              </c:numCache>
            </c:numRef>
          </c:val>
          <c:extLst>
            <c:ext xmlns:c16="http://schemas.microsoft.com/office/drawing/2014/chart" uri="{C3380CC4-5D6E-409C-BE32-E72D297353CC}">
              <c16:uniqueId val="{00000017-54C9-4A76-B24F-6A2032167E62}"/>
            </c:ext>
          </c:extLst>
        </c:ser>
        <c:dLbls>
          <c:showLegendKey val="0"/>
          <c:showVal val="0"/>
          <c:showCatName val="0"/>
          <c:showSerName val="0"/>
          <c:showPercent val="0"/>
          <c:showBubbleSize val="0"/>
        </c:dLbls>
        <c:gapWidth val="219"/>
        <c:overlap val="-100"/>
        <c:axId val="861874448"/>
        <c:axId val="861873792"/>
      </c:barChart>
      <c:catAx>
        <c:axId val="861874448"/>
        <c:scaling>
          <c:orientation val="minMax"/>
        </c:scaling>
        <c:delete val="1"/>
        <c:axPos val="b"/>
        <c:numFmt formatCode="General" sourceLinked="1"/>
        <c:majorTickMark val="none"/>
        <c:minorTickMark val="none"/>
        <c:tickLblPos val="nextTo"/>
        <c:crossAx val="861873792"/>
        <c:crosses val="autoZero"/>
        <c:auto val="1"/>
        <c:lblAlgn val="ctr"/>
        <c:lblOffset val="100"/>
        <c:noMultiLvlLbl val="0"/>
      </c:catAx>
      <c:valAx>
        <c:axId val="86187379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Score out of 10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61874448"/>
        <c:crosses val="autoZero"/>
        <c:crossBetween val="between"/>
      </c:valAx>
      <c:spPr>
        <a:noFill/>
        <a:ln w="0">
          <a:noFill/>
        </a:ln>
        <a:effectLst/>
      </c:spPr>
    </c:plotArea>
    <c:legend>
      <c:legendPos val="b"/>
      <c:overlay val="0"/>
      <c:spPr>
        <a:noFill/>
        <a:ln>
          <a:noFill/>
        </a:ln>
        <a:effectLst/>
      </c:spPr>
      <c:txPr>
        <a:bodyPr rot="0" spcFirstLastPara="1" vertOverflow="ellipsis" vert="horz" wrap="square" anchor="ctr" anchorCtr="1"/>
        <a:lstStyle/>
        <a:p>
          <a:pPr rtl="0">
            <a:defRPr sz="900" b="1"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'RORE '!$H$7</c:f>
              <c:strCache>
                <c:ptCount val="1"/>
                <c:pt idx="0">
                  <c:v>Allowed Equity Return + IQI</c:v>
                </c:pt>
              </c:strCache>
            </c:strRef>
          </c:tx>
          <c:spPr>
            <a:solidFill>
              <a:srgbClr val="45216F"/>
            </a:solidFill>
            <a:ln>
              <a:noFill/>
            </a:ln>
            <a:effectLst/>
          </c:spPr>
          <c:invertIfNegative val="0"/>
          <c:cat>
            <c:multiLvlStrRef>
              <c:f>'RORE '!$I$5:$V$6</c:f>
              <c:multiLvlStrCache>
                <c:ptCount val="14"/>
                <c:lvl>
                  <c:pt idx="0">
                    <c:v>2018</c:v>
                  </c:pt>
                  <c:pt idx="1">
                    <c:v>2019</c:v>
                  </c:pt>
                  <c:pt idx="2">
                    <c:v>2020</c:v>
                  </c:pt>
                  <c:pt idx="3">
                    <c:v>2021</c:v>
                  </c:pt>
                  <c:pt idx="5">
                    <c:v>2018</c:v>
                  </c:pt>
                  <c:pt idx="6">
                    <c:v>2019</c:v>
                  </c:pt>
                  <c:pt idx="7">
                    <c:v>2020</c:v>
                  </c:pt>
                  <c:pt idx="8">
                    <c:v>2021</c:v>
                  </c:pt>
                  <c:pt idx="10">
                    <c:v>2018</c:v>
                  </c:pt>
                  <c:pt idx="11">
                    <c:v>2019</c:v>
                  </c:pt>
                  <c:pt idx="12">
                    <c:v>2020</c:v>
                  </c:pt>
                  <c:pt idx="13">
                    <c:v>2021</c:v>
                  </c:pt>
                </c:lvl>
                <c:lvl>
                  <c:pt idx="0">
                    <c:v>NGET (TO)</c:v>
                  </c:pt>
                  <c:pt idx="5">
                    <c:v>SPT</c:v>
                  </c:pt>
                  <c:pt idx="10">
                    <c:v>SHET</c:v>
                  </c:pt>
                </c:lvl>
              </c:multiLvlStrCache>
            </c:multiLvlStrRef>
          </c:cat>
          <c:val>
            <c:numRef>
              <c:f>'RORE '!$I$7:$V$7</c:f>
              <c:numCache>
                <c:formatCode>0%</c:formatCode>
                <c:ptCount val="14"/>
                <c:pt idx="0">
                  <c:v>7.2834936913310444E-2</c:v>
                </c:pt>
                <c:pt idx="1">
                  <c:v>7.2851506960787432E-2</c:v>
                </c:pt>
                <c:pt idx="2">
                  <c:v>7.2856229341846948E-2</c:v>
                </c:pt>
                <c:pt idx="3" formatCode="0.0%">
                  <c:v>7.2859187833153538E-2</c:v>
                </c:pt>
                <c:pt idx="5">
                  <c:v>7.9766109337125773E-2</c:v>
                </c:pt>
                <c:pt idx="6">
                  <c:v>7.9768873005658769E-2</c:v>
                </c:pt>
                <c:pt idx="7">
                  <c:v>7.9721920748207803E-2</c:v>
                </c:pt>
                <c:pt idx="8" formatCode="0.0%">
                  <c:v>7.9757716833610354E-2</c:v>
                </c:pt>
                <c:pt idx="10">
                  <c:v>7.4384705057886011E-2</c:v>
                </c:pt>
                <c:pt idx="11">
                  <c:v>7.4438984162974342E-2</c:v>
                </c:pt>
                <c:pt idx="12">
                  <c:v>7.4511077910388968E-2</c:v>
                </c:pt>
                <c:pt idx="13" formatCode="0.0%">
                  <c:v>7.4553500012126239E-2</c:v>
                </c:pt>
              </c:numCache>
            </c:numRef>
          </c:val>
          <c:extLst>
            <c:ext xmlns:c16="http://schemas.microsoft.com/office/drawing/2014/chart" uri="{C3380CC4-5D6E-409C-BE32-E72D297353CC}">
              <c16:uniqueId val="{00000000-463C-4F28-9F82-1C52CFD1E328}"/>
            </c:ext>
          </c:extLst>
        </c:ser>
        <c:ser>
          <c:idx val="1"/>
          <c:order val="1"/>
          <c:tx>
            <c:strRef>
              <c:f>'RORE '!$H$8</c:f>
              <c:strCache>
                <c:ptCount val="1"/>
                <c:pt idx="0">
                  <c:v>Operational performance - Totex</c:v>
                </c:pt>
              </c:strCache>
            </c:strRef>
          </c:tx>
          <c:spPr>
            <a:solidFill>
              <a:srgbClr val="FFC000"/>
            </a:solidFill>
            <a:ln>
              <a:noFill/>
            </a:ln>
            <a:effectLst/>
          </c:spPr>
          <c:invertIfNegative val="0"/>
          <c:cat>
            <c:multiLvlStrRef>
              <c:f>'RORE '!$I$5:$V$6</c:f>
              <c:multiLvlStrCache>
                <c:ptCount val="14"/>
                <c:lvl>
                  <c:pt idx="0">
                    <c:v>2018</c:v>
                  </c:pt>
                  <c:pt idx="1">
                    <c:v>2019</c:v>
                  </c:pt>
                  <c:pt idx="2">
                    <c:v>2020</c:v>
                  </c:pt>
                  <c:pt idx="3">
                    <c:v>2021</c:v>
                  </c:pt>
                  <c:pt idx="5">
                    <c:v>2018</c:v>
                  </c:pt>
                  <c:pt idx="6">
                    <c:v>2019</c:v>
                  </c:pt>
                  <c:pt idx="7">
                    <c:v>2020</c:v>
                  </c:pt>
                  <c:pt idx="8">
                    <c:v>2021</c:v>
                  </c:pt>
                  <c:pt idx="10">
                    <c:v>2018</c:v>
                  </c:pt>
                  <c:pt idx="11">
                    <c:v>2019</c:v>
                  </c:pt>
                  <c:pt idx="12">
                    <c:v>2020</c:v>
                  </c:pt>
                  <c:pt idx="13">
                    <c:v>2021</c:v>
                  </c:pt>
                </c:lvl>
                <c:lvl>
                  <c:pt idx="0">
                    <c:v>NGET (TO)</c:v>
                  </c:pt>
                  <c:pt idx="5">
                    <c:v>SPT</c:v>
                  </c:pt>
                  <c:pt idx="10">
                    <c:v>SHET</c:v>
                  </c:pt>
                </c:lvl>
              </c:multiLvlStrCache>
            </c:multiLvlStrRef>
          </c:cat>
          <c:val>
            <c:numRef>
              <c:f>'RORE '!$I$8:$V$8</c:f>
              <c:numCache>
                <c:formatCode>0%</c:formatCode>
                <c:ptCount val="14"/>
                <c:pt idx="0">
                  <c:v>1.8325000220130616E-2</c:v>
                </c:pt>
                <c:pt idx="1">
                  <c:v>1.9403959387716163E-2</c:v>
                </c:pt>
                <c:pt idx="2">
                  <c:v>2.0290297929708111E-2</c:v>
                </c:pt>
                <c:pt idx="3" formatCode="0.0%">
                  <c:v>2.0021129618491978E-2</c:v>
                </c:pt>
                <c:pt idx="5">
                  <c:v>3.5634622654694909E-3</c:v>
                </c:pt>
                <c:pt idx="6">
                  <c:v>5.048565853257689E-3</c:v>
                </c:pt>
                <c:pt idx="7">
                  <c:v>8.8939798883044732E-3</c:v>
                </c:pt>
                <c:pt idx="8" formatCode="0.0%">
                  <c:v>9.8104659906219447E-3</c:v>
                </c:pt>
                <c:pt idx="10">
                  <c:v>1.5910850614883742E-2</c:v>
                </c:pt>
                <c:pt idx="11">
                  <c:v>1.1793981047455973E-2</c:v>
                </c:pt>
                <c:pt idx="12">
                  <c:v>8.092202463507326E-3</c:v>
                </c:pt>
                <c:pt idx="13" formatCode="0.0%">
                  <c:v>1.0753503936685425E-2</c:v>
                </c:pt>
              </c:numCache>
            </c:numRef>
          </c:val>
          <c:extLst>
            <c:ext xmlns:c16="http://schemas.microsoft.com/office/drawing/2014/chart" uri="{C3380CC4-5D6E-409C-BE32-E72D297353CC}">
              <c16:uniqueId val="{00000001-463C-4F28-9F82-1C52CFD1E328}"/>
            </c:ext>
          </c:extLst>
        </c:ser>
        <c:ser>
          <c:idx val="2"/>
          <c:order val="2"/>
          <c:tx>
            <c:strRef>
              <c:f>'RORE '!$H$9</c:f>
              <c:strCache>
                <c:ptCount val="1"/>
                <c:pt idx="0">
                  <c:v>Operational performance - other</c:v>
                </c:pt>
              </c:strCache>
            </c:strRef>
          </c:tx>
          <c:spPr>
            <a:solidFill>
              <a:srgbClr val="CD151B"/>
            </a:solidFill>
            <a:ln>
              <a:noFill/>
            </a:ln>
            <a:effectLst/>
          </c:spPr>
          <c:invertIfNegative val="0"/>
          <c:cat>
            <c:multiLvlStrRef>
              <c:f>'RORE '!$I$5:$V$6</c:f>
              <c:multiLvlStrCache>
                <c:ptCount val="14"/>
                <c:lvl>
                  <c:pt idx="0">
                    <c:v>2018</c:v>
                  </c:pt>
                  <c:pt idx="1">
                    <c:v>2019</c:v>
                  </c:pt>
                  <c:pt idx="2">
                    <c:v>2020</c:v>
                  </c:pt>
                  <c:pt idx="3">
                    <c:v>2021</c:v>
                  </c:pt>
                  <c:pt idx="5">
                    <c:v>2018</c:v>
                  </c:pt>
                  <c:pt idx="6">
                    <c:v>2019</c:v>
                  </c:pt>
                  <c:pt idx="7">
                    <c:v>2020</c:v>
                  </c:pt>
                  <c:pt idx="8">
                    <c:v>2021</c:v>
                  </c:pt>
                  <c:pt idx="10">
                    <c:v>2018</c:v>
                  </c:pt>
                  <c:pt idx="11">
                    <c:v>2019</c:v>
                  </c:pt>
                  <c:pt idx="12">
                    <c:v>2020</c:v>
                  </c:pt>
                  <c:pt idx="13">
                    <c:v>2021</c:v>
                  </c:pt>
                </c:lvl>
                <c:lvl>
                  <c:pt idx="0">
                    <c:v>NGET (TO)</c:v>
                  </c:pt>
                  <c:pt idx="5">
                    <c:v>SPT</c:v>
                  </c:pt>
                  <c:pt idx="10">
                    <c:v>SHET</c:v>
                  </c:pt>
                </c:lvl>
              </c:multiLvlStrCache>
            </c:multiLvlStrRef>
          </c:cat>
          <c:val>
            <c:numRef>
              <c:f>'RORE '!$I$9:$V$9</c:f>
              <c:numCache>
                <c:formatCode>0%</c:formatCode>
                <c:ptCount val="14"/>
                <c:pt idx="0">
                  <c:v>1.9635809517121465E-3</c:v>
                </c:pt>
                <c:pt idx="1">
                  <c:v>2.2809228014581632E-3</c:v>
                </c:pt>
                <c:pt idx="2">
                  <c:v>2.091383798175468E-3</c:v>
                </c:pt>
                <c:pt idx="3" formatCode="0.0%">
                  <c:v>2.2634900742611488E-3</c:v>
                </c:pt>
                <c:pt idx="5">
                  <c:v>3.8765730675260259E-3</c:v>
                </c:pt>
                <c:pt idx="6">
                  <c:v>4.0823286891733899E-3</c:v>
                </c:pt>
                <c:pt idx="7">
                  <c:v>4.3799218994852755E-3</c:v>
                </c:pt>
                <c:pt idx="8" formatCode="0.0%">
                  <c:v>4.8787393666927144E-3</c:v>
                </c:pt>
                <c:pt idx="10">
                  <c:v>1.5155700562822832E-3</c:v>
                </c:pt>
                <c:pt idx="11">
                  <c:v>2.394123489602312E-3</c:v>
                </c:pt>
                <c:pt idx="12">
                  <c:v>2.6870777303187781E-3</c:v>
                </c:pt>
                <c:pt idx="13" formatCode="0.0%">
                  <c:v>3.2754012607728133E-3</c:v>
                </c:pt>
              </c:numCache>
            </c:numRef>
          </c:val>
          <c:extLst>
            <c:ext xmlns:c16="http://schemas.microsoft.com/office/drawing/2014/chart" uri="{C3380CC4-5D6E-409C-BE32-E72D297353CC}">
              <c16:uniqueId val="{00000002-463C-4F28-9F82-1C52CFD1E328}"/>
            </c:ext>
          </c:extLst>
        </c:ser>
        <c:ser>
          <c:idx val="4"/>
          <c:order val="4"/>
          <c:tx>
            <c:strRef>
              <c:f>'RORE '!$H$11</c:f>
              <c:strCache>
                <c:ptCount val="1"/>
                <c:pt idx="0">
                  <c:v>Financing and tax performance</c:v>
                </c:pt>
              </c:strCache>
            </c:strRef>
          </c:tx>
          <c:spPr>
            <a:solidFill>
              <a:srgbClr val="F57F29"/>
            </a:solidFill>
            <a:ln>
              <a:noFill/>
            </a:ln>
            <a:effectLst/>
          </c:spPr>
          <c:invertIfNegative val="0"/>
          <c:cat>
            <c:multiLvlStrRef>
              <c:f>'RORE '!$I$5:$V$6</c:f>
              <c:multiLvlStrCache>
                <c:ptCount val="14"/>
                <c:lvl>
                  <c:pt idx="0">
                    <c:v>2018</c:v>
                  </c:pt>
                  <c:pt idx="1">
                    <c:v>2019</c:v>
                  </c:pt>
                  <c:pt idx="2">
                    <c:v>2020</c:v>
                  </c:pt>
                  <c:pt idx="3">
                    <c:v>2021</c:v>
                  </c:pt>
                  <c:pt idx="5">
                    <c:v>2018</c:v>
                  </c:pt>
                  <c:pt idx="6">
                    <c:v>2019</c:v>
                  </c:pt>
                  <c:pt idx="7">
                    <c:v>2020</c:v>
                  </c:pt>
                  <c:pt idx="8">
                    <c:v>2021</c:v>
                  </c:pt>
                  <c:pt idx="10">
                    <c:v>2018</c:v>
                  </c:pt>
                  <c:pt idx="11">
                    <c:v>2019</c:v>
                  </c:pt>
                  <c:pt idx="12">
                    <c:v>2020</c:v>
                  </c:pt>
                  <c:pt idx="13">
                    <c:v>2021</c:v>
                  </c:pt>
                </c:lvl>
                <c:lvl>
                  <c:pt idx="0">
                    <c:v>NGET (TO)</c:v>
                  </c:pt>
                  <c:pt idx="5">
                    <c:v>SPT</c:v>
                  </c:pt>
                  <c:pt idx="10">
                    <c:v>SHET</c:v>
                  </c:pt>
                </c:lvl>
              </c:multiLvlStrCache>
            </c:multiLvlStrRef>
          </c:cat>
          <c:val>
            <c:numRef>
              <c:f>'RORE '!$I$11:$V$11</c:f>
              <c:numCache>
                <c:formatCode>0%</c:formatCode>
                <c:ptCount val="14"/>
                <c:pt idx="0">
                  <c:v>1.0942385146689902E-2</c:v>
                </c:pt>
                <c:pt idx="1">
                  <c:v>1.0639648694885961E-2</c:v>
                </c:pt>
                <c:pt idx="2">
                  <c:v>1.1507125603644731E-2</c:v>
                </c:pt>
                <c:pt idx="3" formatCode="0.0%">
                  <c:v>1.0605570940181911E-2</c:v>
                </c:pt>
                <c:pt idx="5">
                  <c:v>1.6843462882764199E-2</c:v>
                </c:pt>
                <c:pt idx="6">
                  <c:v>1.9726744208118357E-2</c:v>
                </c:pt>
                <c:pt idx="7">
                  <c:v>1.9557091785461708E-2</c:v>
                </c:pt>
                <c:pt idx="8" formatCode="0.0%">
                  <c:v>1.864342594572297E-2</c:v>
                </c:pt>
                <c:pt idx="10">
                  <c:v>-1.1434551253278642E-2</c:v>
                </c:pt>
                <c:pt idx="11">
                  <c:v>2.6404698348117834E-3</c:v>
                </c:pt>
                <c:pt idx="12">
                  <c:v>8.6695616581819387E-3</c:v>
                </c:pt>
                <c:pt idx="13" formatCode="0.0%">
                  <c:v>5.8701052744955769E-3</c:v>
                </c:pt>
              </c:numCache>
            </c:numRef>
          </c:val>
          <c:extLst>
            <c:ext xmlns:c16="http://schemas.microsoft.com/office/drawing/2014/chart" uri="{C3380CC4-5D6E-409C-BE32-E72D297353CC}">
              <c16:uniqueId val="{00000003-463C-4F28-9F82-1C52CFD1E328}"/>
            </c:ext>
          </c:extLst>
        </c:ser>
        <c:dLbls>
          <c:showLegendKey val="0"/>
          <c:showVal val="0"/>
          <c:showCatName val="0"/>
          <c:showSerName val="0"/>
          <c:showPercent val="0"/>
          <c:showBubbleSize val="0"/>
        </c:dLbls>
        <c:gapWidth val="219"/>
        <c:overlap val="100"/>
        <c:axId val="1590444511"/>
        <c:axId val="1590443263"/>
      </c:barChart>
      <c:lineChart>
        <c:grouping val="standard"/>
        <c:varyColors val="0"/>
        <c:ser>
          <c:idx val="3"/>
          <c:order val="3"/>
          <c:tx>
            <c:strRef>
              <c:f>'RORE '!$H$10</c:f>
              <c:strCache>
                <c:ptCount val="1"/>
                <c:pt idx="0">
                  <c:v>Operational RoRE</c:v>
                </c:pt>
              </c:strCache>
            </c:strRef>
          </c:tx>
          <c:spPr>
            <a:ln w="28575" cap="rnd">
              <a:solidFill>
                <a:srgbClr val="00B2BF"/>
              </a:solidFill>
              <a:round/>
            </a:ln>
            <a:effectLst/>
          </c:spPr>
          <c:marker>
            <c:symbol val="circle"/>
            <c:size val="5"/>
            <c:spPr>
              <a:solidFill>
                <a:srgbClr val="00B2BF"/>
              </a:solidFill>
              <a:ln w="9525">
                <a:solidFill>
                  <a:schemeClr val="accent4"/>
                </a:solidFill>
              </a:ln>
              <a:effectLst/>
            </c:spPr>
          </c:marker>
          <c:cat>
            <c:multiLvlStrRef>
              <c:f>'[9]RoRE comparison 1718 -1819'!$C$44:$H$45</c:f>
              <c:multiLvlStrCache>
                <c:ptCount val="6"/>
                <c:lvl>
                  <c:pt idx="0">
                    <c:v>2018</c:v>
                  </c:pt>
                  <c:pt idx="1">
                    <c:v>2019</c:v>
                  </c:pt>
                  <c:pt idx="2">
                    <c:v>2018</c:v>
                  </c:pt>
                  <c:pt idx="3">
                    <c:v>2019</c:v>
                  </c:pt>
                  <c:pt idx="4">
                    <c:v>2018</c:v>
                  </c:pt>
                  <c:pt idx="5">
                    <c:v>2019</c:v>
                  </c:pt>
                </c:lvl>
                <c:lvl>
                  <c:pt idx="0">
                    <c:v>NGET (TO)</c:v>
                  </c:pt>
                  <c:pt idx="2">
                    <c:v>SPT</c:v>
                  </c:pt>
                  <c:pt idx="4">
                    <c:v>SHET</c:v>
                  </c:pt>
                </c:lvl>
              </c:multiLvlStrCache>
            </c:multiLvlStrRef>
          </c:cat>
          <c:val>
            <c:numRef>
              <c:f>'RORE '!$I$10:$V$10</c:f>
              <c:numCache>
                <c:formatCode>0.0%</c:formatCode>
                <c:ptCount val="14"/>
                <c:pt idx="0">
                  <c:v>9.3123518085153206E-2</c:v>
                </c:pt>
                <c:pt idx="1">
                  <c:v>9.4536389149961764E-2</c:v>
                </c:pt>
                <c:pt idx="2">
                  <c:v>9.5237911069730535E-2</c:v>
                </c:pt>
                <c:pt idx="3">
                  <c:v>9.5143807525906662E-2</c:v>
                </c:pt>
                <c:pt idx="5">
                  <c:v>8.7206144670121291E-2</c:v>
                </c:pt>
                <c:pt idx="6">
                  <c:v>8.8899767548089856E-2</c:v>
                </c:pt>
                <c:pt idx="7">
                  <c:v>9.2995822535997544E-2</c:v>
                </c:pt>
                <c:pt idx="8">
                  <c:v>9.4446922190925015E-2</c:v>
                </c:pt>
                <c:pt idx="10">
                  <c:v>9.1811125729052034E-2</c:v>
                </c:pt>
                <c:pt idx="11">
                  <c:v>8.8627088700032636E-2</c:v>
                </c:pt>
                <c:pt idx="12">
                  <c:v>8.5290358104215064E-2</c:v>
                </c:pt>
                <c:pt idx="13">
                  <c:v>8.8582405209584478E-2</c:v>
                </c:pt>
              </c:numCache>
            </c:numRef>
          </c:val>
          <c:smooth val="0"/>
          <c:extLst>
            <c:ext xmlns:c16="http://schemas.microsoft.com/office/drawing/2014/chart" uri="{C3380CC4-5D6E-409C-BE32-E72D297353CC}">
              <c16:uniqueId val="{00000004-463C-4F28-9F82-1C52CFD1E328}"/>
            </c:ext>
          </c:extLst>
        </c:ser>
        <c:ser>
          <c:idx val="5"/>
          <c:order val="5"/>
          <c:tx>
            <c:strRef>
              <c:f>'RORE '!$H$12</c:f>
              <c:strCache>
                <c:ptCount val="1"/>
                <c:pt idx="0">
                  <c:v>Total RoRE - with financing and tax</c:v>
                </c:pt>
              </c:strCache>
            </c:strRef>
          </c:tx>
          <c:spPr>
            <a:ln w="28575" cap="rnd">
              <a:solidFill>
                <a:srgbClr val="2062AF"/>
              </a:solidFill>
              <a:round/>
            </a:ln>
            <a:effectLst/>
          </c:spPr>
          <c:marker>
            <c:symbol val="circle"/>
            <c:size val="5"/>
            <c:spPr>
              <a:solidFill>
                <a:srgbClr val="2062AF"/>
              </a:solidFill>
              <a:ln w="9525">
                <a:solidFill>
                  <a:schemeClr val="accent6"/>
                </a:solidFill>
              </a:ln>
              <a:effectLst/>
            </c:spPr>
          </c:marker>
          <c:cat>
            <c:multiLvlStrRef>
              <c:f>'[9]RoRE comparison 1718 -1819'!$C$44:$H$45</c:f>
              <c:multiLvlStrCache>
                <c:ptCount val="6"/>
                <c:lvl>
                  <c:pt idx="0">
                    <c:v>2018</c:v>
                  </c:pt>
                  <c:pt idx="1">
                    <c:v>2019</c:v>
                  </c:pt>
                  <c:pt idx="2">
                    <c:v>2018</c:v>
                  </c:pt>
                  <c:pt idx="3">
                    <c:v>2019</c:v>
                  </c:pt>
                  <c:pt idx="4">
                    <c:v>2018</c:v>
                  </c:pt>
                  <c:pt idx="5">
                    <c:v>2019</c:v>
                  </c:pt>
                </c:lvl>
                <c:lvl>
                  <c:pt idx="0">
                    <c:v>NGET (TO)</c:v>
                  </c:pt>
                  <c:pt idx="2">
                    <c:v>SPT</c:v>
                  </c:pt>
                  <c:pt idx="4">
                    <c:v>SHET</c:v>
                  </c:pt>
                </c:lvl>
              </c:multiLvlStrCache>
            </c:multiLvlStrRef>
          </c:cat>
          <c:val>
            <c:numRef>
              <c:f>'RORE '!$I$12:$V$12</c:f>
              <c:numCache>
                <c:formatCode>0.0%</c:formatCode>
                <c:ptCount val="14"/>
                <c:pt idx="0">
                  <c:v>0.10406590323184312</c:v>
                </c:pt>
                <c:pt idx="1">
                  <c:v>0.10517603784484772</c:v>
                </c:pt>
                <c:pt idx="2">
                  <c:v>0.10674503667337526</c:v>
                </c:pt>
                <c:pt idx="3">
                  <c:v>0.10574937846608858</c:v>
                </c:pt>
                <c:pt idx="5">
                  <c:v>0.10404960755288549</c:v>
                </c:pt>
                <c:pt idx="6">
                  <c:v>0.10862651175620822</c:v>
                </c:pt>
                <c:pt idx="7">
                  <c:v>0.11255291432145925</c:v>
                </c:pt>
                <c:pt idx="8">
                  <c:v>0.11309034813664798</c:v>
                </c:pt>
                <c:pt idx="10">
                  <c:v>8.0376574475773399E-2</c:v>
                </c:pt>
                <c:pt idx="11">
                  <c:v>9.1267558534844417E-2</c:v>
                </c:pt>
                <c:pt idx="12">
                  <c:v>9.3959919762397009E-2</c:v>
                </c:pt>
                <c:pt idx="13">
                  <c:v>9.4452510484080057E-2</c:v>
                </c:pt>
              </c:numCache>
            </c:numRef>
          </c:val>
          <c:smooth val="0"/>
          <c:extLst>
            <c:ext xmlns:c16="http://schemas.microsoft.com/office/drawing/2014/chart" uri="{C3380CC4-5D6E-409C-BE32-E72D297353CC}">
              <c16:uniqueId val="{00000005-463C-4F28-9F82-1C52CFD1E328}"/>
            </c:ext>
          </c:extLst>
        </c:ser>
        <c:dLbls>
          <c:showLegendKey val="0"/>
          <c:showVal val="0"/>
          <c:showCatName val="0"/>
          <c:showSerName val="0"/>
          <c:showPercent val="0"/>
          <c:showBubbleSize val="0"/>
        </c:dLbls>
        <c:marker val="1"/>
        <c:smooth val="0"/>
        <c:axId val="1590444511"/>
        <c:axId val="1590443263"/>
      </c:lineChart>
      <c:catAx>
        <c:axId val="1590444511"/>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590443263"/>
        <c:crosses val="autoZero"/>
        <c:auto val="1"/>
        <c:lblAlgn val="ctr"/>
        <c:lblOffset val="100"/>
        <c:noMultiLvlLbl val="0"/>
      </c:catAx>
      <c:valAx>
        <c:axId val="159044326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5904445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NGET TO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'8-year data'!$U$6</c:f>
              <c:strCache>
                <c:ptCount val="1"/>
                <c:pt idx="0">
                  <c:v>Actual expenditure</c:v>
                </c:pt>
              </c:strCache>
            </c:strRef>
          </c:tx>
          <c:spPr>
            <a:solidFill>
              <a:schemeClr val="accent1"/>
            </a:solidFill>
            <a:ln>
              <a:noFill/>
            </a:ln>
            <a:effectLst/>
          </c:spPr>
          <c:invertIfNegative val="0"/>
          <c:dPt>
            <c:idx val="0"/>
            <c:invertIfNegative val="0"/>
            <c:bubble3D val="0"/>
            <c:spPr>
              <a:solidFill>
                <a:srgbClr val="F57F29"/>
              </a:solidFill>
              <a:ln>
                <a:noFill/>
              </a:ln>
              <a:effectLst/>
            </c:spPr>
            <c:extLst>
              <c:ext xmlns:c16="http://schemas.microsoft.com/office/drawing/2014/chart" uri="{C3380CC4-5D6E-409C-BE32-E72D297353CC}">
                <c16:uniqueId val="{00000001-D218-4381-82F4-38636C558CC2}"/>
              </c:ext>
            </c:extLst>
          </c:dPt>
          <c:dPt>
            <c:idx val="1"/>
            <c:invertIfNegative val="0"/>
            <c:bubble3D val="0"/>
            <c:spPr>
              <a:solidFill>
                <a:srgbClr val="45216F"/>
              </a:solidFill>
              <a:ln>
                <a:noFill/>
              </a:ln>
              <a:effectLst/>
            </c:spPr>
            <c:extLst>
              <c:ext xmlns:c16="http://schemas.microsoft.com/office/drawing/2014/chart" uri="{C3380CC4-5D6E-409C-BE32-E72D297353CC}">
                <c16:uniqueId val="{00000003-D218-4381-82F4-38636C558CC2}"/>
              </c:ext>
            </c:extLst>
          </c:dPt>
          <c:dPt>
            <c:idx val="2"/>
            <c:invertIfNegative val="0"/>
            <c:bubble3D val="0"/>
            <c:spPr>
              <a:solidFill>
                <a:srgbClr val="D0B00E"/>
              </a:solidFill>
              <a:ln>
                <a:noFill/>
              </a:ln>
              <a:effectLst/>
            </c:spPr>
            <c:extLst>
              <c:ext xmlns:c16="http://schemas.microsoft.com/office/drawing/2014/chart" uri="{C3380CC4-5D6E-409C-BE32-E72D297353CC}">
                <c16:uniqueId val="{00000005-D218-4381-82F4-38636C558CC2}"/>
              </c:ext>
            </c:extLst>
          </c:dPt>
          <c:dPt>
            <c:idx val="3"/>
            <c:invertIfNegative val="0"/>
            <c:bubble3D val="0"/>
            <c:spPr>
              <a:solidFill>
                <a:srgbClr val="CD1543"/>
              </a:solidFill>
              <a:ln>
                <a:noFill/>
              </a:ln>
              <a:effectLst/>
            </c:spPr>
            <c:extLst>
              <c:ext xmlns:c16="http://schemas.microsoft.com/office/drawing/2014/chart" uri="{C3380CC4-5D6E-409C-BE32-E72D297353CC}">
                <c16:uniqueId val="{00000007-D218-4381-82F4-38636C558CC2}"/>
              </c:ext>
            </c:extLst>
          </c:dPt>
          <c:dPt>
            <c:idx val="4"/>
            <c:invertIfNegative val="0"/>
            <c:bubble3D val="0"/>
            <c:spPr>
              <a:solidFill>
                <a:srgbClr val="2062AF"/>
              </a:solidFill>
              <a:ln>
                <a:noFill/>
              </a:ln>
              <a:effectLst/>
            </c:spPr>
            <c:extLst>
              <c:ext xmlns:c16="http://schemas.microsoft.com/office/drawing/2014/chart" uri="{C3380CC4-5D6E-409C-BE32-E72D297353CC}">
                <c16:uniqueId val="{00000009-D218-4381-82F4-38636C558CC2}"/>
              </c:ext>
            </c:extLst>
          </c:dPt>
          <c:dPt>
            <c:idx val="5"/>
            <c:invertIfNegative val="0"/>
            <c:bubble3D val="0"/>
            <c:spPr>
              <a:solidFill>
                <a:srgbClr val="00B2BF"/>
              </a:solidFill>
              <a:ln>
                <a:noFill/>
              </a:ln>
              <a:effectLst/>
            </c:spPr>
            <c:extLst>
              <c:ext xmlns:c16="http://schemas.microsoft.com/office/drawing/2014/chart" uri="{C3380CC4-5D6E-409C-BE32-E72D297353CC}">
                <c16:uniqueId val="{0000000B-D218-4381-82F4-38636C558CC2}"/>
              </c:ext>
            </c:extLst>
          </c:dPt>
          <c:dPt>
            <c:idx val="6"/>
            <c:invertIfNegative val="0"/>
            <c:bubble3D val="0"/>
            <c:spPr>
              <a:solidFill>
                <a:srgbClr val="A1ABB2"/>
              </a:solidFill>
              <a:ln>
                <a:noFill/>
              </a:ln>
              <a:effectLst/>
            </c:spPr>
            <c:extLst>
              <c:ext xmlns:c16="http://schemas.microsoft.com/office/drawing/2014/chart" uri="{C3380CC4-5D6E-409C-BE32-E72D297353CC}">
                <c16:uniqueId val="{0000000D-D218-4381-82F4-38636C558CC2}"/>
              </c:ext>
            </c:extLst>
          </c:dPt>
          <c:cat>
            <c:numRef>
              <c:f>'8-year data'!$V$5:$AC$5</c:f>
              <c:numCache>
                <c:formatCode>General</c:formatCode>
                <c:ptCount val="8"/>
                <c:pt idx="0">
                  <c:v>2014</c:v>
                </c:pt>
                <c:pt idx="1">
                  <c:v>2015</c:v>
                </c:pt>
                <c:pt idx="2">
                  <c:v>2016</c:v>
                </c:pt>
                <c:pt idx="3">
                  <c:v>2017</c:v>
                </c:pt>
                <c:pt idx="4">
                  <c:v>2018</c:v>
                </c:pt>
                <c:pt idx="5">
                  <c:v>2019</c:v>
                </c:pt>
                <c:pt idx="6">
                  <c:v>2020</c:v>
                </c:pt>
                <c:pt idx="7">
                  <c:v>2021</c:v>
                </c:pt>
              </c:numCache>
            </c:numRef>
          </c:cat>
          <c:val>
            <c:numRef>
              <c:f>'8-year data'!$V$6:$AC$6</c:f>
              <c:numCache>
                <c:formatCode>0</c:formatCode>
                <c:ptCount val="8"/>
                <c:pt idx="0">
                  <c:v>1642.4450048483368</c:v>
                </c:pt>
                <c:pt idx="1">
                  <c:v>1233.1974840820894</c:v>
                </c:pt>
                <c:pt idx="2">
                  <c:v>1324.9888753281225</c:v>
                </c:pt>
                <c:pt idx="3">
                  <c:v>1240.3006043570699</c:v>
                </c:pt>
                <c:pt idx="4">
                  <c:v>1141.7790140150184</c:v>
                </c:pt>
                <c:pt idx="5">
                  <c:v>1096.6345151657902</c:v>
                </c:pt>
                <c:pt idx="6">
                  <c:v>1076.8938876092961</c:v>
                </c:pt>
                <c:pt idx="7" formatCode="#,##0">
                  <c:v>1157.8508198093762</c:v>
                </c:pt>
              </c:numCache>
            </c:numRef>
          </c:val>
          <c:extLst>
            <c:ext xmlns:c16="http://schemas.microsoft.com/office/drawing/2014/chart" uri="{C3380CC4-5D6E-409C-BE32-E72D297353CC}">
              <c16:uniqueId val="{0000000E-D218-4381-82F4-38636C558CC2}"/>
            </c:ext>
          </c:extLst>
        </c:ser>
        <c:ser>
          <c:idx val="1"/>
          <c:order val="1"/>
          <c:tx>
            <c:strRef>
              <c:f>'8-year data'!$U$7</c:f>
              <c:strCache>
                <c:ptCount val="1"/>
                <c:pt idx="0">
                  <c:v>Forecast expenditure</c:v>
                </c:pt>
              </c:strCache>
            </c:strRef>
          </c:tx>
          <c:spPr>
            <a:solidFill>
              <a:schemeClr val="accent2"/>
            </a:solidFill>
            <a:ln>
              <a:noFill/>
            </a:ln>
            <a:effectLst/>
          </c:spPr>
          <c:invertIfNegative val="0"/>
          <c:dPt>
            <c:idx val="6"/>
            <c:invertIfNegative val="0"/>
            <c:bubble3D val="0"/>
            <c:spPr>
              <a:solidFill>
                <a:srgbClr val="A1ABA8"/>
              </a:solidFill>
              <a:ln>
                <a:noFill/>
              </a:ln>
              <a:effectLst/>
            </c:spPr>
            <c:extLst>
              <c:ext xmlns:c16="http://schemas.microsoft.com/office/drawing/2014/chart" uri="{C3380CC4-5D6E-409C-BE32-E72D297353CC}">
                <c16:uniqueId val="{00000010-D218-4381-82F4-38636C558CC2}"/>
              </c:ext>
            </c:extLst>
          </c:dPt>
          <c:dPt>
            <c:idx val="7"/>
            <c:invertIfNegative val="0"/>
            <c:bubble3D val="0"/>
            <c:spPr>
              <a:solidFill>
                <a:srgbClr val="A28F5C"/>
              </a:solidFill>
              <a:ln>
                <a:noFill/>
              </a:ln>
              <a:effectLst/>
            </c:spPr>
            <c:extLst>
              <c:ext xmlns:c16="http://schemas.microsoft.com/office/drawing/2014/chart" uri="{C3380CC4-5D6E-409C-BE32-E72D297353CC}">
                <c16:uniqueId val="{00000012-D218-4381-82F4-38636C558CC2}"/>
              </c:ext>
            </c:extLst>
          </c:dPt>
          <c:cat>
            <c:numRef>
              <c:f>'8-year data'!$V$5:$AC$5</c:f>
              <c:numCache>
                <c:formatCode>General</c:formatCode>
                <c:ptCount val="8"/>
                <c:pt idx="0">
                  <c:v>2014</c:v>
                </c:pt>
                <c:pt idx="1">
                  <c:v>2015</c:v>
                </c:pt>
                <c:pt idx="2">
                  <c:v>2016</c:v>
                </c:pt>
                <c:pt idx="3">
                  <c:v>2017</c:v>
                </c:pt>
                <c:pt idx="4">
                  <c:v>2018</c:v>
                </c:pt>
                <c:pt idx="5">
                  <c:v>2019</c:v>
                </c:pt>
                <c:pt idx="6">
                  <c:v>2020</c:v>
                </c:pt>
                <c:pt idx="7">
                  <c:v>2021</c:v>
                </c:pt>
              </c:numCache>
            </c:numRef>
          </c:cat>
          <c:val>
            <c:numRef>
              <c:f>'8-year data'!$V$7:$AC$7</c:f>
              <c:numCache>
                <c:formatCode>General</c:formatCode>
                <c:ptCount val="8"/>
              </c:numCache>
            </c:numRef>
          </c:val>
          <c:extLst>
            <c:ext xmlns:c16="http://schemas.microsoft.com/office/drawing/2014/chart" uri="{C3380CC4-5D6E-409C-BE32-E72D297353CC}">
              <c16:uniqueId val="{00000013-D218-4381-82F4-38636C558CC2}"/>
            </c:ext>
          </c:extLst>
        </c:ser>
        <c:dLbls>
          <c:showLegendKey val="0"/>
          <c:showVal val="0"/>
          <c:showCatName val="0"/>
          <c:showSerName val="0"/>
          <c:showPercent val="0"/>
          <c:showBubbleSize val="0"/>
        </c:dLbls>
        <c:gapWidth val="150"/>
        <c:axId val="957554680"/>
        <c:axId val="957555008"/>
      </c:barChart>
      <c:lineChart>
        <c:grouping val="standard"/>
        <c:varyColors val="0"/>
        <c:ser>
          <c:idx val="2"/>
          <c:order val="2"/>
          <c:tx>
            <c:strRef>
              <c:f>'8-year data'!$U$8</c:f>
              <c:strCache>
                <c:ptCount val="1"/>
                <c:pt idx="0">
                  <c:v>Adjusted allowance</c:v>
                </c:pt>
              </c:strCache>
            </c:strRef>
          </c:tx>
          <c:spPr>
            <a:ln w="28575" cap="rnd">
              <a:solidFill>
                <a:schemeClr val="tx1"/>
              </a:solidFill>
              <a:round/>
            </a:ln>
            <a:effectLst/>
          </c:spPr>
          <c:marker>
            <c:symbol val="none"/>
          </c:marker>
          <c:cat>
            <c:numRef>
              <c:f>'8-year data'!$V$5:$AC$5</c:f>
              <c:numCache>
                <c:formatCode>General</c:formatCode>
                <c:ptCount val="8"/>
                <c:pt idx="0">
                  <c:v>2014</c:v>
                </c:pt>
                <c:pt idx="1">
                  <c:v>2015</c:v>
                </c:pt>
                <c:pt idx="2">
                  <c:v>2016</c:v>
                </c:pt>
                <c:pt idx="3">
                  <c:v>2017</c:v>
                </c:pt>
                <c:pt idx="4">
                  <c:v>2018</c:v>
                </c:pt>
                <c:pt idx="5">
                  <c:v>2019</c:v>
                </c:pt>
                <c:pt idx="6">
                  <c:v>2020</c:v>
                </c:pt>
                <c:pt idx="7">
                  <c:v>2021</c:v>
                </c:pt>
              </c:numCache>
            </c:numRef>
          </c:cat>
          <c:val>
            <c:numRef>
              <c:f>'8-year data'!$V$8:$AC$8</c:f>
              <c:numCache>
                <c:formatCode>0</c:formatCode>
                <c:ptCount val="8"/>
                <c:pt idx="0">
                  <c:v>2165.1744037247863</c:v>
                </c:pt>
                <c:pt idx="1">
                  <c:v>1872.7675529475705</c:v>
                </c:pt>
                <c:pt idx="2">
                  <c:v>1549.6723347309264</c:v>
                </c:pt>
                <c:pt idx="3">
                  <c:v>1419.7259377797068</c:v>
                </c:pt>
                <c:pt idx="4">
                  <c:v>1391.6437867787117</c:v>
                </c:pt>
                <c:pt idx="5">
                  <c:v>1659.5012505789448</c:v>
                </c:pt>
                <c:pt idx="6">
                  <c:v>1544.786906699065</c:v>
                </c:pt>
                <c:pt idx="7">
                  <c:v>1613.5374059226942</c:v>
                </c:pt>
              </c:numCache>
            </c:numRef>
          </c:val>
          <c:smooth val="0"/>
          <c:extLst>
            <c:ext xmlns:c16="http://schemas.microsoft.com/office/drawing/2014/chart" uri="{C3380CC4-5D6E-409C-BE32-E72D297353CC}">
              <c16:uniqueId val="{00000014-D218-4381-82F4-38636C558CC2}"/>
            </c:ext>
          </c:extLst>
        </c:ser>
        <c:dLbls>
          <c:showLegendKey val="0"/>
          <c:showVal val="0"/>
          <c:showCatName val="0"/>
          <c:showSerName val="0"/>
          <c:showPercent val="0"/>
          <c:showBubbleSize val="0"/>
        </c:dLbls>
        <c:marker val="1"/>
        <c:smooth val="0"/>
        <c:axId val="957554680"/>
        <c:axId val="957555008"/>
      </c:lineChart>
      <c:catAx>
        <c:axId val="957554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7555008"/>
        <c:crosses val="autoZero"/>
        <c:auto val="1"/>
        <c:lblAlgn val="ctr"/>
        <c:lblOffset val="100"/>
        <c:noMultiLvlLbl val="0"/>
      </c:catAx>
      <c:valAx>
        <c:axId val="957555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a:t>
                </a:r>
                <a:r>
                  <a:rPr lang="en-GB" baseline="0"/>
                  <a:t> 2020/21 prices</a:t>
                </a:r>
                <a:endParaRPr lang="en-GB"/>
              </a:p>
            </c:rich>
          </c:tx>
          <c:layout>
            <c:manualLayout>
              <c:xMode val="edge"/>
              <c:yMode val="edge"/>
              <c:x val="1.371428242326931E-2"/>
              <c:y val="0.3902188346456693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75546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5">
  <a:schemeClr val="accent2"/>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5</xdr:col>
      <xdr:colOff>171202</xdr:colOff>
      <xdr:row>0</xdr:row>
      <xdr:rowOff>199385</xdr:rowOff>
    </xdr:from>
    <xdr:to>
      <xdr:col>6</xdr:col>
      <xdr:colOff>350779</xdr:colOff>
      <xdr:row>3</xdr:row>
      <xdr:rowOff>61272</xdr:rowOff>
    </xdr:to>
    <xdr:pic>
      <xdr:nvPicPr>
        <xdr:cNvPr id="3" name="Picture 2" title="white box">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1827" y="199385"/>
          <a:ext cx="925702" cy="925512"/>
        </a:xfrm>
        <a:prstGeom prst="rect">
          <a:avLst/>
        </a:prstGeom>
      </xdr:spPr>
    </xdr:pic>
    <xdr:clientData/>
  </xdr:twoCellAnchor>
  <xdr:twoCellAnchor>
    <xdr:from>
      <xdr:col>3</xdr:col>
      <xdr:colOff>515574</xdr:colOff>
      <xdr:row>6</xdr:row>
      <xdr:rowOff>122340</xdr:rowOff>
    </xdr:from>
    <xdr:to>
      <xdr:col>19</xdr:col>
      <xdr:colOff>416718</xdr:colOff>
      <xdr:row>11</xdr:row>
      <xdr:rowOff>44863</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587262" y="1670153"/>
          <a:ext cx="10950144" cy="7559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400" u="none">
              <a:latin typeface="Verdana" panose="020B0604030504040204" pitchFamily="34" charset="0"/>
              <a:ea typeface="Verdana" panose="020B0604030504040204" pitchFamily="34" charset="0"/>
              <a:cs typeface="Verdana" panose="020B0604030504040204" pitchFamily="34" charset="0"/>
            </a:rPr>
            <a:t>RIIO-ET1</a:t>
          </a:r>
          <a:r>
            <a:rPr lang="en-GB" sz="2400" u="none" baseline="0">
              <a:latin typeface="Verdana" panose="020B0604030504040204" pitchFamily="34" charset="0"/>
              <a:ea typeface="Verdana" panose="020B0604030504040204" pitchFamily="34" charset="0"/>
              <a:cs typeface="Verdana" panose="020B0604030504040204" pitchFamily="34" charset="0"/>
            </a:rPr>
            <a:t> </a:t>
          </a:r>
          <a:r>
            <a:rPr lang="en-GB" sz="2400" u="none">
              <a:latin typeface="Verdana" panose="020B0604030504040204" pitchFamily="34" charset="0"/>
              <a:ea typeface="Verdana" panose="020B0604030504040204" pitchFamily="34" charset="0"/>
              <a:cs typeface="Verdana" panose="020B0604030504040204" pitchFamily="34" charset="0"/>
            </a:rPr>
            <a:t>Performance</a:t>
          </a:r>
          <a:r>
            <a:rPr lang="en-GB" sz="2400" u="none" baseline="0">
              <a:latin typeface="Verdana" panose="020B0604030504040204" pitchFamily="34" charset="0"/>
              <a:ea typeface="Verdana" panose="020B0604030504040204" pitchFamily="34" charset="0"/>
              <a:cs typeface="Verdana" panose="020B0604030504040204" pitchFamily="34" charset="0"/>
            </a:rPr>
            <a:t> Summary </a:t>
          </a:r>
          <a:r>
            <a:rPr lang="en-GB" sz="2400" u="none">
              <a:latin typeface="Verdana" panose="020B0604030504040204" pitchFamily="34" charset="0"/>
              <a:ea typeface="Verdana" panose="020B0604030504040204" pitchFamily="34" charset="0"/>
              <a:cs typeface="Verdana" panose="020B0604030504040204" pitchFamily="34" charset="0"/>
            </a:rPr>
            <a:t>2020-21</a:t>
          </a:r>
          <a:r>
            <a:rPr lang="en-GB" sz="2400" u="none" baseline="0">
              <a:latin typeface="Verdana" panose="020B0604030504040204" pitchFamily="34" charset="0"/>
              <a:ea typeface="Verdana" panose="020B0604030504040204" pitchFamily="34" charset="0"/>
              <a:cs typeface="Verdana" panose="020B0604030504040204" pitchFamily="34" charset="0"/>
            </a:rPr>
            <a:t> Supplementary Data File </a:t>
          </a:r>
          <a:endParaRPr lang="en-GB" sz="2400" u="none">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4</xdr:col>
      <xdr:colOff>80294</xdr:colOff>
      <xdr:row>1</xdr:row>
      <xdr:rowOff>5359</xdr:rowOff>
    </xdr:to>
    <xdr:pic>
      <xdr:nvPicPr>
        <xdr:cNvPr id="5" name="Picture 4" descr="image of the Ofgem logo" title="Ofgem logo">
          <a:extLst>
            <a:ext uri="{FF2B5EF4-FFF2-40B4-BE49-F238E27FC236}">
              <a16:creationId xmlns:a16="http://schemas.microsoft.com/office/drawing/2014/main" id="{EEB67AB0-51FB-4B5C-90EF-F43D3954556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064794" cy="7197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55562</xdr:colOff>
      <xdr:row>5</xdr:row>
      <xdr:rowOff>127002</xdr:rowOff>
    </xdr:from>
    <xdr:to>
      <xdr:col>11</xdr:col>
      <xdr:colOff>126999</xdr:colOff>
      <xdr:row>12</xdr:row>
      <xdr:rowOff>79375</xdr:rowOff>
    </xdr:to>
    <xdr:sp macro="" textlink="">
      <xdr:nvSpPr>
        <xdr:cNvPr id="2" name="TextBox 1">
          <a:extLst>
            <a:ext uri="{FF2B5EF4-FFF2-40B4-BE49-F238E27FC236}">
              <a16:creationId xmlns:a16="http://schemas.microsoft.com/office/drawing/2014/main" id="{67A145D6-7AB9-4FDF-AB43-B36BBB02CA7D}"/>
            </a:ext>
          </a:extLst>
        </xdr:cNvPr>
        <xdr:cNvSpPr txBox="1"/>
      </xdr:nvSpPr>
      <xdr:spPr>
        <a:xfrm flipH="1">
          <a:off x="13414375" y="1722440"/>
          <a:ext cx="6365874" cy="13890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More details can be found in Special Conditions (National Grid Electricity Transmission plc - Special Conditions Consolidated - Current Version.pdf (ofgem.gov.uk). For more details on reliability outputs please see chapter Special Condition 3C (Reliability Incentive Adjustment in Respect of Energy Not Supplied), for stakeholder and customer satisfaction please see Special Condition 3D (Stakeholder Satisfaction Output). Environmental outputs are listed in Special Condition 3E (Incentive in Respect of Sulphur Hexafluoride (SF6) Gas Emiss</a:t>
          </a:r>
          <a:r>
            <a:rPr lang="en-US" sz="1100" b="0">
              <a:solidFill>
                <a:schemeClr val="dk1"/>
              </a:solidFill>
              <a:latin typeface="+mn-lt"/>
              <a:ea typeface="+mn-ea"/>
              <a:cs typeface="+mn-cs"/>
            </a:rPr>
            <a:t>ions). For more</a:t>
          </a:r>
          <a:r>
            <a:rPr lang="en-US" sz="1100" b="0" baseline="0">
              <a:solidFill>
                <a:schemeClr val="dk1"/>
              </a:solidFill>
              <a:latin typeface="+mn-lt"/>
              <a:ea typeface="+mn-ea"/>
              <a:cs typeface="+mn-cs"/>
            </a:rPr>
            <a:t> details on timely connections see chapter </a:t>
          </a:r>
          <a:r>
            <a:rPr lang="en-GB" sz="1100" b="0">
              <a:solidFill>
                <a:schemeClr val="dk1"/>
              </a:solidFill>
              <a:effectLst/>
              <a:latin typeface="+mn-lt"/>
              <a:ea typeface="+mn-ea"/>
              <a:cs typeface="+mn-cs"/>
            </a:rPr>
            <a:t>Special Condition 3G</a:t>
          </a:r>
          <a:r>
            <a:rPr lang="en-GB" sz="1100" b="0" baseline="0">
              <a:solidFill>
                <a:schemeClr val="dk1"/>
              </a:solidFill>
              <a:effectLst/>
              <a:latin typeface="+mn-lt"/>
              <a:ea typeface="+mn-ea"/>
              <a:cs typeface="+mn-cs"/>
            </a:rPr>
            <a:t> (</a:t>
          </a:r>
          <a:r>
            <a:rPr lang="en-GB" sz="1100" b="0">
              <a:solidFill>
                <a:schemeClr val="dk1"/>
              </a:solidFill>
              <a:effectLst/>
              <a:latin typeface="+mn-lt"/>
              <a:ea typeface="+mn-ea"/>
              <a:cs typeface="+mn-cs"/>
            </a:rPr>
            <a:t>Financial Incentive for Timely Connections Output).</a:t>
          </a:r>
        </a:p>
        <a:p>
          <a:endParaRPr lang="en-US" sz="1100">
            <a:solidFill>
              <a:schemeClr val="dk1"/>
            </a:solidFill>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28575</xdr:colOff>
      <xdr:row>74</xdr:row>
      <xdr:rowOff>38101</xdr:rowOff>
    </xdr:from>
    <xdr:to>
      <xdr:col>14</xdr:col>
      <xdr:colOff>428472</xdr:colOff>
      <xdr:row>80</xdr:row>
      <xdr:rowOff>94886</xdr:rowOff>
    </xdr:to>
    <xdr:pic>
      <xdr:nvPicPr>
        <xdr:cNvPr id="2" name="Picture 1">
          <a:extLst>
            <a:ext uri="{FF2B5EF4-FFF2-40B4-BE49-F238E27FC236}">
              <a16:creationId xmlns:a16="http://schemas.microsoft.com/office/drawing/2014/main" id="{6FB63DEB-6B28-4DAE-A949-3D40E9944200}"/>
            </a:ext>
          </a:extLst>
        </xdr:cNvPr>
        <xdr:cNvPicPr>
          <a:picLocks noChangeAspect="1"/>
        </xdr:cNvPicPr>
      </xdr:nvPicPr>
      <xdr:blipFill>
        <a:blip xmlns:r="http://schemas.openxmlformats.org/officeDocument/2006/relationships" r:embed="rId1"/>
        <a:stretch>
          <a:fillRect/>
        </a:stretch>
      </xdr:blipFill>
      <xdr:spPr>
        <a:xfrm>
          <a:off x="9144001" y="12906377"/>
          <a:ext cx="4581371" cy="1133474"/>
        </a:xfrm>
        <a:prstGeom prst="rect">
          <a:avLst/>
        </a:prstGeom>
      </xdr:spPr>
    </xdr:pic>
    <xdr:clientData/>
  </xdr:twoCellAnchor>
  <xdr:twoCellAnchor editAs="oneCell">
    <xdr:from>
      <xdr:col>8</xdr:col>
      <xdr:colOff>828676</xdr:colOff>
      <xdr:row>83</xdr:row>
      <xdr:rowOff>123825</xdr:rowOff>
    </xdr:from>
    <xdr:to>
      <xdr:col>14</xdr:col>
      <xdr:colOff>271849</xdr:colOff>
      <xdr:row>89</xdr:row>
      <xdr:rowOff>247555</xdr:rowOff>
    </xdr:to>
    <xdr:pic>
      <xdr:nvPicPr>
        <xdr:cNvPr id="3" name="Picture 2">
          <a:extLst>
            <a:ext uri="{FF2B5EF4-FFF2-40B4-BE49-F238E27FC236}">
              <a16:creationId xmlns:a16="http://schemas.microsoft.com/office/drawing/2014/main" id="{84494F43-2587-4A9A-9997-6349C787ABF7}"/>
            </a:ext>
          </a:extLst>
        </xdr:cNvPr>
        <xdr:cNvPicPr>
          <a:picLocks noChangeAspect="1"/>
        </xdr:cNvPicPr>
      </xdr:nvPicPr>
      <xdr:blipFill>
        <a:blip xmlns:r="http://schemas.openxmlformats.org/officeDocument/2006/relationships" r:embed="rId2"/>
        <a:stretch>
          <a:fillRect/>
        </a:stretch>
      </xdr:blipFill>
      <xdr:spPr>
        <a:xfrm>
          <a:off x="9077326" y="14449425"/>
          <a:ext cx="4491423" cy="1095375"/>
        </a:xfrm>
        <a:prstGeom prst="rect">
          <a:avLst/>
        </a:prstGeom>
      </xdr:spPr>
    </xdr:pic>
    <xdr:clientData/>
  </xdr:twoCellAnchor>
  <xdr:twoCellAnchor editAs="oneCell">
    <xdr:from>
      <xdr:col>9</xdr:col>
      <xdr:colOff>0</xdr:colOff>
      <xdr:row>94</xdr:row>
      <xdr:rowOff>0</xdr:rowOff>
    </xdr:from>
    <xdr:to>
      <xdr:col>14</xdr:col>
      <xdr:colOff>280323</xdr:colOff>
      <xdr:row>100</xdr:row>
      <xdr:rowOff>133349</xdr:rowOff>
    </xdr:to>
    <xdr:pic>
      <xdr:nvPicPr>
        <xdr:cNvPr id="4" name="Picture 3">
          <a:extLst>
            <a:ext uri="{FF2B5EF4-FFF2-40B4-BE49-F238E27FC236}">
              <a16:creationId xmlns:a16="http://schemas.microsoft.com/office/drawing/2014/main" id="{C8AAB872-329D-4B52-8275-524F8A8BD5BA}"/>
            </a:ext>
          </a:extLst>
        </xdr:cNvPr>
        <xdr:cNvPicPr>
          <a:picLocks noChangeAspect="1"/>
        </xdr:cNvPicPr>
      </xdr:nvPicPr>
      <xdr:blipFill>
        <a:blip xmlns:r="http://schemas.openxmlformats.org/officeDocument/2006/relationships" r:embed="rId3"/>
        <a:stretch>
          <a:fillRect/>
        </a:stretch>
      </xdr:blipFill>
      <xdr:spPr>
        <a:xfrm>
          <a:off x="9115426" y="16106776"/>
          <a:ext cx="4461797" cy="1104899"/>
        </a:xfrm>
        <a:prstGeom prst="rect">
          <a:avLst/>
        </a:prstGeom>
      </xdr:spPr>
    </xdr:pic>
    <xdr:clientData/>
  </xdr:twoCellAnchor>
  <xdr:twoCellAnchor editAs="oneCell">
    <xdr:from>
      <xdr:col>9</xdr:col>
      <xdr:colOff>0</xdr:colOff>
      <xdr:row>105</xdr:row>
      <xdr:rowOff>0</xdr:rowOff>
    </xdr:from>
    <xdr:to>
      <xdr:col>14</xdr:col>
      <xdr:colOff>226916</xdr:colOff>
      <xdr:row>110</xdr:row>
      <xdr:rowOff>142875</xdr:rowOff>
    </xdr:to>
    <xdr:pic>
      <xdr:nvPicPr>
        <xdr:cNvPr id="5" name="Picture 4">
          <a:extLst>
            <a:ext uri="{FF2B5EF4-FFF2-40B4-BE49-F238E27FC236}">
              <a16:creationId xmlns:a16="http://schemas.microsoft.com/office/drawing/2014/main" id="{8339EC5E-39E3-4B1B-8351-52ED58DDBB83}"/>
            </a:ext>
          </a:extLst>
        </xdr:cNvPr>
        <xdr:cNvPicPr>
          <a:picLocks noChangeAspect="1"/>
        </xdr:cNvPicPr>
      </xdr:nvPicPr>
      <xdr:blipFill>
        <a:blip xmlns:r="http://schemas.openxmlformats.org/officeDocument/2006/relationships" r:embed="rId4"/>
        <a:stretch>
          <a:fillRect/>
        </a:stretch>
      </xdr:blipFill>
      <xdr:spPr>
        <a:xfrm>
          <a:off x="9115426" y="17887950"/>
          <a:ext cx="4408390" cy="952500"/>
        </a:xfrm>
        <a:prstGeom prst="rect">
          <a:avLst/>
        </a:prstGeom>
      </xdr:spPr>
    </xdr:pic>
    <xdr:clientData/>
  </xdr:twoCellAnchor>
  <xdr:twoCellAnchor editAs="oneCell">
    <xdr:from>
      <xdr:col>9</xdr:col>
      <xdr:colOff>0</xdr:colOff>
      <xdr:row>116</xdr:row>
      <xdr:rowOff>0</xdr:rowOff>
    </xdr:from>
    <xdr:to>
      <xdr:col>14</xdr:col>
      <xdr:colOff>251438</xdr:colOff>
      <xdr:row>121</xdr:row>
      <xdr:rowOff>133347</xdr:rowOff>
    </xdr:to>
    <xdr:pic>
      <xdr:nvPicPr>
        <xdr:cNvPr id="6" name="Picture 5">
          <a:extLst>
            <a:ext uri="{FF2B5EF4-FFF2-40B4-BE49-F238E27FC236}">
              <a16:creationId xmlns:a16="http://schemas.microsoft.com/office/drawing/2014/main" id="{D12C8890-8955-47F6-8F2C-AA5066168E15}"/>
            </a:ext>
          </a:extLst>
        </xdr:cNvPr>
        <xdr:cNvPicPr>
          <a:picLocks noChangeAspect="1"/>
        </xdr:cNvPicPr>
      </xdr:nvPicPr>
      <xdr:blipFill>
        <a:blip xmlns:r="http://schemas.openxmlformats.org/officeDocument/2006/relationships" r:embed="rId5"/>
        <a:stretch>
          <a:fillRect/>
        </a:stretch>
      </xdr:blipFill>
      <xdr:spPr>
        <a:xfrm>
          <a:off x="9115426" y="19669126"/>
          <a:ext cx="4432912" cy="942974"/>
        </a:xfrm>
        <a:prstGeom prst="rect">
          <a:avLst/>
        </a:prstGeom>
      </xdr:spPr>
    </xdr:pic>
    <xdr:clientData/>
  </xdr:twoCellAnchor>
  <xdr:twoCellAnchor editAs="oneCell">
    <xdr:from>
      <xdr:col>9</xdr:col>
      <xdr:colOff>1</xdr:colOff>
      <xdr:row>125</xdr:row>
      <xdr:rowOff>1</xdr:rowOff>
    </xdr:from>
    <xdr:to>
      <xdr:col>14</xdr:col>
      <xdr:colOff>354683</xdr:colOff>
      <xdr:row>132</xdr:row>
      <xdr:rowOff>142876</xdr:rowOff>
    </xdr:to>
    <xdr:pic>
      <xdr:nvPicPr>
        <xdr:cNvPr id="7" name="Picture 6">
          <a:extLst>
            <a:ext uri="{FF2B5EF4-FFF2-40B4-BE49-F238E27FC236}">
              <a16:creationId xmlns:a16="http://schemas.microsoft.com/office/drawing/2014/main" id="{02E22088-922C-4F31-B059-452428C0D871}"/>
            </a:ext>
          </a:extLst>
        </xdr:cNvPr>
        <xdr:cNvPicPr>
          <a:picLocks noChangeAspect="1"/>
        </xdr:cNvPicPr>
      </xdr:nvPicPr>
      <xdr:blipFill>
        <a:blip xmlns:r="http://schemas.openxmlformats.org/officeDocument/2006/relationships" r:embed="rId6"/>
        <a:stretch>
          <a:fillRect/>
        </a:stretch>
      </xdr:blipFill>
      <xdr:spPr>
        <a:xfrm>
          <a:off x="9115427" y="21126451"/>
          <a:ext cx="4536156" cy="1276350"/>
        </a:xfrm>
        <a:prstGeom prst="rect">
          <a:avLst/>
        </a:prstGeom>
      </xdr:spPr>
    </xdr:pic>
    <xdr:clientData/>
  </xdr:twoCellAnchor>
  <xdr:twoCellAnchor editAs="oneCell">
    <xdr:from>
      <xdr:col>8</xdr:col>
      <xdr:colOff>838201</xdr:colOff>
      <xdr:row>136</xdr:row>
      <xdr:rowOff>66675</xdr:rowOff>
    </xdr:from>
    <xdr:to>
      <xdr:col>14</xdr:col>
      <xdr:colOff>428392</xdr:colOff>
      <xdr:row>144</xdr:row>
      <xdr:rowOff>66676</xdr:rowOff>
    </xdr:to>
    <xdr:pic>
      <xdr:nvPicPr>
        <xdr:cNvPr id="8" name="Picture 7">
          <a:extLst>
            <a:ext uri="{FF2B5EF4-FFF2-40B4-BE49-F238E27FC236}">
              <a16:creationId xmlns:a16="http://schemas.microsoft.com/office/drawing/2014/main" id="{B092B1B4-6351-4A39-9656-10C2007591CF}"/>
            </a:ext>
          </a:extLst>
        </xdr:cNvPr>
        <xdr:cNvPicPr>
          <a:picLocks noChangeAspect="1"/>
        </xdr:cNvPicPr>
      </xdr:nvPicPr>
      <xdr:blipFill>
        <a:blip xmlns:r="http://schemas.openxmlformats.org/officeDocument/2006/relationships" r:embed="rId7"/>
        <a:stretch>
          <a:fillRect/>
        </a:stretch>
      </xdr:blipFill>
      <xdr:spPr>
        <a:xfrm>
          <a:off x="9086851" y="22974301"/>
          <a:ext cx="4638441" cy="1295400"/>
        </a:xfrm>
        <a:prstGeom prst="rect">
          <a:avLst/>
        </a:prstGeom>
      </xdr:spPr>
    </xdr:pic>
    <xdr:clientData/>
  </xdr:twoCellAnchor>
  <xdr:twoCellAnchor editAs="oneCell">
    <xdr:from>
      <xdr:col>8</xdr:col>
      <xdr:colOff>853606</xdr:colOff>
      <xdr:row>64</xdr:row>
      <xdr:rowOff>50800</xdr:rowOff>
    </xdr:from>
    <xdr:to>
      <xdr:col>14</xdr:col>
      <xdr:colOff>562131</xdr:colOff>
      <xdr:row>71</xdr:row>
      <xdr:rowOff>43616</xdr:rowOff>
    </xdr:to>
    <xdr:pic>
      <xdr:nvPicPr>
        <xdr:cNvPr id="9" name="Picture 8">
          <a:extLst>
            <a:ext uri="{FF2B5EF4-FFF2-40B4-BE49-F238E27FC236}">
              <a16:creationId xmlns:a16="http://schemas.microsoft.com/office/drawing/2014/main" id="{C32699DF-978D-4E55-A876-2DEC735E9D8B}"/>
            </a:ext>
          </a:extLst>
        </xdr:cNvPr>
        <xdr:cNvPicPr>
          <a:picLocks noChangeAspect="1"/>
        </xdr:cNvPicPr>
      </xdr:nvPicPr>
      <xdr:blipFill>
        <a:blip xmlns:r="http://schemas.openxmlformats.org/officeDocument/2006/relationships" r:embed="rId8"/>
        <a:stretch>
          <a:fillRect/>
        </a:stretch>
      </xdr:blipFill>
      <xdr:spPr>
        <a:xfrm>
          <a:off x="9286406" y="13525500"/>
          <a:ext cx="4902825" cy="12628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495300</xdr:colOff>
      <xdr:row>3</xdr:row>
      <xdr:rowOff>5442</xdr:rowOff>
    </xdr:from>
    <xdr:to>
      <xdr:col>15</xdr:col>
      <xdr:colOff>628650</xdr:colOff>
      <xdr:row>20</xdr:row>
      <xdr:rowOff>65314</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152399</xdr:colOff>
      <xdr:row>45</xdr:row>
      <xdr:rowOff>123824</xdr:rowOff>
    </xdr:from>
    <xdr:to>
      <xdr:col>16</xdr:col>
      <xdr:colOff>285749</xdr:colOff>
      <xdr:row>63</xdr:row>
      <xdr:rowOff>2722</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571500</xdr:colOff>
      <xdr:row>66</xdr:row>
      <xdr:rowOff>104775</xdr:rowOff>
    </xdr:from>
    <xdr:to>
      <xdr:col>16</xdr:col>
      <xdr:colOff>19050</xdr:colOff>
      <xdr:row>84</xdr:row>
      <xdr:rowOff>2722</xdr:rowOff>
    </xdr:to>
    <xdr:graphicFrame macro="">
      <xdr:nvGraphicFramePr>
        <xdr:cNvPr id="5" name="Chart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457201</xdr:colOff>
      <xdr:row>23</xdr:row>
      <xdr:rowOff>133350</xdr:rowOff>
    </xdr:from>
    <xdr:to>
      <xdr:col>15</xdr:col>
      <xdr:colOff>443120</xdr:colOff>
      <xdr:row>36</xdr:row>
      <xdr:rowOff>136663</xdr:rowOff>
    </xdr:to>
    <xdr:graphicFrame macro="">
      <xdr:nvGraphicFramePr>
        <xdr:cNvPr id="7" name="Chart 6">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0</xdr:colOff>
      <xdr:row>47</xdr:row>
      <xdr:rowOff>12700</xdr:rowOff>
    </xdr:from>
    <xdr:to>
      <xdr:col>25</xdr:col>
      <xdr:colOff>133350</xdr:colOff>
      <xdr:row>64</xdr:row>
      <xdr:rowOff>53522</xdr:rowOff>
    </xdr:to>
    <xdr:graphicFrame macro="">
      <xdr:nvGraphicFramePr>
        <xdr:cNvPr id="8" name="Chart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0</xdr:colOff>
      <xdr:row>67</xdr:row>
      <xdr:rowOff>0</xdr:rowOff>
    </xdr:from>
    <xdr:to>
      <xdr:col>25</xdr:col>
      <xdr:colOff>133350</xdr:colOff>
      <xdr:row>84</xdr:row>
      <xdr:rowOff>59872</xdr:rowOff>
    </xdr:to>
    <xdr:graphicFrame macro="">
      <xdr:nvGraphicFramePr>
        <xdr:cNvPr id="9" name="Chart 8">
          <a:extLst>
            <a:ext uri="{FF2B5EF4-FFF2-40B4-BE49-F238E27FC236}">
              <a16:creationId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xdr:col>
      <xdr:colOff>0</xdr:colOff>
      <xdr:row>3</xdr:row>
      <xdr:rowOff>0</xdr:rowOff>
    </xdr:from>
    <xdr:to>
      <xdr:col>32</xdr:col>
      <xdr:colOff>133350</xdr:colOff>
      <xdr:row>20</xdr:row>
      <xdr:rowOff>59872</xdr:rowOff>
    </xdr:to>
    <xdr:graphicFrame macro="">
      <xdr:nvGraphicFramePr>
        <xdr:cNvPr id="11" name="Chart 10">
          <a:extLst>
            <a:ext uri="{FF2B5EF4-FFF2-40B4-BE49-F238E27FC236}">
              <a16:creationId xmlns:a16="http://schemas.microsoft.com/office/drawing/2014/main" id="{00000000-0008-0000-05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47624</xdr:colOff>
      <xdr:row>2</xdr:row>
      <xdr:rowOff>9525</xdr:rowOff>
    </xdr:from>
    <xdr:to>
      <xdr:col>6</xdr:col>
      <xdr:colOff>371927</xdr:colOff>
      <xdr:row>19</xdr:row>
      <xdr:rowOff>55789</xdr:rowOff>
    </xdr:to>
    <xdr:graphicFrame macro="">
      <xdr:nvGraphicFramePr>
        <xdr:cNvPr id="2" name="Chart 8">
          <a:extLst>
            <a:ext uri="{FF2B5EF4-FFF2-40B4-BE49-F238E27FC236}">
              <a16:creationId xmlns:a16="http://schemas.microsoft.com/office/drawing/2014/main" id="{6F8F579C-B1D4-4786-A315-B731D0939C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20</xdr:col>
      <xdr:colOff>166688</xdr:colOff>
      <xdr:row>11</xdr:row>
      <xdr:rowOff>95250</xdr:rowOff>
    </xdr:from>
    <xdr:to>
      <xdr:col>26</xdr:col>
      <xdr:colOff>333374</xdr:colOff>
      <xdr:row>30</xdr:row>
      <xdr:rowOff>127000</xdr:rowOff>
    </xdr:to>
    <xdr:graphicFrame macro="">
      <xdr:nvGraphicFramePr>
        <xdr:cNvPr id="2" name="Chart 1">
          <a:extLst>
            <a:ext uri="{FF2B5EF4-FFF2-40B4-BE49-F238E27FC236}">
              <a16:creationId xmlns:a16="http://schemas.microsoft.com/office/drawing/2014/main" id="{0463E437-8BD0-410D-BF59-2F602B6516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33</xdr:col>
      <xdr:colOff>11338</xdr:colOff>
      <xdr:row>10</xdr:row>
      <xdr:rowOff>142192</xdr:rowOff>
    </xdr:from>
    <xdr:to>
      <xdr:col>41</xdr:col>
      <xdr:colOff>296520</xdr:colOff>
      <xdr:row>28</xdr:row>
      <xdr:rowOff>159883</xdr:rowOff>
    </xdr:to>
    <xdr:graphicFrame macro="">
      <xdr:nvGraphicFramePr>
        <xdr:cNvPr id="3" name="Chart 2">
          <a:extLst>
            <a:ext uri="{FF2B5EF4-FFF2-40B4-BE49-F238E27FC236}">
              <a16:creationId xmlns:a16="http://schemas.microsoft.com/office/drawing/2014/main" id="{BAA7AB4B-8EBE-4FC3-A08A-2BC353B2BE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48</xdr:col>
      <xdr:colOff>7939</xdr:colOff>
      <xdr:row>11</xdr:row>
      <xdr:rowOff>25396</xdr:rowOff>
    </xdr:from>
    <xdr:to>
      <xdr:col>54</xdr:col>
      <xdr:colOff>598713</xdr:colOff>
      <xdr:row>26</xdr:row>
      <xdr:rowOff>27214</xdr:rowOff>
    </xdr:to>
    <xdr:graphicFrame macro="">
      <xdr:nvGraphicFramePr>
        <xdr:cNvPr id="4" name="Chart 3">
          <a:extLst>
            <a:ext uri="{FF2B5EF4-FFF2-40B4-BE49-F238E27FC236}">
              <a16:creationId xmlns:a16="http://schemas.microsoft.com/office/drawing/2014/main" id="{D9980FD4-1A80-4357-9B47-FC047A5B3F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90715</xdr:colOff>
      <xdr:row>43</xdr:row>
      <xdr:rowOff>144464</xdr:rowOff>
    </xdr:from>
    <xdr:to>
      <xdr:col>24</xdr:col>
      <xdr:colOff>902608</xdr:colOff>
      <xdr:row>69</xdr:row>
      <xdr:rowOff>51028</xdr:rowOff>
    </xdr:to>
    <xdr:graphicFrame macro="">
      <xdr:nvGraphicFramePr>
        <xdr:cNvPr id="5" name="Chart 4">
          <a:extLst>
            <a:ext uri="{FF2B5EF4-FFF2-40B4-BE49-F238E27FC236}">
              <a16:creationId xmlns:a16="http://schemas.microsoft.com/office/drawing/2014/main" id="{EE5551F9-8603-4AD5-AE8C-546B8AE94B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48</xdr:col>
      <xdr:colOff>68035</xdr:colOff>
      <xdr:row>36</xdr:row>
      <xdr:rowOff>49214</xdr:rowOff>
    </xdr:from>
    <xdr:to>
      <xdr:col>54</xdr:col>
      <xdr:colOff>489857</xdr:colOff>
      <xdr:row>51</xdr:row>
      <xdr:rowOff>149679</xdr:rowOff>
    </xdr:to>
    <xdr:graphicFrame macro="">
      <xdr:nvGraphicFramePr>
        <xdr:cNvPr id="6" name="Chart 5">
          <a:extLst>
            <a:ext uri="{FF2B5EF4-FFF2-40B4-BE49-F238E27FC236}">
              <a16:creationId xmlns:a16="http://schemas.microsoft.com/office/drawing/2014/main" id="{059DB0EC-6E43-408C-8DB0-09C5F55ADD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687161</xdr:colOff>
      <xdr:row>43</xdr:row>
      <xdr:rowOff>145598</xdr:rowOff>
    </xdr:from>
    <xdr:to>
      <xdr:col>39</xdr:col>
      <xdr:colOff>174626</xdr:colOff>
      <xdr:row>68</xdr:row>
      <xdr:rowOff>90716</xdr:rowOff>
    </xdr:to>
    <xdr:graphicFrame macro="">
      <xdr:nvGraphicFramePr>
        <xdr:cNvPr id="7" name="Chart 6">
          <a:extLst>
            <a:ext uri="{FF2B5EF4-FFF2-40B4-BE49-F238E27FC236}">
              <a16:creationId xmlns:a16="http://schemas.microsoft.com/office/drawing/2014/main" id="{A9D0CB65-2AB8-47A2-A215-291D48B0BD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67</xdr:col>
      <xdr:colOff>71440</xdr:colOff>
      <xdr:row>8</xdr:row>
      <xdr:rowOff>104771</xdr:rowOff>
    </xdr:from>
    <xdr:to>
      <xdr:col>74</xdr:col>
      <xdr:colOff>326571</xdr:colOff>
      <xdr:row>25</xdr:row>
      <xdr:rowOff>339651</xdr:rowOff>
    </xdr:to>
    <xdr:graphicFrame macro="">
      <xdr:nvGraphicFramePr>
        <xdr:cNvPr id="8" name="Chart 7">
          <a:extLst>
            <a:ext uri="{FF2B5EF4-FFF2-40B4-BE49-F238E27FC236}">
              <a16:creationId xmlns:a16="http://schemas.microsoft.com/office/drawing/2014/main" id="{1B440F4B-7442-47E8-BE52-6AD8F1D001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66</xdr:col>
      <xdr:colOff>653142</xdr:colOff>
      <xdr:row>34</xdr:row>
      <xdr:rowOff>107043</xdr:rowOff>
    </xdr:from>
    <xdr:to>
      <xdr:col>74</xdr:col>
      <xdr:colOff>253092</xdr:colOff>
      <xdr:row>53</xdr:row>
      <xdr:rowOff>10090</xdr:rowOff>
    </xdr:to>
    <xdr:graphicFrame macro="">
      <xdr:nvGraphicFramePr>
        <xdr:cNvPr id="9" name="Chart 8">
          <a:extLst>
            <a:ext uri="{FF2B5EF4-FFF2-40B4-BE49-F238E27FC236}">
              <a16:creationId xmlns:a16="http://schemas.microsoft.com/office/drawing/2014/main" id="{C47F2479-7BBB-4558-B615-AD7DF02246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67</xdr:col>
      <xdr:colOff>774095</xdr:colOff>
      <xdr:row>24</xdr:row>
      <xdr:rowOff>84667</xdr:rowOff>
    </xdr:from>
    <xdr:to>
      <xdr:col>69</xdr:col>
      <xdr:colOff>461131</xdr:colOff>
      <xdr:row>25</xdr:row>
      <xdr:rowOff>246805</xdr:rowOff>
    </xdr:to>
    <xdr:sp macro="" textlink="">
      <xdr:nvSpPr>
        <xdr:cNvPr id="12" name="Text Box 2">
          <a:extLst>
            <a:ext uri="{FF2B5EF4-FFF2-40B4-BE49-F238E27FC236}">
              <a16:creationId xmlns:a16="http://schemas.microsoft.com/office/drawing/2014/main" id="{F3D505A0-F9F7-436D-97C2-D18FC7EBA20D}"/>
            </a:ext>
          </a:extLst>
        </xdr:cNvPr>
        <xdr:cNvSpPr txBox="1">
          <a:spLocks noChangeArrowheads="1"/>
        </xdr:cNvSpPr>
      </xdr:nvSpPr>
      <xdr:spPr bwMode="auto">
        <a:xfrm>
          <a:off x="78635678" y="4826000"/>
          <a:ext cx="3433536" cy="363222"/>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a:lnSpc>
              <a:spcPct val="150000"/>
            </a:lnSpc>
            <a:spcAft>
              <a:spcPts val="0"/>
            </a:spcAft>
          </a:pPr>
          <a:r>
            <a:rPr lang="en-GB" sz="1000" b="1" u="none">
              <a:solidFill>
                <a:schemeClr val="bg1"/>
              </a:solidFill>
              <a:effectLst/>
              <a:latin typeface="Verdana" panose="020B0604030504040204" pitchFamily="34" charset="0"/>
              <a:ea typeface="Times New Roman" panose="02020603050405020304" pitchFamily="18" charset="0"/>
              <a:cs typeface="Times New Roman" panose="02020603050405020304" pitchFamily="18" charset="0"/>
            </a:rPr>
            <a:t>.</a:t>
          </a:r>
        </a:p>
      </xdr:txBody>
    </xdr:sp>
    <xdr:clientData/>
  </xdr:twoCellAnchor>
  <xdr:twoCellAnchor>
    <xdr:from>
      <xdr:col>67</xdr:col>
      <xdr:colOff>438452</xdr:colOff>
      <xdr:row>51</xdr:row>
      <xdr:rowOff>171601</xdr:rowOff>
    </xdr:from>
    <xdr:to>
      <xdr:col>69</xdr:col>
      <xdr:colOff>30238</xdr:colOff>
      <xdr:row>53</xdr:row>
      <xdr:rowOff>163649</xdr:rowOff>
    </xdr:to>
    <xdr:sp macro="" textlink="">
      <xdr:nvSpPr>
        <xdr:cNvPr id="13" name="Text Box 2">
          <a:extLst>
            <a:ext uri="{FF2B5EF4-FFF2-40B4-BE49-F238E27FC236}">
              <a16:creationId xmlns:a16="http://schemas.microsoft.com/office/drawing/2014/main" id="{0E31D23F-431B-4313-80C1-7C5B1A0E6A6D}"/>
            </a:ext>
          </a:extLst>
        </xdr:cNvPr>
        <xdr:cNvSpPr txBox="1">
          <a:spLocks noChangeArrowheads="1"/>
        </xdr:cNvSpPr>
      </xdr:nvSpPr>
      <xdr:spPr bwMode="auto">
        <a:xfrm>
          <a:off x="78300035" y="10680851"/>
          <a:ext cx="3338286" cy="394215"/>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a:lnSpc>
              <a:spcPct val="150000"/>
            </a:lnSpc>
            <a:spcAft>
              <a:spcPts val="0"/>
            </a:spcAft>
          </a:pPr>
          <a:r>
            <a:rPr lang="en-GB" sz="1000" b="1" u="none">
              <a:solidFill>
                <a:schemeClr val="bg1"/>
              </a:solidFill>
              <a:effectLst/>
              <a:latin typeface="Verdana" panose="020B0604030504040204" pitchFamily="34" charset="0"/>
              <a:ea typeface="Times New Roman" panose="02020603050405020304" pitchFamily="18" charset="0"/>
              <a:cs typeface="Times New Roman" panose="02020603050405020304" pitchFamily="18" charset="0"/>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point2013/sgg/CO/Cost_and_Outputs_Lib/Transmission/RIIO_Reporting/RIGs_Development/RIGs_2016_17/2_Notice/RIIO_T1_ET_Cost_and_Outputs_Reporting_Temp_v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harepoint2013/sgg/CO/Cost_and_Outputs_Lib/Transmission/RIIO_Reporting/RIGS_Working_Versions/RIIO_T1/2021/NGET%20TO/2020_21_NGET_RRP_Cost_and_Outputs_working%20version.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harepoint2013/sgg/CO/Cost_and_Outputs_Lib/Transmission/RIIO_Reporting/RIGS_Working_Versions/RIIO_T1/2020/2019-20_NGET_RRP_Cost_and_Output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ntosovae/AppData/Local/Microsoft/Windows/INetCache/Content.Outlook/6BP9O5FH/Data%20File_RIIO-ET1%20annual%20report%202020-21am.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harepoint2013/sgg/CO/Cost_and_Outputs_Lib/Transmission/RIIO_Reporting/RIGS_Working_Versions/2019/2018-19_NGET_RRP_Cost_and_Output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harepoint2013/sgg/CO/Cost_and_Outputs_Lib/Transmission/RIIO_Reporting/Reports_Publications/2018-19_Annual_Report/Data%20File_RIIO-ET1%20annual%20report%202018-1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harepoint2013/sgg/CO/Cost_and_Outputs_Lib/Transmission/RIIO_Reporting/Reports_Publications/2019-20_Annual_Report/Data%20File_RIIO-ET1%20annual%20report%202019-2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harepoint2013/sgg/CO/Cost_and_Outputs_Lib/Transmission/RIIO_Reporting/RIGS_Working_Versions/RIIO_T1/2019/2018-19_NGET_RRP_Cost_and_Outputs.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harepoint2013/sgg/CO/Cost_and_Outputs_Lib/Transmission/RIIO_Reporting/RIGS_Working_Versions/2019/2018-19_SPTL_RRP_Cost_and_Outputs.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harepoint2013/sgg/CO/Cost_and_Outputs_Lib/Transmission/RIIO_Reporting/RIGS_Working_Versions/RIIO_T1/2020/SPT/AUGUST%20UPDATE/2019-20_SPTL_RRP_Cost_and_Outputs_August_202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harepoint2013/sgg/CO/Cost_and_Outputs_Lib/Transmission/RIIO_Reporting/RIGS_Working_Versions/2019/2018-19_SHE_RRP_Cost_and_Outpu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arepoint2013/sgg/CO/Cost_and_Outputs_Lib/Transmission/RIIO_Reporting/RIGS_Working_Versions/2021/NGET%20TO/2020_21_NGET_RRP_Cost_and_Outputs_working%20version.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harepoint2013/sgg/CO/Cost_and_Outputs_Lib/Transmission/RIIO_Reporting/RIGS_Working_Versions/RIIO_T1/2020/2019-20_SHET_RRP_Cost_and_Outputs.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mungalla/Desktop/SHET%20highlevel%20LR%20capex%20RRP21%20summaryFINAL.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mungalla/Desktop/SPT%20licence%206F%20performance%20RRP2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mungalla/Desktop/RIIO%20ET1%20NGET%20starting%20baseline%20allowances%20raw%20data.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mungalla/Desktop/Copy%20of%20Copy%20of%20Copy%20of%20NGET%20performance%20RRP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harepoint2013/sgg/CO/Cost_and_Outputs_Lib/Transmission/RIIO_Reporting/RIGS_Working_Versions/RIIO_T1/2021/SPT/2020-21_SPLT_RRP_Cost_and_Outputs_14_September_2021_Fina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harepoint2013/sgg/CO/Cost_and_Outputs_Lib/Transmission/RIIO_Reporting/RIGS_Working_Versions/RIIO_T1/2021/SHET/FINAL%20-%202020-21_Electricity_RRP_Cost_and_Outputs_working%20vers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harepoint2013/sgg/CO/Cost_and_Outputs_Lib/Transmission/RIIO_Reporting/RIGS_Working_Versions/RIIO_T1/2020/NGET/2019-20_NGET_RRP_Cost_and_Output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ntosovae/AppData/Roaming/Microsoft/Excel/2020_21_NGET_RRP_Cost_and_Outputs_working%2520version%20(version%205).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harepoint2013/sgg/CO/Cost_and_Outputs_Lib/Transmission/RIIO_Reporting/RIGS_Working_Versions/2020/2019-20_SHET_RRP_Cost_and_Output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harepoint2013/sgg/CO/Cost_and_Outputs_Lib/Transmission/RIIO_Reporting/RIGS_Working_Versions/RIIO_T1/2018/2017-18_SHE_RRP_Cost_and_Output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harepoint2013/sgg/SG/RIIOI/RIIO_Implementation_Lib/Annual%20Iteration%20Process/2019/05%20Annual%20Report/Draft%20Supporting%20Data%20File%20RFPR%202018-19%20without%20link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Index"/>
      <sheetName val="Universal data"/>
      <sheetName val="Allowances"/>
      <sheetName val="Previous years"/>
      <sheetName val="Check and Balances"/>
      <sheetName val="1.4_Rec_to_Reg_Accs"/>
      <sheetName val="1.5_Net_Debt_and_Tax_Clawback"/>
      <sheetName val="1.6_Disposals"/>
      <sheetName val="2.1_Totex_PCFM"/>
      <sheetName val="2.2_Totex_Forecast"/>
      <sheetName val="2.3a_Forecast_Allowances"/>
      <sheetName val="2.3b_Forecast_Volumes"/>
      <sheetName val="2.4_Totex"/>
      <sheetName val="2.5_Outputs"/>
      <sheetName val="2.6_Wider_Works"/>
      <sheetName val="2.7_Input_Prices"/>
      <sheetName val="3.1_Opex_summary"/>
      <sheetName val="3.2_Year_on_Year_Movt"/>
      <sheetName val="3.3_Asset_Management_Opex"/>
      <sheetName val="3.4_Business_support_group"/>
      <sheetName val="3.5_Business_support_allocation"/>
      <sheetName val="3.6_Business_support_supplement"/>
      <sheetName val="3.7_Operational_Training"/>
      <sheetName val="3.8_Salary_and_FTE_numbers"/>
      <sheetName val="3.9_Exc_&amp;_Demin"/>
      <sheetName val="3.10_Provisions"/>
      <sheetName val="3.11_Related_Party_Transactions"/>
      <sheetName val="3.12_IRM_Expenditure"/>
      <sheetName val="3.13_NIA_Expenditure"/>
      <sheetName val="3.14_NIC_Expenditure"/>
      <sheetName val="3.15_Physical_Security_Opex"/>
      <sheetName val="3.16_SO_EMR_Data"/>
      <sheetName val="4.1_Capex_Summary"/>
      <sheetName val="4.2_LRScheme_Expenditure"/>
      <sheetName val="4.3_NLRScheme_Expenditure"/>
      <sheetName val="4.3.1_NLR_Volume_Change"/>
      <sheetName val="4.3.2_T2_Output_Cost_Deferral"/>
      <sheetName val="4.3.3_Tower_Steelwork"/>
      <sheetName val="4.4_Uncertain_Costs"/>
      <sheetName val="4.5_Non_Op_Capex"/>
      <sheetName val="4.6_SO_Capex"/>
      <sheetName val="4.7_TIRG_Schemes"/>
      <sheetName val="4.8_Physical_Security_Capex"/>
      <sheetName val="5.1_System_Chars_and_Activity"/>
      <sheetName val="5.2_Faults_and_failures"/>
      <sheetName val="5.3_Boundary_Tran_Requirements"/>
      <sheetName val="5.4_Bound_Capab_Dev"/>
      <sheetName val="5.5_Demand_&amp;_Supply_Sub"/>
      <sheetName val="5.6_Lead_Adds_&amp;_Disps"/>
      <sheetName val="5.7_Non-lead_Adds_&amp;_Disps"/>
      <sheetName val="5.8_Lead_Unit_Cost_Actuals"/>
      <sheetName val="5.9_Non-lead_Unit_Costs"/>
      <sheetName val="5.10_ACU"/>
      <sheetName val="6.1_NGET_customer_satisfaction"/>
      <sheetName val="6.1_Scot_stakehldr_satisfaction"/>
      <sheetName val="6.2_BCF"/>
      <sheetName val="6.3_Reliability"/>
      <sheetName val="6.4_Scot_Timely_connections"/>
      <sheetName val="6.5_SF6_Incentive"/>
      <sheetName val="6.6_Visual_amenity_outputs"/>
      <sheetName val="6.7_BWW_and_SWW_outputs"/>
      <sheetName val="6.8_Pre-con_SWW"/>
      <sheetName val="6.9_SHE_Trans_Generation_conns"/>
      <sheetName val="6.10_SPTL_Generation_sole"/>
      <sheetName val="6.10_SPTL_Generation_shared"/>
      <sheetName val="6.11_NGET_Wider_Works_outputs"/>
      <sheetName val="6.12_NGET_planning_requirements"/>
      <sheetName val="6.13_NGET_Local_Generation"/>
      <sheetName val="6.14_NGET_Local_Demand"/>
      <sheetName val="6.15.1_NOMs_detail"/>
      <sheetName val="6.15.2_NOMs_RP"/>
      <sheetName val="6.16.1_Criticality_Substations"/>
      <sheetName val="6.16.2_Criticality_Circuits"/>
      <sheetName val="6.16.3_Criticality_SP"/>
      <sheetName val="6.17_Flood_Mitigation"/>
      <sheetName val="GRAPH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522">
          <cell r="B522" t="str">
            <v>Preconstruction</v>
          </cell>
        </row>
        <row r="523">
          <cell r="B523" t="str">
            <v>Under construction</v>
          </cell>
        </row>
        <row r="524">
          <cell r="B524" t="str">
            <v>Commissioned</v>
          </cell>
        </row>
        <row r="525">
          <cell r="B525" t="str">
            <v>Terminated/Cancelled</v>
          </cell>
        </row>
        <row r="526">
          <cell r="B526" t="str">
            <v>Moved to non-load</v>
          </cell>
        </row>
        <row r="527">
          <cell r="B527" t="str">
            <v>On hold</v>
          </cell>
        </row>
        <row r="528">
          <cell r="B528" t="str">
            <v>Deferred</v>
          </cell>
        </row>
        <row r="529">
          <cell r="B529" t="str">
            <v>Accelerated</v>
          </cell>
        </row>
        <row r="530">
          <cell r="B530" t="str">
            <v>Recategorised</v>
          </cell>
        </row>
        <row r="533">
          <cell r="B533" t="str">
            <v>Incremental_Wider_Works_NGET</v>
          </cell>
        </row>
        <row r="534">
          <cell r="B534" t="str">
            <v>Generation_connection_and_demand_related_infrastructure_NGET</v>
          </cell>
        </row>
        <row r="535">
          <cell r="B535" t="str">
            <v>Planning_Underground_cable_NGET</v>
          </cell>
        </row>
        <row r="536">
          <cell r="B536" t="str">
            <v>DNO_Mitigation</v>
          </cell>
        </row>
        <row r="537">
          <cell r="B537" t="str">
            <v>Capacity_MW</v>
          </cell>
        </row>
        <row r="538">
          <cell r="B538" t="str">
            <v>Capacity_MVA</v>
          </cell>
        </row>
        <row r="539">
          <cell r="B539" t="str">
            <v>Underground_cable_km</v>
          </cell>
        </row>
        <row r="540">
          <cell r="B540" t="str">
            <v>Overhead_line_km</v>
          </cell>
        </row>
        <row r="541">
          <cell r="B541" t="str">
            <v>Subsea_cable_km</v>
          </cell>
        </row>
        <row r="542">
          <cell r="B542" t="str">
            <v>Super_Grid_Transformer</v>
          </cell>
        </row>
        <row r="543">
          <cell r="B543" t="str">
            <v>400kV_132kV_substation</v>
          </cell>
        </row>
        <row r="544">
          <cell r="B544" t="str">
            <v>275kV_33kV_substation_transformer_feeder</v>
          </cell>
        </row>
        <row r="545">
          <cell r="B545" t="str">
            <v>275kV_33kV_substation_single_switch</v>
          </cell>
        </row>
        <row r="546">
          <cell r="B546" t="str">
            <v>132kV_33kV_substation_transformer_feeder</v>
          </cell>
        </row>
        <row r="547">
          <cell r="B547" t="str">
            <v>132kV_33kV_substation_single_switch</v>
          </cell>
        </row>
        <row r="548">
          <cell r="B548" t="str">
            <v>275kV_400kV_L8_construction_20km</v>
          </cell>
        </row>
        <row r="549">
          <cell r="B549" t="str">
            <v>L8_adjustment_per_km_more_or_less_than_20km</v>
          </cell>
        </row>
        <row r="550">
          <cell r="B550" t="str">
            <v>132kV_33kV_L7_construction_20km</v>
          </cell>
        </row>
        <row r="551">
          <cell r="B551" t="str">
            <v>L7_adjustment_per_km_or_less_than_on_20km</v>
          </cell>
        </row>
        <row r="552">
          <cell r="B552" t="str">
            <v>Overhead_line_synergies_adjustment</v>
          </cell>
        </row>
        <row r="553">
          <cell r="B553" t="str">
            <v>Removal_and_processing/disposal_of_rock_m3</v>
          </cell>
        </row>
        <row r="554">
          <cell r="B554" t="str">
            <v>Removal_and_off-site_disposal_of_peat_m3</v>
          </cell>
        </row>
        <row r="555">
          <cell r="B555" t="str">
            <v>Haulage_road_construction_km</v>
          </cell>
        </row>
        <row r="556">
          <cell r="B556" t="str">
            <v>Other_to_agree_with_Ofgem</v>
          </cell>
        </row>
        <row r="557">
          <cell r="B557" t="str">
            <v>No_output</v>
          </cell>
        </row>
        <row r="583">
          <cell r="B583" t="str">
            <v>Below baseline</v>
          </cell>
        </row>
        <row r="584">
          <cell r="B584" t="str">
            <v>Above baseline</v>
          </cell>
        </row>
      </sheetData>
      <sheetData sheetId="35"/>
      <sheetData sheetId="36"/>
      <sheetData sheetId="37"/>
      <sheetData sheetId="38"/>
      <sheetData sheetId="39"/>
      <sheetData sheetId="40"/>
      <sheetData sheetId="41"/>
      <sheetData sheetId="42"/>
      <sheetData sheetId="43">
        <row r="15">
          <cell r="T15" t="str">
            <v>To be constructed</v>
          </cell>
        </row>
        <row r="16">
          <cell r="T16" t="str">
            <v>Under construction</v>
          </cell>
        </row>
        <row r="17">
          <cell r="T17" t="str">
            <v>Complete</v>
          </cell>
        </row>
        <row r="18">
          <cell r="T18" t="str">
            <v>Under review</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Index"/>
      <sheetName val="Universal data"/>
      <sheetName val="Allowances"/>
      <sheetName val="Previous years"/>
      <sheetName val="Check and Balances"/>
      <sheetName val="1.4_Rec_to_Reg_Accs"/>
      <sheetName val="1.5_Net_Debt_and_Tax_Clawback"/>
      <sheetName val="1.6_Disposals"/>
      <sheetName val="2.1_Totex_PCFM"/>
      <sheetName val="2.2_Totex_Forecast"/>
      <sheetName val="2.3a_Forecast_Allowances"/>
      <sheetName val="2.3b_Forecast_Volumes"/>
      <sheetName val="2.4_Totex"/>
      <sheetName val="2.5_Outputs"/>
      <sheetName val="2.6_Wider_Works"/>
      <sheetName val="2.7_Input_Prices"/>
      <sheetName val="3.1_Opex_summary_(NGET)"/>
      <sheetName val="3.1_Opex_summary_(Sc TO)"/>
      <sheetName val="3.2_Indirect_Summary_(Sc TO)"/>
      <sheetName val="3.3_Asset_Management_Opex"/>
      <sheetName val="3.4_Business_support_group"/>
      <sheetName val="3.5_Business_support_allocation"/>
      <sheetName val="3.6_Business_support_supplement"/>
      <sheetName val="3.7_Operational_Training"/>
      <sheetName val="3.8_Salary_and_FTE_numbers"/>
      <sheetName val="3.9_Exc_&amp;_Demin"/>
      <sheetName val="3.10_Provisions"/>
      <sheetName val="3.11_Related_Party_Transactions"/>
      <sheetName val="3.12_IRM_Expenditure"/>
      <sheetName val="3.13_NIA_Expenditure"/>
      <sheetName val="3.14_NIC_Expenditure"/>
      <sheetName val="3.15_Physical_Security_Opex"/>
      <sheetName val="4.1_Capex_Summary"/>
      <sheetName val="4.2_LRScheme_Expenditure"/>
      <sheetName val="4.2a_Raw_data"/>
      <sheetName val="4.3_NLRScheme_Expenditure"/>
      <sheetName val="4.3.1_NLR_Volume_Change"/>
      <sheetName val="4.3.2_T2_Output_Cost_Deferral"/>
      <sheetName val="4.3.3_Tower_Steelwork"/>
      <sheetName val="4.4_Uncertain_Costs"/>
      <sheetName val="4.5_Non_Op_Capex"/>
      <sheetName val="4.6_SO_Capex"/>
      <sheetName val="4.7_TIRG_Schemes"/>
      <sheetName val="4.8_Physical_Security_Capex"/>
      <sheetName val="4.9_GEF (SPT ONLY)"/>
      <sheetName val="5.1_System_Chars_and_Activity"/>
      <sheetName val="5.2_Faults_and_failures"/>
      <sheetName val="5.3_Boundary_Tran_Requirements"/>
      <sheetName val="5.4_Bound_Capab_Dev"/>
      <sheetName val="5.5_Demand_&amp;_Supply_Sub"/>
      <sheetName val="5.6_Lead_Adds_&amp;_Disps"/>
      <sheetName val="5.7_Non-lead_Adds_&amp;_Disps"/>
      <sheetName val="5.8_Lead_Unit_Cost_Actuals"/>
      <sheetName val="5.9_Non-lead_Unit_Costs"/>
      <sheetName val="5.10_ACU"/>
      <sheetName val="6.1_NGET_customer_satisfaction"/>
      <sheetName val="6.1_Scot_stakehldr_satisfaction"/>
      <sheetName val="6.2_BCF"/>
      <sheetName val="6.3_Reliability"/>
      <sheetName val="6.4_Scot_Timely_connections"/>
      <sheetName val="6.5_SF6_Incentive"/>
      <sheetName val="6.6_Visual_amenity_outputs"/>
      <sheetName val="6.7_BWW_and_SWW_outputs"/>
      <sheetName val="6.8_Pre-con_SWW"/>
      <sheetName val="6.9_SHE_Trans_Generation_conns"/>
      <sheetName val="6.10_SPTL_Generation_sole"/>
      <sheetName val="6.10_SPTL_Generation_shared"/>
      <sheetName val="6.11_NGET_Wider_Works_outputs"/>
      <sheetName val="6.12_NGET_planning_requirements"/>
      <sheetName val="6.13_NGET_Local_Generation"/>
      <sheetName val="6.14_NGET_Local_Demand"/>
      <sheetName val="6.15_Network_Output_Measures"/>
      <sheetName val="6.17_Flood_Mitigation"/>
      <sheetName val="6.01_Asset_Identification"/>
      <sheetName val="6.02_Asset_Identification"/>
      <sheetName val="COMMENTARY SPT"/>
      <sheetName val="COMMENTARY SHET"/>
      <sheetName val="COMMENTARY NGET"/>
      <sheetName val="Working1"/>
      <sheetName val="Working2"/>
    </sheetNames>
    <sheetDataSet>
      <sheetData sheetId="0"/>
      <sheetData sheetId="1"/>
      <sheetData sheetId="2">
        <row r="55">
          <cell r="C55">
            <v>1.0121283228163858</v>
          </cell>
        </row>
      </sheetData>
      <sheetData sheetId="3"/>
      <sheetData sheetId="4"/>
      <sheetData sheetId="5"/>
      <sheetData sheetId="6"/>
      <sheetData sheetId="7"/>
      <sheetData sheetId="8"/>
      <sheetData sheetId="9"/>
      <sheetData sheetId="10"/>
      <sheetData sheetId="11"/>
      <sheetData sheetId="12"/>
      <sheetData sheetId="13">
        <row r="9">
          <cell r="L9">
            <v>316.1268702801101</v>
          </cell>
          <cell r="M9">
            <v>3339.4694726636662</v>
          </cell>
        </row>
        <row r="10">
          <cell r="L10">
            <v>226.16068289000006</v>
          </cell>
          <cell r="M10">
            <v>2237.6623441261131</v>
          </cell>
        </row>
        <row r="11">
          <cell r="L11">
            <v>274.48687460999992</v>
          </cell>
          <cell r="M11">
            <v>1558.009439589204</v>
          </cell>
        </row>
        <row r="12">
          <cell r="L12">
            <v>73.232759465239255</v>
          </cell>
          <cell r="M12">
            <v>407.66130627431312</v>
          </cell>
        </row>
        <row r="22">
          <cell r="L22">
            <v>267.8436325640269</v>
          </cell>
          <cell r="M22">
            <v>2371.2876425618042</v>
          </cell>
        </row>
        <row r="23">
          <cell r="M23">
            <v>9914.0902052150996</v>
          </cell>
        </row>
        <row r="36">
          <cell r="M36">
            <v>4481.8142567146606</v>
          </cell>
        </row>
        <row r="37">
          <cell r="M37">
            <v>5776.8610935951301</v>
          </cell>
        </row>
        <row r="38">
          <cell r="M38">
            <v>525.05495563367322</v>
          </cell>
        </row>
        <row r="39">
          <cell r="E39">
            <v>38.858740570510584</v>
          </cell>
          <cell r="F39">
            <v>38.028410585932555</v>
          </cell>
          <cell r="G39">
            <v>27.489221341170094</v>
          </cell>
          <cell r="H39">
            <v>25.472951646327541</v>
          </cell>
          <cell r="I39">
            <v>23.60984259604605</v>
          </cell>
          <cell r="J39">
            <v>13.81390417440968</v>
          </cell>
          <cell r="K39">
            <v>17.873384656719672</v>
          </cell>
          <cell r="L39">
            <v>16.301705812021755</v>
          </cell>
          <cell r="M39">
            <v>201.44816138313794</v>
          </cell>
        </row>
        <row r="47">
          <cell r="M47">
            <v>464.58213768213528</v>
          </cell>
        </row>
        <row r="49">
          <cell r="M49">
            <v>13216.809579162404</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12">
          <cell r="C12">
            <v>7.2148599757511667</v>
          </cell>
        </row>
      </sheetData>
      <sheetData sheetId="31"/>
      <sheetData sheetId="32"/>
      <sheetData sheetId="33">
        <row r="30">
          <cell r="P30">
            <v>101.37557684789599</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Index"/>
      <sheetName val="Universal data"/>
      <sheetName val="Allowances"/>
      <sheetName val="Previous years"/>
      <sheetName val="Check and Balances"/>
      <sheetName val="1.4_Rec_to_Reg_Accs"/>
      <sheetName val="1.5_Net_Debt_and_Tax_Clawback"/>
      <sheetName val="1.6_Disposals"/>
      <sheetName val="2.1_Totex_PCFM"/>
      <sheetName val="2.2_Totex_Forecast"/>
      <sheetName val="2.3a_Forecast_Allowances"/>
      <sheetName val="2.3b_Forecast_Volumes"/>
      <sheetName val="2.4_Totex"/>
      <sheetName val="2.5_Outputs"/>
      <sheetName val="2.6_Wider_Works"/>
      <sheetName val="2.7_Input_Prices"/>
      <sheetName val="3.1_Opex_summary_(NGET)"/>
      <sheetName val="3.1_Opex_summary_(Sc TO)"/>
      <sheetName val="3.2_Indirect_Summary_(Sc TO)"/>
      <sheetName val="3.3_Asset_Management_Opex"/>
      <sheetName val="3.4_Business_support_group"/>
      <sheetName val="3.5_Business_support_allocation"/>
      <sheetName val="3.6_Business_support_supplement"/>
      <sheetName val="3.7_Operational_Training"/>
      <sheetName val="3.8_Salary_and_FTE_numbers"/>
      <sheetName val="3.9_Exc_&amp;_Demin"/>
      <sheetName val="3.10_Provisions"/>
      <sheetName val="3.11_Related_Party_Transactions"/>
      <sheetName val="3.12_IRM_Expenditure"/>
      <sheetName val="3.13_NIA_Expenditure"/>
      <sheetName val="3.14_NIC_Expenditure"/>
      <sheetName val="3.15_Physical_Security_Opex"/>
      <sheetName val="4.1_Capex_Summary"/>
      <sheetName val="4.2_LRScheme_Expenditure"/>
      <sheetName val="4.2a_Raw_data"/>
      <sheetName val="4.3_NLRScheme_Expenditure"/>
      <sheetName val="4.3.1_NLR_Volume_Change"/>
      <sheetName val="4.3.2_T2_Output_Cost_Deferral"/>
      <sheetName val="4.3.3_Tower_Steelwork"/>
      <sheetName val="4.4_Uncertain_Costs"/>
      <sheetName val="4.5_Non_Op_Capex"/>
      <sheetName val="4.6_SO_Capex"/>
      <sheetName val="4.7_TIRG_Schemes"/>
      <sheetName val="4.8_Physical_Security_Capex"/>
      <sheetName val="4.9_GEF (SPT ONLY)"/>
      <sheetName val="5.1_System_Chars_and_Activity"/>
      <sheetName val="5.2_Faults_and_failures"/>
      <sheetName val="5.3_Boundary_Tran_Requirements"/>
      <sheetName val="5.4_Bound_Capab_Dev"/>
      <sheetName val="5.5_Demand_&amp;_Supply_Sub"/>
      <sheetName val="5.6_Lead_Adds_&amp;_Disps"/>
      <sheetName val="5.7_Non-lead_Adds_&amp;_Disps"/>
      <sheetName val="5.8_Lead_Unit_Cost_Actuals"/>
      <sheetName val="5.9_Non-lead_Unit_Costs"/>
      <sheetName val="5.10_ACU"/>
      <sheetName val="6.1_NGET_customer_satisfaction"/>
      <sheetName val="6.1_Scot_stakehldr_satisfaction"/>
      <sheetName val="6.2_BCF"/>
      <sheetName val="6.3_Reliability"/>
      <sheetName val="6.4_Scot_Timely_connections"/>
      <sheetName val="6.5_SF6_Incentive"/>
      <sheetName val="6.6_Visual_amenity_outputs"/>
      <sheetName val="6.7_BWW_and_SWW_outputs"/>
      <sheetName val="6.8_Pre-con_SWW"/>
      <sheetName val="6.9_SHE_Trans_Generation_conns"/>
      <sheetName val="6.10_SPTL_Generation_sole"/>
      <sheetName val="6.10_SPTL_Generation_shared"/>
      <sheetName val="6.11_NGET_Wider_Works_outputs"/>
      <sheetName val="6.12_NGET_planning_requirements"/>
      <sheetName val="6.13_NGET_Local_Generation"/>
      <sheetName val="6.14_NGET_Local_Demand"/>
      <sheetName val="6.15.1_NOMs_detail"/>
      <sheetName val="6.15.2_NOMs_RP"/>
      <sheetName val="6.17_Flood_Mitigation"/>
      <sheetName val="6.01_Asset_Identification"/>
      <sheetName val="6.02_Asset_Identification"/>
      <sheetName val="COMMENTARY SPT"/>
      <sheetName val="COMMENTARY SHET"/>
      <sheetName val="COMMENTARY NGET"/>
      <sheetName val="Working1"/>
      <sheetName val="Working2"/>
    </sheetNames>
    <sheetDataSet>
      <sheetData sheetId="0"/>
      <sheetData sheetId="1"/>
      <sheetData sheetId="2">
        <row r="52">
          <cell r="C52">
            <v>1.3470197208373675</v>
          </cell>
        </row>
        <row r="55">
          <cell r="C55">
            <v>1.0258870204865376</v>
          </cell>
        </row>
      </sheetData>
      <sheetData sheetId="3"/>
      <sheetData sheetId="4"/>
      <sheetData sheetId="5"/>
      <sheetData sheetId="6"/>
      <sheetData sheetId="7"/>
      <sheetData sheetId="8"/>
      <sheetData sheetId="9"/>
      <sheetData sheetId="10"/>
      <sheetData sheetId="11"/>
      <sheetData sheetId="12"/>
      <sheetData sheetId="13">
        <row r="23">
          <cell r="M23">
            <v>10081.599871061382</v>
          </cell>
        </row>
        <row r="49">
          <cell r="M49">
            <v>12919.949380327296</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12">
          <cell r="C12">
            <v>7.6232970300000034</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quot;True up&quot; 1 (2)"/>
      <sheetName val="Universal data"/>
      <sheetName val="Forecast &quot;True up&quot; 1"/>
    </sheetNames>
    <sheetDataSet>
      <sheetData sheetId="0" refreshError="1"/>
      <sheetData sheetId="1" refreshError="1">
        <row r="54">
          <cell r="C54">
            <v>1.3633568108517209</v>
          </cell>
        </row>
        <row r="55">
          <cell r="C55">
            <v>0.73348370143489916</v>
          </cell>
        </row>
      </sheetData>
      <sheetData sheetId="2" refreshError="1">
        <row r="7">
          <cell r="B7" t="str">
            <v>£m, 2020/21 prices</v>
          </cell>
          <cell r="G7" t="str">
            <v xml:space="preserve">Current view of expenditure </v>
          </cell>
        </row>
        <row r="9">
          <cell r="I9">
            <v>-213.65963362098304</v>
          </cell>
        </row>
        <row r="15">
          <cell r="G15" t="str">
            <v>Current view of expenditure (excl RPMs disallowed)</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Index"/>
      <sheetName val="Universal data"/>
      <sheetName val="Allowances"/>
      <sheetName val="Previous years"/>
      <sheetName val="Check and Balances"/>
      <sheetName val="1.4_Rec_to_Reg_Accs"/>
      <sheetName val="1.5_Net_Debt_and_Tax_Clawback"/>
      <sheetName val="1.6_Disposals"/>
      <sheetName val="2.1_Totex_PCFM"/>
      <sheetName val="2.2_Totex_Forecast"/>
      <sheetName val="2.3a_Forecast_Allowances"/>
      <sheetName val="2.3b_Forecast_Volumes"/>
      <sheetName val="2.4_Totex"/>
      <sheetName val="2.5_Outputs"/>
      <sheetName val="2.6_Wider_Works"/>
      <sheetName val="2.7_Input_Prices"/>
      <sheetName val="3.1_Opex_summary_(NGET)"/>
      <sheetName val="3.1_Opex_summary_(Sc TO)"/>
      <sheetName val="3.2_Indirect_Summary_(Sc TO)"/>
      <sheetName val="3.3_Asset_Management_Opex"/>
      <sheetName val="3.4_Business_support_group"/>
      <sheetName val="3.5_Business_support_allocation"/>
      <sheetName val="3.6_Business_support_supplement"/>
      <sheetName val="3.7_Operational_Training"/>
      <sheetName val="3.8_Salary_and_FTE_numbers"/>
      <sheetName val="3.9_Exc_&amp;_Demin"/>
      <sheetName val="3.10_Provisions"/>
      <sheetName val="3.11_Related_Party_Transactions"/>
      <sheetName val="3.12_IRM_Expenditure"/>
      <sheetName val="3.13_NIA_Expenditure"/>
      <sheetName val="3.14_NIC_Expenditure"/>
      <sheetName val="3.15_Physical_Security_Opex"/>
      <sheetName val="3.16_SO_EMR_Data"/>
      <sheetName val="4.1_Capex_Summary"/>
      <sheetName val="4.2_LRScheme_Expenditure"/>
      <sheetName val="4.2a_Raw_data"/>
      <sheetName val="4.3_NLRScheme_Expenditure"/>
      <sheetName val="4.3.1_NLR_Volume_Change"/>
      <sheetName val="4.3.2_T2_Output_Cost_Deferral"/>
      <sheetName val="4.3.3_Tower_Steelwork"/>
      <sheetName val="4.4_Uncertain_Costs"/>
      <sheetName val="4.5_Non_Op_Capex"/>
      <sheetName val="4.6_SO_Capex"/>
      <sheetName val="4.7_TIRG_Schemes"/>
      <sheetName val="4.8_Physical_Security_Capex"/>
      <sheetName val="5.1_System_Chars_and_Activity"/>
      <sheetName val="5.2_Faults_and_failures"/>
      <sheetName val="5.3_Boundary_Tran_Requirements"/>
      <sheetName val="5.4_Bound_Capab_Dev"/>
      <sheetName val="5.5_Demand_&amp;_Supply_Sub"/>
      <sheetName val="5.6_Lead_Adds_&amp;_Disps"/>
      <sheetName val="5.7_Non-lead_Adds_&amp;_Disps"/>
      <sheetName val="5.8_Lead_Unit_Cost_Actuals"/>
      <sheetName val="5.9_Non-lead_Unit_Costs"/>
      <sheetName val="5.10_ACU"/>
      <sheetName val="6.1_NGET_customer_satisfaction"/>
      <sheetName val="6.1_Scot_stakehldr_satisfaction"/>
      <sheetName val="6.2_BCF"/>
      <sheetName val="6.3_Reliability"/>
      <sheetName val="6.4_Scot_Timely_connections"/>
      <sheetName val="6.5_SF6_Incentive"/>
      <sheetName val="6.6_Visual_amenity_outputs"/>
      <sheetName val="6.7_BWW_and_SWW_outputs"/>
      <sheetName val="6.8_Pre-con_SWW"/>
      <sheetName val="6.9_SHE_Trans_Generation_conns"/>
      <sheetName val="6.10_SPTL_Generation_sole"/>
      <sheetName val="6.10_SPTL_Generation_shared"/>
      <sheetName val="6.11_NGET_Wider_Works_outputs"/>
      <sheetName val="6.12_NGET_planning_requirements"/>
      <sheetName val="6.13_NGET_Local_Generation"/>
      <sheetName val="6.14_NGET_Local_Demand"/>
      <sheetName val="6.15.1_NOMs_detail"/>
      <sheetName val="6.15.2_NOMs_RP"/>
      <sheetName val="6.17_Flood_Mitigation"/>
      <sheetName val="GRAPHS"/>
      <sheetName val="COMMENTARY SPT"/>
      <sheetName val="COMMENTARY SHET"/>
      <sheetName val="COMMENTARY NGET"/>
      <sheetName val="Working1"/>
      <sheetName val="Working2"/>
    </sheetNames>
    <sheetDataSet>
      <sheetData sheetId="0"/>
      <sheetData sheetId="1"/>
      <sheetData sheetId="2"/>
      <sheetData sheetId="3">
        <row r="12">
          <cell r="E12">
            <v>468.80843213925681</v>
          </cell>
        </row>
      </sheetData>
      <sheetData sheetId="4"/>
      <sheetData sheetId="5"/>
      <sheetData sheetId="6"/>
      <sheetData sheetId="7"/>
      <sheetData sheetId="8"/>
      <sheetData sheetId="9"/>
      <sheetData sheetId="10">
        <row r="16">
          <cell r="E16">
            <v>32.825803169347139</v>
          </cell>
        </row>
      </sheetData>
      <sheetData sheetId="11">
        <row r="9">
          <cell r="AV9">
            <v>3430.4622997980541</v>
          </cell>
        </row>
      </sheetData>
      <sheetData sheetId="12"/>
      <sheetData sheetId="13">
        <row r="9">
          <cell r="E9">
            <v>744.8949681343546</v>
          </cell>
        </row>
        <row r="49">
          <cell r="M49">
            <v>13040.397429168817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2">
          <cell r="G12">
            <v>2.6175901909163448</v>
          </cell>
        </row>
      </sheetData>
      <sheetData sheetId="35">
        <row r="10">
          <cell r="AQ10">
            <v>0</v>
          </cell>
        </row>
      </sheetData>
      <sheetData sheetId="36">
        <row r="277">
          <cell r="T277">
            <v>0</v>
          </cell>
        </row>
      </sheetData>
      <sheetData sheetId="37">
        <row r="19">
          <cell r="AJ19">
            <v>0</v>
          </cell>
        </row>
      </sheetData>
      <sheetData sheetId="38"/>
      <sheetData sheetId="39">
        <row r="27">
          <cell r="D27">
            <v>1.5706665268788291</v>
          </cell>
        </row>
      </sheetData>
      <sheetData sheetId="40"/>
      <sheetData sheetId="41"/>
      <sheetData sheetId="42">
        <row r="59">
          <cell r="G59">
            <v>39.922201059866708</v>
          </cell>
        </row>
      </sheetData>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ow r="82">
          <cell r="G82">
            <v>44.919827419391694</v>
          </cell>
        </row>
      </sheetData>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Universal data"/>
      <sheetName val="Index"/>
      <sheetName val="Outputs"/>
      <sheetName val="Incentives - tables"/>
      <sheetName val="Incentives - charts "/>
      <sheetName val="Innovation"/>
      <sheetName val="Consumer bill impact"/>
      <sheetName val="8-year TO forecasts"/>
      <sheetName val="NGET SO totex performance"/>
      <sheetName val="RORE"/>
      <sheetName val="Forecast &quot;True up&quot; 1"/>
      <sheetName val="Forecast &quot;True up&quot; 2"/>
      <sheetName val="NGET T1+2"/>
      <sheetName val="SHET T1+2"/>
      <sheetName val="SHET Crossover"/>
    </sheetNames>
    <sheetDataSet>
      <sheetData sheetId="0"/>
      <sheetData sheetId="1"/>
      <sheetData sheetId="2"/>
      <sheetData sheetId="3"/>
      <sheetData sheetId="4"/>
      <sheetData sheetId="5"/>
      <sheetData sheetId="6"/>
      <sheetData sheetId="7"/>
      <sheetData sheetId="8">
        <row r="19">
          <cell r="K19">
            <v>4617.4407582429621</v>
          </cell>
        </row>
        <row r="20">
          <cell r="K20">
            <v>6079.6930732513638</v>
          </cell>
        </row>
        <row r="21">
          <cell r="K21">
            <v>194.01182221368828</v>
          </cell>
        </row>
        <row r="22">
          <cell r="K22">
            <v>2149.2517754608025</v>
          </cell>
        </row>
        <row r="25">
          <cell r="K25">
            <v>3425.9555050867752</v>
          </cell>
        </row>
        <row r="26">
          <cell r="K26">
            <v>4146.5923305255037</v>
          </cell>
        </row>
        <row r="27">
          <cell r="K27">
            <v>357.50980897741624</v>
          </cell>
        </row>
        <row r="28">
          <cell r="K28">
            <v>2314.1065510406497</v>
          </cell>
        </row>
        <row r="36">
          <cell r="K36">
            <v>1285.034772629974</v>
          </cell>
        </row>
        <row r="37">
          <cell r="K37">
            <v>861.06556036979714</v>
          </cell>
        </row>
        <row r="38">
          <cell r="K38">
            <v>9.4538109912233903</v>
          </cell>
        </row>
        <row r="39">
          <cell r="K39">
            <v>206.71679030531567</v>
          </cell>
        </row>
        <row r="42">
          <cell r="K42">
            <v>1226.6371864642358</v>
          </cell>
        </row>
        <row r="43">
          <cell r="K43">
            <v>760.66352404467546</v>
          </cell>
        </row>
        <row r="44">
          <cell r="K44">
            <v>18.752139210161083</v>
          </cell>
        </row>
        <row r="45">
          <cell r="K45">
            <v>280.18724693644162</v>
          </cell>
        </row>
        <row r="53">
          <cell r="K53">
            <v>3506.5580484662564</v>
          </cell>
        </row>
        <row r="54">
          <cell r="K54">
            <v>339.21883670603938</v>
          </cell>
        </row>
        <row r="55">
          <cell r="K55">
            <v>9.7212086484764466</v>
          </cell>
        </row>
        <row r="56">
          <cell r="K56">
            <v>254.3511207761469</v>
          </cell>
        </row>
        <row r="59">
          <cell r="K59">
            <v>3081.9874748730731</v>
          </cell>
        </row>
        <row r="60">
          <cell r="K60">
            <v>429.50591729153666</v>
          </cell>
        </row>
        <row r="61">
          <cell r="K61">
            <v>24.414200000000001</v>
          </cell>
        </row>
        <row r="62">
          <cell r="K62">
            <v>257.02112263732238</v>
          </cell>
        </row>
      </sheetData>
      <sheetData sheetId="9"/>
      <sheetData sheetId="10"/>
      <sheetData sheetId="11"/>
      <sheetData sheetId="12"/>
      <sheetData sheetId="13"/>
      <sheetData sheetId="14"/>
      <sheetData sheetId="1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Universal data"/>
      <sheetName val="Index"/>
      <sheetName val="Outputs"/>
      <sheetName val="Incentives - tables"/>
      <sheetName val="Incentives - charts "/>
      <sheetName val="Innovation"/>
      <sheetName val="Consumer bill impact"/>
      <sheetName val="8-year TO forecast"/>
      <sheetName val="RORE"/>
      <sheetName val="Forecast &quot;True up&quot; 1"/>
      <sheetName val="Forecast &quot;True up&quot; 2"/>
    </sheetNames>
    <sheetDataSet>
      <sheetData sheetId="0"/>
      <sheetData sheetId="1"/>
      <sheetData sheetId="2"/>
      <sheetData sheetId="3"/>
      <sheetData sheetId="4"/>
      <sheetData sheetId="5"/>
      <sheetData sheetId="6"/>
      <sheetData sheetId="7"/>
      <sheetData sheetId="8">
        <row r="19">
          <cell r="K19">
            <v>4280.8864866491294</v>
          </cell>
        </row>
        <row r="20">
          <cell r="K20">
            <v>6235.1391832453191</v>
          </cell>
        </row>
        <row r="21">
          <cell r="K21">
            <v>199.03421022996454</v>
          </cell>
        </row>
        <row r="22">
          <cell r="K22">
            <v>2204.8895002028835</v>
          </cell>
        </row>
        <row r="25">
          <cell r="K25">
            <v>3282.7831375114406</v>
          </cell>
        </row>
        <row r="26">
          <cell r="K26">
            <v>4047.3698538124918</v>
          </cell>
        </row>
        <row r="27">
          <cell r="K27">
            <v>388.13759776479714</v>
          </cell>
        </row>
        <row r="28">
          <cell r="K28">
            <v>2363.3092819726535</v>
          </cell>
        </row>
        <row r="36">
          <cell r="K36">
            <v>1381.9915792500105</v>
          </cell>
        </row>
        <row r="37">
          <cell r="K37">
            <v>867.03547343492471</v>
          </cell>
        </row>
        <row r="38">
          <cell r="K38">
            <v>9.6985419900290442</v>
          </cell>
        </row>
        <row r="39">
          <cell r="K39">
            <v>207.88161808383953</v>
          </cell>
        </row>
        <row r="42">
          <cell r="K42">
            <v>1223.3453572903377</v>
          </cell>
        </row>
        <row r="43">
          <cell r="K43">
            <v>788.58112986590686</v>
          </cell>
        </row>
        <row r="44">
          <cell r="K44">
            <v>16.409306026439975</v>
          </cell>
        </row>
        <row r="45">
          <cell r="K45">
            <v>294.81723257927916</v>
          </cell>
        </row>
        <row r="53">
          <cell r="K53">
            <v>3128.0571188798249</v>
          </cell>
        </row>
        <row r="54">
          <cell r="K54">
            <v>301.49345118192969</v>
          </cell>
        </row>
        <row r="55">
          <cell r="K55">
            <v>9.9728617759134615</v>
          </cell>
        </row>
        <row r="56">
          <cell r="K56">
            <v>257.6987399925876</v>
          </cell>
        </row>
        <row r="59">
          <cell r="K59">
            <v>2654.6273290170416</v>
          </cell>
        </row>
        <row r="60">
          <cell r="K60">
            <v>417.61912171183349</v>
          </cell>
        </row>
        <row r="61">
          <cell r="K61">
            <v>32.553336462083671</v>
          </cell>
        </row>
        <row r="62">
          <cell r="K62">
            <v>255.41054643709595</v>
          </cell>
        </row>
      </sheetData>
      <sheetData sheetId="9"/>
      <sheetData sheetId="10"/>
      <sheetData sheetId="1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Index"/>
      <sheetName val="Universal data"/>
      <sheetName val="Allowances"/>
      <sheetName val="Previous years"/>
      <sheetName val="Check and Balances"/>
      <sheetName val="1.4_Rec_to_Reg_Accs"/>
      <sheetName val="1.5_Net_Debt_and_Tax_Clawback"/>
      <sheetName val="1.6_Disposals"/>
      <sheetName val="2.1_Totex_PCFM"/>
      <sheetName val="2.2_Totex_Forecast"/>
      <sheetName val="2.3a_Forecast_Allowances"/>
      <sheetName val="2.3b_Forecast_Volumes"/>
      <sheetName val="2.4_Totex"/>
      <sheetName val="2.5_Outputs"/>
      <sheetName val="2.6_Wider_Works"/>
      <sheetName val="2.7_Input_Prices"/>
      <sheetName val="3.1_Opex_summary_(NGET)"/>
      <sheetName val="3.1_Opex_summary_(Sc TO)"/>
      <sheetName val="3.2_Indirect_Summary_(Sc TO)"/>
      <sheetName val="3.3_Asset_Management_Opex"/>
      <sheetName val="3.4_Business_support_group"/>
      <sheetName val="3.5_Business_support_allocation"/>
      <sheetName val="3.6_Business_support_supplement"/>
      <sheetName val="3.7_Operational_Training"/>
      <sheetName val="3.8_Salary_and_FTE_numbers"/>
      <sheetName val="3.9_Exc_&amp;_Demin"/>
      <sheetName val="3.10_Provisions"/>
      <sheetName val="3.11_Related_Party_Transactions"/>
      <sheetName val="3.12_IRM_Expenditure"/>
      <sheetName val="3.13_NIA_Expenditure"/>
      <sheetName val="3.14_NIC_Expenditure"/>
      <sheetName val="3.15_Physical_Security_Opex"/>
      <sheetName val="3.16_SO_EMR_Data"/>
      <sheetName val="4.1_Capex_Summary"/>
      <sheetName val="4.2_LRScheme_Expenditure"/>
      <sheetName val="4.2a_Raw_data"/>
      <sheetName val="4.3_NLRScheme_Expenditure"/>
      <sheetName val="4.3.1_NLR_Volume_Change"/>
      <sheetName val="4.3.2_T2_Output_Cost_Deferral"/>
      <sheetName val="4.3.3_Tower_Steelwork"/>
      <sheetName val="4.4_Uncertain_Costs"/>
      <sheetName val="4.5_Non_Op_Capex"/>
      <sheetName val="4.6_SO_Capex"/>
      <sheetName val="4.7_TIRG_Schemes"/>
      <sheetName val="4.8_Physical_Security_Capex"/>
      <sheetName val="5.1_System_Chars_and_Activity"/>
      <sheetName val="5.2_Faults_and_failures"/>
      <sheetName val="5.3_Boundary_Tran_Requirements"/>
      <sheetName val="5.4_Bound_Capab_Dev"/>
      <sheetName val="5.5_Demand_&amp;_Supply_Sub"/>
      <sheetName val="5.6_Lead_Adds_&amp;_Disps"/>
      <sheetName val="5.7_Non-lead_Adds_&amp;_Disps"/>
      <sheetName val="5.8_Lead_Unit_Cost_Actuals"/>
      <sheetName val="5.9_Non-lead_Unit_Costs"/>
      <sheetName val="5.10_ACU"/>
      <sheetName val="6.1_NGET_customer_satisfaction"/>
      <sheetName val="6.1_Scot_stakehldr_satisfaction"/>
      <sheetName val="6.2_BCF"/>
      <sheetName val="6.3_Reliability"/>
      <sheetName val="6.4_Scot_Timely_connections"/>
      <sheetName val="6.5_SF6_Incentive"/>
      <sheetName val="6.6_Visual_amenity_outputs"/>
      <sheetName val="6.7_BWW_and_SWW_outputs"/>
      <sheetName val="6.8_Pre-con_SWW"/>
      <sheetName val="6.9_SHE_Trans_Generation_conns"/>
      <sheetName val="6.10_SPTL_Generation_sole"/>
      <sheetName val="6.10_SPTL_Generation_shared"/>
      <sheetName val="6.11_NGET_Wider_Works_outputs"/>
      <sheetName val="6.12_NGET_planning_requirements"/>
      <sheetName val="6.13_NGET_Local_Generation"/>
      <sheetName val="6.14_NGET_Local_Demand"/>
      <sheetName val="6.15.1_NOMs_detail"/>
      <sheetName val="6.15.2_NOMs_RP"/>
      <sheetName val="6.17_Flood_Mitigation"/>
      <sheetName val="GRAPHS"/>
      <sheetName val="COMMENTARY SPT"/>
      <sheetName val="COMMENTARY SHET"/>
      <sheetName val="COMMENTARY NGET"/>
      <sheetName val="Working1"/>
      <sheetName val="Working2"/>
    </sheetNames>
    <sheetDataSet>
      <sheetData sheetId="0"/>
      <sheetData sheetId="1"/>
      <sheetData sheetId="2">
        <row r="52">
          <cell r="C52">
            <v>1.3130293043365822</v>
          </cell>
        </row>
      </sheetData>
      <sheetData sheetId="3"/>
      <sheetData sheetId="4"/>
      <sheetData sheetId="5"/>
      <sheetData sheetId="6"/>
      <sheetData sheetId="7"/>
      <sheetData sheetId="8"/>
      <sheetData sheetId="9"/>
      <sheetData sheetId="10"/>
      <sheetData sheetId="11"/>
      <sheetData sheetId="12"/>
      <sheetData sheetId="13">
        <row r="23">
          <cell r="M23">
            <v>10244.164195630345</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12">
          <cell r="C12">
            <v>7.4391457999999995</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Index"/>
      <sheetName val="Universal data"/>
      <sheetName val="Allowances"/>
      <sheetName val="Previous years"/>
      <sheetName val="Check and Balances"/>
      <sheetName val="1.4_Rec_to_Reg_Accs"/>
      <sheetName val="1.5_Net_Debt_and_Tax_Clawback"/>
      <sheetName val="1.6_Disposals"/>
      <sheetName val="2.1_Totex_PCFM"/>
      <sheetName val="2.2_Totex_Forecast"/>
      <sheetName val="2.3a_Forecast_Allowances"/>
      <sheetName val="2.3b_Forecast_Volumes"/>
      <sheetName val="2.4_Totex"/>
      <sheetName val="2.5_Outputs"/>
      <sheetName val="2.6_Wider_Works"/>
      <sheetName val="2.7_Input_Prices"/>
      <sheetName val="3.1_Opex_summary_(NGET)"/>
      <sheetName val="3.1_Opex_summary_(Sc TO)"/>
      <sheetName val="3.2_Indirect_Summary_(Sc TO)"/>
      <sheetName val="3.3_Asset_Management_Opex"/>
      <sheetName val="3.4_Business_support_group"/>
      <sheetName val="3.5_Business_support_allocation"/>
      <sheetName val="3.6_Business_support_supplement"/>
      <sheetName val="3.7_Operational_Training"/>
      <sheetName val="3.8_Salary_and_FTE_numbers"/>
      <sheetName val="3.9_Exc_&amp;_Demin"/>
      <sheetName val="3.10_Provisions"/>
      <sheetName val="3.11_Related_Party_Transactions"/>
      <sheetName val="3.12_IRM_Expenditure"/>
      <sheetName val="3.13_NIA_Expenditure"/>
      <sheetName val="3.14_NIC_Expenditure"/>
      <sheetName val="3.15_Physical_Security_Opex"/>
      <sheetName val="3.16_SO_EMR_Data"/>
      <sheetName val="4.1_Capex_Summary"/>
      <sheetName val="4.2_LRScheme_Expenditure"/>
      <sheetName val="4.2a_Raw_data"/>
      <sheetName val="4.3_NLRScheme_Expenditure"/>
      <sheetName val="4.3.1_NLR_Volume_Change"/>
      <sheetName val="4.3.2_T2_Output_Cost_Deferral"/>
      <sheetName val="4.3.3_Tower_Steelwork"/>
      <sheetName val="4.4_Uncertain_Costs"/>
      <sheetName val="4.5_Non_Op_Capex"/>
      <sheetName val="4.6_SO_Capex"/>
      <sheetName val="4.7_TIRG_Schemes"/>
      <sheetName val="4.8_Physical_Security_Capex"/>
      <sheetName val="5.1_System_Chars_and_Activity"/>
      <sheetName val="5.2_Faults_and_failures"/>
      <sheetName val="5.3_Boundary_Tran_Requirements"/>
      <sheetName val="5.4_Bound_Capab_Dev"/>
      <sheetName val="5.5_Demand_&amp;_Supply_Sub"/>
      <sheetName val="5.6_Lead_Adds_&amp;_Disps"/>
      <sheetName val="5.7_Non-lead_Adds_&amp;_Disps"/>
      <sheetName val="5.8_Lead_Unit_Cost_Actuals"/>
      <sheetName val="5.9_Non-lead_Unit_Costs"/>
      <sheetName val="5.10_ACU"/>
      <sheetName val="6.1_NGET_customer_satisfaction"/>
      <sheetName val="6.1_Scot_stakehldr_satisfaction"/>
      <sheetName val="6.2_BCF"/>
      <sheetName val="6.3_Reliability"/>
      <sheetName val="6.4_Scot_Timely_connections"/>
      <sheetName val="6.5_SF6_Incentive"/>
      <sheetName val="6.6_Visual_amenity_outputs"/>
      <sheetName val="6.7_BWW_and_SWW_outputs"/>
      <sheetName val="6.8_Pre-con_SWW"/>
      <sheetName val="6.9_SHE_Trans_Generation_conns"/>
      <sheetName val="6.10_SPTL_Generation_sole"/>
      <sheetName val="6.10_SPTL_Generation_shared"/>
      <sheetName val="6.11_NGET_Wider_Works_outputs"/>
      <sheetName val="6.12_NGET_planning_requirements"/>
      <sheetName val="6.13_NGET_Local_Generation"/>
      <sheetName val="6.14_NGET_Local_Demand"/>
      <sheetName val="6.15.1_NOMs_detail"/>
      <sheetName val="6.15.2_NOMs_RP"/>
      <sheetName val="6.17_Flood_Mitigation"/>
      <sheetName val="GRAPHS"/>
      <sheetName val="COMMENTARY SPT"/>
      <sheetName val="COMMENTARY SHET"/>
      <sheetName val="COMMENTARY NGET"/>
      <sheetName val="Working1"/>
      <sheetName val="Working2"/>
    </sheetNames>
    <sheetDataSet>
      <sheetData sheetId="0"/>
      <sheetData sheetId="1"/>
      <sheetData sheetId="2"/>
      <sheetData sheetId="3">
        <row r="37">
          <cell r="E37">
            <v>2.9398284516566093</v>
          </cell>
        </row>
      </sheetData>
      <sheetData sheetId="4"/>
      <sheetData sheetId="5"/>
      <sheetData sheetId="6"/>
      <sheetData sheetId="7"/>
      <sheetData sheetId="8"/>
      <sheetData sheetId="9"/>
      <sheetData sheetId="10">
        <row r="9">
          <cell r="AB9">
            <v>934.20396819247173</v>
          </cell>
        </row>
      </sheetData>
      <sheetData sheetId="11">
        <row r="10">
          <cell r="I10">
            <v>227.23982845165662</v>
          </cell>
        </row>
      </sheetData>
      <sheetData sheetId="12">
        <row r="15">
          <cell r="E15">
            <v>240</v>
          </cell>
        </row>
      </sheetData>
      <sheetData sheetId="13">
        <row r="23">
          <cell r="M23">
            <v>2286.2400966555138</v>
          </cell>
        </row>
        <row r="49">
          <cell r="M49">
            <v>2362.2709342963099</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9">
          <cell r="H9">
            <v>0</v>
          </cell>
        </row>
      </sheetData>
      <sheetData sheetId="30"/>
      <sheetData sheetId="31"/>
      <sheetData sheetId="32"/>
      <sheetData sheetId="33"/>
      <sheetData sheetId="34">
        <row r="12">
          <cell r="G12">
            <v>9.4836087670050428</v>
          </cell>
        </row>
      </sheetData>
      <sheetData sheetId="35">
        <row r="19">
          <cell r="AU19">
            <v>0</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ow r="11">
          <cell r="L11">
            <v>1050</v>
          </cell>
        </row>
      </sheetData>
      <sheetData sheetId="64"/>
      <sheetData sheetId="65"/>
      <sheetData sheetId="66"/>
      <sheetData sheetId="67"/>
      <sheetData sheetId="68"/>
      <sheetData sheetId="69"/>
      <sheetData sheetId="70"/>
      <sheetData sheetId="71"/>
      <sheetData sheetId="72"/>
      <sheetData sheetId="73"/>
      <sheetData sheetId="74"/>
      <sheetData sheetId="75"/>
      <sheetData sheetId="76">
        <row r="143">
          <cell r="AE143">
            <v>0.14930558691348367</v>
          </cell>
        </row>
      </sheetData>
      <sheetData sheetId="77"/>
      <sheetData sheetId="78"/>
      <sheetData sheetId="79"/>
      <sheetData sheetId="8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Index"/>
      <sheetName val="Universal data"/>
      <sheetName val="Allowances"/>
      <sheetName val="Previous years"/>
      <sheetName val="1.4_Rec_to_Reg_Accs"/>
      <sheetName val="1.5_Net_Debt_and_Tax_Clawback"/>
      <sheetName val="Check and Balances"/>
      <sheetName val="1.6_Disposals"/>
      <sheetName val="2.1_Totex_PCFM"/>
      <sheetName val="2.2_Totex_Forecast"/>
      <sheetName val="2.3a_Forecast_Allowances"/>
      <sheetName val="2.3b_Forecast_Volumes"/>
      <sheetName val="2.4_Totex"/>
      <sheetName val="2.5_Outputs"/>
      <sheetName val="2.6_Wider_Works"/>
      <sheetName val="2.7_Input_Prices"/>
      <sheetName val="3.1_Opex_summary_(NGET)"/>
      <sheetName val="3.1_Opex_summary_(Sc TO)"/>
      <sheetName val="3.2_Indirect_Summary_(Sc TO)"/>
      <sheetName val="3.3_Asset_Management_Opex"/>
      <sheetName val="3.4_Business_support_group"/>
      <sheetName val="3.5_Business_support_allocation"/>
      <sheetName val="3.6_Business_support_supplement"/>
      <sheetName val="3.7_Operational_Training"/>
      <sheetName val="3.8_Salary_and_FTE_numbers"/>
      <sheetName val="3.9_Exc_&amp;_Demin"/>
      <sheetName val="3.10_Provisions"/>
      <sheetName val="3.11_Related_Party_Transactions"/>
      <sheetName val="3.12_IRM_Expenditure"/>
      <sheetName val="3.13_NIA_Expenditure"/>
      <sheetName val="3.14_NIC_Expenditure"/>
      <sheetName val="3.15_Physical_Security_Opex"/>
      <sheetName val="4.1_Capex_Summary"/>
      <sheetName val="4.2_LRScheme_Expenditure"/>
      <sheetName val="4.2a_Raw_data"/>
      <sheetName val="4.3_NLRScheme_Expenditure"/>
      <sheetName val="4.3.1_NLR_Volume_Change"/>
      <sheetName val="4.3.2_T2_Output_Cost_Deferral"/>
      <sheetName val="4.3.3_Tower_Steelwork"/>
      <sheetName val="4.4_Uncertain_Costs"/>
      <sheetName val="4.5_Non_Op_Capex"/>
      <sheetName val="4.6_SO_Capex"/>
      <sheetName val="4.7_TIRG_Schemes"/>
      <sheetName val="4.8_Physical_Security_Capex"/>
      <sheetName val="4.9_GEF (SPT ONLY)"/>
      <sheetName val="5.1_System_Chars_and_Activity"/>
      <sheetName val="5.2_Faults_and_failures"/>
      <sheetName val="5.3_Boundary_Tran_Requirements"/>
      <sheetName val="5.4_Bound_Capab_Dev"/>
      <sheetName val="5.5_Demand_&amp;_Supply_Sub"/>
      <sheetName val="5.6_Lead_Adds_&amp;_Disps"/>
      <sheetName val="5.7_Non-lead_Adds_&amp;_Disps"/>
      <sheetName val="5.8_Lead_Unit_Cost_Actuals"/>
      <sheetName val="5.9_Non-lead_Unit_Costs"/>
      <sheetName val="5.10_ACU"/>
      <sheetName val="6.1_NGET_customer_satisfaction"/>
      <sheetName val="6.1_Scot_stakehldr_satisfaction"/>
      <sheetName val="6.2_BCF"/>
      <sheetName val="6.3_Reliability"/>
      <sheetName val="6.4_Scot_Timely_connections"/>
      <sheetName val="6.5_SF6_Incentive"/>
      <sheetName val="6.6_Visual_amenity_outputs"/>
      <sheetName val="6.7_BWW_and_SWW_outputs"/>
      <sheetName val="6.8_Pre-con_SWW"/>
      <sheetName val="6.9_SHE_Trans_Generation_conns"/>
      <sheetName val="6.10_SPTL_Generation_sole"/>
      <sheetName val="6.10_SPTL_Generation_shared"/>
      <sheetName val="6.11_NGET_Wider_Works_outputs"/>
      <sheetName val="6.12_NGET_planning_requirements"/>
      <sheetName val="6.13_NGET_Local_Generation"/>
      <sheetName val="6.14_NGET_Local_Demand"/>
      <sheetName val="6.15.1_NOMs_detail"/>
      <sheetName val="6.15.2_NOMs_RP"/>
      <sheetName val="6.17_Flood_Mitigation"/>
      <sheetName val="6.01_Asset_Identification"/>
      <sheetName val="6.02_Asset_Identification"/>
      <sheetName val="COMMENTARY SPT"/>
      <sheetName val="COMMENTARY SHET"/>
      <sheetName val="COMMENTARY NGET"/>
      <sheetName val="Working1"/>
      <sheetName val="Working2"/>
      <sheetName val="GRAPH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3">
          <cell r="M23">
            <v>2323.1530257619638</v>
          </cell>
        </row>
        <row r="49">
          <cell r="M49">
            <v>2466.6072127588036</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Index"/>
      <sheetName val="Universal data"/>
      <sheetName val="Allowances"/>
      <sheetName val="Previous years"/>
      <sheetName val="Check and Balances"/>
      <sheetName val="1.4_Rec_to_Reg_Accs"/>
      <sheetName val="1.5_Net_Debt_and_Tax_Clawback"/>
      <sheetName val="1.6_Disposals"/>
      <sheetName val="2.1_Totex_PCFM"/>
      <sheetName val="2.2_Totex_Forecast"/>
      <sheetName val="2.3a_Forecast_Allowances"/>
      <sheetName val="2.3b_Forecast_Volumes"/>
      <sheetName val="2.4_Totex"/>
      <sheetName val="2.5_Outputs"/>
      <sheetName val="2.6_Wider_Works"/>
      <sheetName val="2.7_Input_Prices"/>
      <sheetName val="3.1_Opex_summary_(NGET)"/>
      <sheetName val="3.1_Opex_summary_(Sc TO)"/>
      <sheetName val="3.2_Indirect_Summary_(Sc TO)"/>
      <sheetName val="3.3_Asset_Management_Opex"/>
      <sheetName val="3.4_Business_support_group"/>
      <sheetName val="3.5_Business_support_allocation"/>
      <sheetName val="3.6_Business_support_supplement"/>
      <sheetName val="3.7_Operational_Training"/>
      <sheetName val="3.8_Salary_and_FTE_numbers"/>
      <sheetName val="3.9_Exc_&amp;_Demin"/>
      <sheetName val="3.10_Provisions"/>
      <sheetName val="3.11_Related_Party_Transactions"/>
      <sheetName val="3.12_IRM_Expenditure"/>
      <sheetName val="3.13_NIA_Expenditure"/>
      <sheetName val="3.14_NIC_Expenditure"/>
      <sheetName val="3.15_Physical_Security_Opex"/>
      <sheetName val="3.16_SO_EMR_Data"/>
      <sheetName val="4.1_Capex_Summary"/>
      <sheetName val="4.2_LRScheme_Expenditure"/>
      <sheetName val="4.2a_Raw_data"/>
      <sheetName val="4.3_NLRScheme_Expenditure"/>
      <sheetName val="4.3.1_NLR_Volume_Change"/>
      <sheetName val="4.3.2_T2_Output_Cost_Deferral"/>
      <sheetName val="4.3.3_Tower_Steelwork"/>
      <sheetName val="4.4_Uncertain_Costs"/>
      <sheetName val="4.5_Non_Op_Capex"/>
      <sheetName val="4.6_SO_Capex"/>
      <sheetName val="4.7_TIRG_Schemes"/>
      <sheetName val="4.8_Physical_Security_Capex"/>
      <sheetName val="5.1_System_Chars_and_Activity"/>
      <sheetName val="5.2_Faults_and_failures"/>
      <sheetName val="5.3_Boundary_Tran_Requirements"/>
      <sheetName val="5.4_Bound_Capab_Dev"/>
      <sheetName val="5.5_Demand_&amp;_Supply_Sub"/>
      <sheetName val="5.6_Lead_Adds_&amp;_Disps"/>
      <sheetName val="5.7_Non-lead_Adds_&amp;_Disps"/>
      <sheetName val="5.8_Lead_Unit_Cost_Actuals"/>
      <sheetName val="5.9_Non-lead_Unit_Costs"/>
      <sheetName val="5.10_ACU"/>
      <sheetName val="6.1_NGET_customer_satisfaction"/>
      <sheetName val="6.1_Scot_stakehldr_satisfaction"/>
      <sheetName val="6.2_BCF"/>
      <sheetName val="6.3_Reliability"/>
      <sheetName val="6.4_Scot_Timely_connections"/>
      <sheetName val="6.5_SF6_Incentive"/>
      <sheetName val="6.6_Visual_amenity_outputs"/>
      <sheetName val="6.7_BWW_and_SWW_outputs"/>
      <sheetName val="6.8_Pre-con_SWW"/>
      <sheetName val="6.9_SHE_Trans_Generation_conns"/>
      <sheetName val="6.10_SPTL_Generation_sole"/>
      <sheetName val="6.10_SPTL_Generation_shared"/>
      <sheetName val="6.11_NGET_Wider_Works_outputs"/>
      <sheetName val="6.12_NGET_planning_requirements"/>
      <sheetName val="6.13_NGET_Local_Generation"/>
      <sheetName val="6.14_NGET_Local_Demand"/>
      <sheetName val="6.15.1_NOMs_detail"/>
      <sheetName val="6.15.2_NOMs_RP"/>
      <sheetName val="6.17_Flood_Mitigation"/>
      <sheetName val="GRAPHS"/>
      <sheetName val="COMMENTARY SHET"/>
      <sheetName val="COMMENTARY SPT"/>
      <sheetName val="COMMENTARY NGET"/>
      <sheetName val="Working1"/>
      <sheetName val="Working2"/>
    </sheetNames>
    <sheetDataSet>
      <sheetData sheetId="0"/>
      <sheetData sheetId="1"/>
      <sheetData sheetId="2">
        <row r="53">
          <cell r="C53">
            <v>0.76159762519942953</v>
          </cell>
        </row>
      </sheetData>
      <sheetData sheetId="3">
        <row r="37">
          <cell r="E37">
            <v>53.581498558422517</v>
          </cell>
        </row>
      </sheetData>
      <sheetData sheetId="4"/>
      <sheetData sheetId="5"/>
      <sheetData sheetId="6"/>
      <sheetData sheetId="7"/>
      <sheetData sheetId="8"/>
      <sheetData sheetId="9"/>
      <sheetData sheetId="10">
        <row r="9">
          <cell r="AB9">
            <v>2347.234341757719</v>
          </cell>
        </row>
      </sheetData>
      <sheetData sheetId="11">
        <row r="9">
          <cell r="AN9">
            <v>129.54218118092467</v>
          </cell>
        </row>
      </sheetData>
      <sheetData sheetId="12"/>
      <sheetData sheetId="13">
        <row r="9">
          <cell r="M9">
            <v>3081.9874748730731</v>
          </cell>
        </row>
        <row r="23">
          <cell r="M23">
            <v>3792.9287148019321</v>
          </cell>
        </row>
        <row r="49">
          <cell r="M49">
            <v>4109.8492145969194</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2">
          <cell r="G12">
            <v>5.177082991627926</v>
          </cell>
        </row>
      </sheetData>
      <sheetData sheetId="35">
        <row r="82">
          <cell r="V82">
            <v>0</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ow r="11">
          <cell r="L11">
            <v>500</v>
          </cell>
        </row>
      </sheetData>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Index"/>
      <sheetName val="Universal data"/>
      <sheetName val="Allowances"/>
      <sheetName val="Previous years"/>
      <sheetName val="Check and Balances"/>
      <sheetName val="1.4_Rec_to_Reg_Accs"/>
      <sheetName val="1.5_Net_Debt_and_Tax_Clawback"/>
      <sheetName val="1.6_Disposals"/>
      <sheetName val="2.1_Totex_PCFM"/>
      <sheetName val="2.2_Totex_Forecast"/>
      <sheetName val="2.3a_Forecast_Allowances"/>
      <sheetName val="2.3b_Forecast_Volumes"/>
      <sheetName val="2.4_Totex"/>
      <sheetName val="2.5_Outputs"/>
      <sheetName val="2.6_Wider_Works"/>
      <sheetName val="2.7_Input_Prices"/>
      <sheetName val="3.1_Opex_summary_(NGET)"/>
      <sheetName val="3.1_Opex_summary_(Sc TO)"/>
      <sheetName val="3.2_Indirect_Summary_(Sc TO)"/>
      <sheetName val="3.3_Asset_Management_Opex"/>
      <sheetName val="3.4_Business_support_group"/>
      <sheetName val="3.5_Business_support_allocation"/>
      <sheetName val="3.6_Business_support_supplement"/>
      <sheetName val="3.7_Operational_Training"/>
      <sheetName val="3.8_Salary_and_FTE_numbers"/>
      <sheetName val="3.9_Exc_&amp;_Demin"/>
      <sheetName val="3.10_Provisions"/>
      <sheetName val="3.11_Related_Party_Transactions"/>
      <sheetName val="3.12_IRM_Expenditure"/>
      <sheetName val="3.13_NIA_Expenditure"/>
      <sheetName val="3.14_NIC_Expenditure"/>
      <sheetName val="3.15_Physical_Security_Opex"/>
      <sheetName val="4.1_Capex_Summary"/>
      <sheetName val="4.2_LRScheme_Expenditure"/>
      <sheetName val="4.2a_Raw_data"/>
      <sheetName val="4.3_NLRScheme_Expenditure"/>
      <sheetName val="4.3.1_NLR_Volume_Change"/>
      <sheetName val="4.3.2_T2_Output_Cost_Deferral"/>
      <sheetName val="4.3.3_Tower_Steelwork"/>
      <sheetName val="4.4_Uncertain_Costs"/>
      <sheetName val="4.5_Non_Op_Capex"/>
      <sheetName val="4.6_SO_Capex"/>
      <sheetName val="4.7_TIRG_Schemes"/>
      <sheetName val="4.8_Physical_Security_Capex"/>
      <sheetName val="4.9_GEF (SPT ONLY)"/>
      <sheetName val="5.1_System_Chars_and_Activity"/>
      <sheetName val="5.2_Faults_and_failures"/>
      <sheetName val="5.3_Boundary_Tran_Requirements"/>
      <sheetName val="5.4_Bound_Capab_Dev"/>
      <sheetName val="5.5_Demand_&amp;_Supply_Sub"/>
      <sheetName val="5.6_Lead_Adds_&amp;_Disps"/>
      <sheetName val="5.7_Non-lead_Adds_&amp;_Disps"/>
      <sheetName val="5.8_Lead_Unit_Cost_Actuals"/>
      <sheetName val="5.9_Non-lead_Unit_Costs"/>
      <sheetName val="5.10_ACU"/>
      <sheetName val="6.1_NGET_customer_satisfaction"/>
      <sheetName val="6.1_Scot_stakehldr_satisfaction"/>
      <sheetName val="6.2_BCF"/>
      <sheetName val="6.3_Reliability"/>
      <sheetName val="6.4_Scot_Timely_connections"/>
      <sheetName val="6.5_SF6_Incentive"/>
      <sheetName val="6.6_Visual_amenity_outputs"/>
      <sheetName val="6.7_BWW_and_SWW_outputs"/>
      <sheetName val="6.8_Pre-con_SWW"/>
      <sheetName val="6.9_SHE_Trans_Generation_conns"/>
      <sheetName val="6.10_SPTL_Generation_sole"/>
      <sheetName val="6.10_SPTL_Generation_shared"/>
      <sheetName val="6.11_NGET_Wider_Works_outputs"/>
      <sheetName val="6.12_NGET_planning_requirements"/>
      <sheetName val="6.13_NGET_Local_Generation"/>
      <sheetName val="6.14_NGET_Local_Demand"/>
      <sheetName val="6.15_Network_Output_Measures"/>
      <sheetName val="6.17_Flood_Mitigation"/>
      <sheetName val="6.01_Asset_Identification"/>
      <sheetName val="6.02_Asset_Identification"/>
      <sheetName val="COMMENTARY SPT"/>
      <sheetName val="COMMENTARY SHET"/>
      <sheetName val="COMMENTARY NGET"/>
      <sheetName val="Working1"/>
      <sheetName val="Working2"/>
    </sheetNames>
    <sheetDataSet>
      <sheetData sheetId="0"/>
      <sheetData sheetId="1"/>
      <sheetData sheetId="2">
        <row r="50">
          <cell r="C50">
            <v>294.16699999999997</v>
          </cell>
        </row>
      </sheetData>
      <sheetData sheetId="3"/>
      <sheetData sheetId="4"/>
      <sheetData sheetId="5"/>
      <sheetData sheetId="6"/>
      <sheetData sheetId="7"/>
      <sheetData sheetId="8"/>
      <sheetData sheetId="9"/>
      <sheetData sheetId="10"/>
      <sheetData sheetId="11"/>
      <sheetData sheetId="12"/>
      <sheetData sheetId="13">
        <row r="9">
          <cell r="E9">
            <v>773.45194729274999</v>
          </cell>
          <cell r="F9">
            <v>595.66909739701578</v>
          </cell>
          <cell r="G9">
            <v>544.38351148463551</v>
          </cell>
          <cell r="H9">
            <v>406.63484327768799</v>
          </cell>
          <cell r="I9">
            <v>274.6772202916776</v>
          </cell>
          <cell r="J9">
            <v>246.16480304406699</v>
          </cell>
          <cell r="K9">
            <v>182.36117959572201</v>
          </cell>
        </row>
        <row r="10">
          <cell r="E10">
            <v>299.96054940686139</v>
          </cell>
          <cell r="F10">
            <v>216.99963029019017</v>
          </cell>
          <cell r="G10">
            <v>249.34707474703765</v>
          </cell>
          <cell r="H10">
            <v>343.7586668299495</v>
          </cell>
          <cell r="I10">
            <v>379.84716517889603</v>
          </cell>
          <cell r="J10">
            <v>293.27967870478631</v>
          </cell>
          <cell r="K10">
            <v>228.30889607839205</v>
          </cell>
        </row>
        <row r="11">
          <cell r="E11">
            <v>247.00449471016984</v>
          </cell>
          <cell r="F11">
            <v>79.94614523943028</v>
          </cell>
          <cell r="G11">
            <v>175.53610745924749</v>
          </cell>
          <cell r="H11">
            <v>146.87688803888537</v>
          </cell>
          <cell r="I11">
            <v>149.57269472854318</v>
          </cell>
          <cell r="J11">
            <v>188.51253637515654</v>
          </cell>
          <cell r="K11">
            <v>296.07369842777132</v>
          </cell>
        </row>
        <row r="12">
          <cell r="E12">
            <v>41.452391457981456</v>
          </cell>
          <cell r="F12">
            <v>33.039334955346106</v>
          </cell>
          <cell r="G12">
            <v>42.786849197202201</v>
          </cell>
          <cell r="H12">
            <v>55.939131092205201</v>
          </cell>
          <cell r="I12">
            <v>41.901573233946579</v>
          </cell>
          <cell r="J12">
            <v>54.145212421433065</v>
          </cell>
          <cell r="K12">
            <v>65.164054450959185</v>
          </cell>
        </row>
        <row r="22">
          <cell r="E22">
            <v>280.57562198057406</v>
          </cell>
          <cell r="F22">
            <v>307.54327620010707</v>
          </cell>
          <cell r="G22">
            <v>312.9353324399998</v>
          </cell>
          <cell r="H22">
            <v>287.09107511834173</v>
          </cell>
          <cell r="I22">
            <v>295.78036058195505</v>
          </cell>
          <cell r="J22">
            <v>314.53228462034724</v>
          </cell>
          <cell r="K22">
            <v>304.98605905645161</v>
          </cell>
        </row>
        <row r="36">
          <cell r="E36">
            <v>1189.3152747401161</v>
          </cell>
          <cell r="F36">
            <v>889.21724286216727</v>
          </cell>
          <cell r="G36">
            <v>586.02231647638951</v>
          </cell>
          <cell r="H36">
            <v>419.78957084223532</v>
          </cell>
          <cell r="I36">
            <v>185.8855697449749</v>
          </cell>
          <cell r="J36">
            <v>326.26299753237748</v>
          </cell>
          <cell r="K36">
            <v>334.7100678892196</v>
          </cell>
          <cell r="L36">
            <v>550.61121662718051</v>
          </cell>
        </row>
        <row r="37">
          <cell r="E37">
            <v>639.15316894177261</v>
          </cell>
          <cell r="F37">
            <v>632.67117985777259</v>
          </cell>
          <cell r="G37">
            <v>625.7390599153108</v>
          </cell>
          <cell r="H37">
            <v>630.15054846247324</v>
          </cell>
          <cell r="I37">
            <v>814.46413704896122</v>
          </cell>
          <cell r="J37">
            <v>947.46975599923667</v>
          </cell>
          <cell r="K37">
            <v>798.20633094838297</v>
          </cell>
          <cell r="L37">
            <v>689.00691242122025</v>
          </cell>
        </row>
        <row r="38">
          <cell r="E38">
            <v>35.548731988307225</v>
          </cell>
          <cell r="F38">
            <v>44.826133728386864</v>
          </cell>
          <cell r="G38">
            <v>32.23730266838858</v>
          </cell>
          <cell r="H38">
            <v>63.423405663577938</v>
          </cell>
          <cell r="I38">
            <v>84.57369479263977</v>
          </cell>
          <cell r="J38">
            <v>87.750035112321456</v>
          </cell>
          <cell r="K38">
            <v>106.96267196428627</v>
          </cell>
          <cell r="L38">
            <v>69.732979715765026</v>
          </cell>
        </row>
        <row r="48">
          <cell r="E48">
            <v>262.29848748407954</v>
          </cell>
          <cell r="F48">
            <v>268.02458591331134</v>
          </cell>
          <cell r="G48">
            <v>278.18443432966757</v>
          </cell>
          <cell r="H48">
            <v>280.88946116509271</v>
          </cell>
          <cell r="I48">
            <v>283.11054259608983</v>
          </cell>
          <cell r="J48">
            <v>284.20455776059947</v>
          </cell>
          <cell r="K48">
            <v>287.03445124045629</v>
          </cell>
        </row>
      </sheetData>
      <sheetData sheetId="14">
        <row r="13">
          <cell r="J13">
            <v>0</v>
          </cell>
        </row>
        <row r="31">
          <cell r="F31">
            <v>7.6609999999999996</v>
          </cell>
          <cell r="G31">
            <v>7.883</v>
          </cell>
          <cell r="I31">
            <v>8.6370000000000005</v>
          </cell>
          <cell r="J31">
            <v>8.8539999999999992</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12">
          <cell r="C12">
            <v>7.2148599757511667</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10">
          <cell r="H10">
            <v>7.41</v>
          </cell>
          <cell r="I10">
            <v>7.7430000000000003</v>
          </cell>
          <cell r="J10">
            <v>7.9240000000000004</v>
          </cell>
          <cell r="K10">
            <v>8.2110000000000003</v>
          </cell>
          <cell r="L10">
            <v>8.3849999999999998</v>
          </cell>
        </row>
      </sheetData>
      <sheetData sheetId="57"/>
      <sheetData sheetId="58">
        <row r="42">
          <cell r="G42">
            <v>1543932.8032709553</v>
          </cell>
        </row>
      </sheetData>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Index"/>
      <sheetName val="Universal data"/>
      <sheetName val="Allowances"/>
      <sheetName val="Previous years"/>
      <sheetName val="Check and Balances"/>
      <sheetName val="1.4_Rec_to_Reg_Accs"/>
      <sheetName val="1.5_Net_Debt_and_Tax_Clawback"/>
      <sheetName val="BneLog"/>
      <sheetName val="1.6_Disposals"/>
      <sheetName val="2.1_Totex_PCFM"/>
      <sheetName val="2.2_Totex_Forecast"/>
      <sheetName val="2.3a_Forecast_Allowances"/>
      <sheetName val="2.3b_Forecast_Volumes"/>
      <sheetName val="2.4_Totex"/>
      <sheetName val="2.5_Outputs"/>
      <sheetName val="2.6_Wider_Works"/>
      <sheetName val="2.7_Input_Prices"/>
      <sheetName val="3.1_Opex_summary_(NGET)"/>
      <sheetName val="3.1_Opex_summary_(Sc TO)"/>
      <sheetName val="3.2_Indirect_Summary_(Sc TO)"/>
      <sheetName val="3.3_Asset_Management_Opex"/>
      <sheetName val="3.4_Business_support_group"/>
      <sheetName val="3.5_Business_support_allocation"/>
      <sheetName val="3.6_Business_support_supplement"/>
      <sheetName val="3.7_Operational_Training"/>
      <sheetName val="3.8_Salary_and_FTE_numbers"/>
      <sheetName val="3.9_Exc_&amp;_Demin"/>
      <sheetName val="3.10_Provisions"/>
      <sheetName val="3.11_Related_Party_Transactions"/>
      <sheetName val="3.12_IRM_Expenditure"/>
      <sheetName val="3.13_NIA_Expenditure"/>
      <sheetName val="3.14_NIC_Expenditure"/>
      <sheetName val="3.15_Physical_Security_Opex"/>
      <sheetName val="4.1_Capex_Summary"/>
      <sheetName val="4.2_LRScheme_Expenditure"/>
      <sheetName val="4.2a_Raw_data"/>
      <sheetName val="4.3_NLRScheme_Expenditure"/>
      <sheetName val="4.3.1_NLR_Volume_Change"/>
      <sheetName val="4.3.2_T2_Output_Cost_Deferral"/>
      <sheetName val="4.3.3_Tower_Steelwork"/>
      <sheetName val="4.4_Uncertain_Costs"/>
      <sheetName val="4.5_Non_Op_Capex"/>
      <sheetName val="4.6_SO_Capex"/>
      <sheetName val="4.7_TIRG_Schemes"/>
      <sheetName val="4.8_Physical_Security_Capex"/>
      <sheetName val="4.9_GEF (SPT ONLY)"/>
      <sheetName val="5.1_System_Chars_and_Activity"/>
      <sheetName val="5.2_Faults_and_failures"/>
      <sheetName val="5.3_Boundary_Tran_Requirements"/>
      <sheetName val="5.4_Bound_Capab_Dev"/>
      <sheetName val="5.5_Demand_&amp;_Supply_Sub"/>
      <sheetName val="5.6_Lead_Adds_&amp;_Disps"/>
      <sheetName val="5.7_Non-lead_Adds_&amp;_Disps"/>
      <sheetName val="5.8_Lead_Unit_Cost_Actuals"/>
      <sheetName val="5.9_Non-lead_Unit_Costs"/>
      <sheetName val="5.10_ACU"/>
      <sheetName val="6.1_NGET_customer_satisfaction"/>
      <sheetName val="6.1_Scot_stakehldr_satisfaction"/>
      <sheetName val="6.2_BCF"/>
      <sheetName val="6.3_Reliability"/>
      <sheetName val="6.4_Scot_Timely_connections"/>
      <sheetName val="6.5_SF6_Incentive"/>
      <sheetName val="6.6_Visual_amenity_outputs"/>
      <sheetName val="6.7_BWW_and_SWW_outputs"/>
      <sheetName val="6.8_Pre-con_SWW"/>
      <sheetName val="6.9_SHE_Trans_Generation_conns"/>
      <sheetName val="6.10_SPTL_Generation_sole"/>
      <sheetName val="6.10_SPTL_Generation_shared"/>
      <sheetName val="6.11_NGET_Wider_Works_outputs"/>
      <sheetName val="6.12_NGET_planning_requirements"/>
      <sheetName val="6.13_NGET_Local_Generation"/>
      <sheetName val="6.14_NGET_Local_Demand"/>
      <sheetName val="6.15.1_NOMs_detail"/>
      <sheetName val="6.15.2_NOMs_RP"/>
      <sheetName val="6.17_Flood_Mitigation"/>
      <sheetName val="6.01_Asset_Identification"/>
      <sheetName val="6.02_Asset_Identification"/>
      <sheetName val="COMMENTARY SPT"/>
      <sheetName val="COMMENTARY NGET"/>
      <sheetName val="COMMENTARY SHET"/>
      <sheetName val="GRAPH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3">
          <cell r="M23">
            <v>3360.2103336280547</v>
          </cell>
        </row>
        <row r="49">
          <cell r="M49">
            <v>3697.2221718302553</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across T1 and T2"/>
      <sheetName val="TOTEX"/>
      <sheetName val="Apr '13 to RRP20 allowances"/>
      <sheetName val="TRUE UP"/>
      <sheetName val="LR1 &amp; LR2"/>
      <sheetName val="LR3"/>
      <sheetName val="Shetland LR13"/>
      <sheetName val="LR15"/>
      <sheetName val="3L only"/>
      <sheetName val="SWW "/>
      <sheetName val="hand back"/>
      <sheetName val="LR 21"/>
      <sheetName val="LR22"/>
      <sheetName val="T2 outputs "/>
    </sheetNames>
    <sheetDataSet>
      <sheetData sheetId="0" refreshError="1"/>
      <sheetData sheetId="1" refreshError="1"/>
      <sheetData sheetId="2" refreshError="1"/>
      <sheetData sheetId="3">
        <row r="25">
          <cell r="J25">
            <v>1.3633568108517209</v>
          </cell>
        </row>
        <row r="56">
          <cell r="N56">
            <v>228.6525416668083</v>
          </cell>
        </row>
        <row r="63">
          <cell r="N63">
            <v>113.34337634692861</v>
          </cell>
        </row>
        <row r="67">
          <cell r="N67">
            <v>-41.40669359566337</v>
          </cell>
        </row>
        <row r="76">
          <cell r="N76">
            <v>-200.44035607777266</v>
          </cell>
        </row>
      </sheetData>
      <sheetData sheetId="4" refreshError="1"/>
      <sheetData sheetId="5" refreshError="1"/>
      <sheetData sheetId="6" refreshError="1"/>
      <sheetData sheetId="7" refreshError="1"/>
      <sheetData sheetId="8">
        <row r="16">
          <cell r="E16">
            <v>4.017633212147004</v>
          </cell>
        </row>
        <row r="61">
          <cell r="M61">
            <v>95.871814619018394</v>
          </cell>
        </row>
      </sheetData>
      <sheetData sheetId="9" refreshError="1"/>
      <sheetData sheetId="10" refreshError="1"/>
      <sheetData sheetId="11" refreshError="1"/>
      <sheetData sheetId="12" refreshError="1"/>
      <sheetData sheetId="1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 4.19.2"/>
      <sheetName val="Licence"/>
      <sheetName val="FP doc"/>
      <sheetName val="1 Apr 2013 baseline"/>
      <sheetName val="Apr 13 SPT view"/>
      <sheetName val="PCFM input sheet"/>
      <sheetName val="AIP"/>
      <sheetName val="6F costs RRP18"/>
      <sheetName val="SQ55 response"/>
      <sheetName val="IRM adj"/>
      <sheetName val="SQ55 response(2)"/>
      <sheetName val="T4.2 raw data"/>
      <sheetName val="Reconciliation"/>
      <sheetName val="LR21 SPT gen calc"/>
      <sheetName val="Apr'13 to RRP20 allowance"/>
      <sheetName val="LR spend summary RRP21"/>
      <sheetName val="TOTEX summary"/>
      <sheetName val="TRUE UP"/>
      <sheetName val="GEF"/>
      <sheetName val="LR1"/>
      <sheetName val="LR2"/>
      <sheetName val="Excl Serv summary"/>
      <sheetName val="LR3"/>
      <sheetName val="LR9&amp;10"/>
      <sheetName val="LR11&amp;12"/>
      <sheetName val="LR13"/>
      <sheetName val="LR15"/>
      <sheetName val="LR20"/>
      <sheetName val="SpC 3L"/>
      <sheetName val="LR21"/>
      <sheetName val="LR22"/>
      <sheetName val="T2 out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107">
          <cell r="N107">
            <v>95.319808347868999</v>
          </cell>
        </row>
        <row r="110">
          <cell r="N110">
            <v>-45.030293461394244</v>
          </cell>
        </row>
        <row r="116">
          <cell r="N116">
            <v>98.892143926080564</v>
          </cell>
        </row>
        <row r="117">
          <cell r="N117">
            <v>-74.618352990592939</v>
          </cell>
        </row>
        <row r="121">
          <cell r="S121">
            <v>-30.371850944152683</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Universal data"/>
      <sheetName val="NGET RRP18 view of actuals"/>
      <sheetName val="NGET RRP18 view of actuals (me)"/>
      <sheetName val="NGET view of allow RRP18."/>
      <sheetName val="NGET RRP19 view of actuals"/>
      <sheetName val="NGET RRP19 view of actuals (me)"/>
      <sheetName val="NGET view of allow (me RRP19)"/>
      <sheetName val="RRP20 summary"/>
      <sheetName val="NGET RRP20 view of actuals"/>
      <sheetName val="NGET RRP20 view of actuals (me)"/>
      <sheetName val="NGET view of allow (me RRP20)"/>
      <sheetName val="RRP21 summary"/>
      <sheetName val="NGET RRP21 view of actuals"/>
      <sheetName val="NGET view of allow RRP21."/>
      <sheetName val="NGET view of allow (me RRP21)"/>
      <sheetName val="NG T1 Summary"/>
      <sheetName val="NGET LR&amp;NLR IQI allowance"/>
      <sheetName val="NG LoadBase Allow. raw data"/>
      <sheetName val="Ofg Loadbase Allow. raw data"/>
      <sheetName val="NG NLRbase Allow. raw data"/>
      <sheetName val="Ofg NLRbase Allow. raw data"/>
      <sheetName val="NGET Other base allow. summary"/>
      <sheetName val="NGET indirects"/>
      <sheetName val="SPT T1 Loadbase allow. summary"/>
      <sheetName val="Network Length"/>
      <sheetName val="NLRE allow. postINT"/>
      <sheetName val="NG 2012 BP 4.20.2"/>
      <sheetName val="NG 2012 BP 4.22.1"/>
      <sheetName val="RRP14"/>
    </sheetNames>
    <sheetDataSet>
      <sheetData sheetId="0"/>
      <sheetData sheetId="1">
        <row r="29">
          <cell r="AI29">
            <v>0.73348370143489927</v>
          </cell>
        </row>
        <row r="40">
          <cell r="X40">
            <v>1.3633568108517209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row r="6">
          <cell r="CP6">
            <v>55.414732409817482</v>
          </cell>
        </row>
        <row r="35">
          <cell r="CY35">
            <v>542.09424828815725</v>
          </cell>
        </row>
        <row r="43">
          <cell r="CY43">
            <v>-218.48562150590436</v>
          </cell>
        </row>
        <row r="148">
          <cell r="CZ148">
            <v>26.507882452484409</v>
          </cell>
        </row>
        <row r="152">
          <cell r="CZ152">
            <v>419.86304490686717</v>
          </cell>
        </row>
        <row r="153">
          <cell r="CZ153">
            <v>26.836900781618191</v>
          </cell>
        </row>
        <row r="154">
          <cell r="CZ154">
            <v>-295.61671496588048</v>
          </cell>
        </row>
        <row r="155">
          <cell r="CZ155">
            <v>-1.3213173199999999</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summary"/>
      <sheetName val="SQ reconciliation"/>
      <sheetName val="starting baseline allowance"/>
      <sheetName val="Apr '13 to RRP20"/>
      <sheetName val="TOTEX"/>
      <sheetName val="Summary sheet"/>
      <sheetName val="LR1"/>
      <sheetName val="LR2"/>
      <sheetName val="Excl Serv summary"/>
      <sheetName val="True up"/>
      <sheetName val="LR3"/>
      <sheetName val="LR4 - Gen6F"/>
      <sheetName val="LR13"/>
      <sheetName val="LR14 - Dem6L"/>
      <sheetName val="LR15"/>
      <sheetName val="LR16 incl TPWW"/>
      <sheetName val="LR16 TPWW only"/>
      <sheetName val="LR18"/>
      <sheetName val="LR19"/>
      <sheetName val="LR20"/>
      <sheetName val="SpC 3L pre con"/>
      <sheetName val="LR21"/>
      <sheetName val="LR22"/>
      <sheetName val="T2 outputs"/>
      <sheetName val="T1+2 Waterfall"/>
      <sheetName val="RRP18 Demand "/>
      <sheetName val="RRP18 Generation"/>
      <sheetName val="SQ 60 IWW"/>
      <sheetName val="6F 6L 6J"/>
      <sheetName val="LR16 from T4.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40">
          <cell r="V40">
            <v>61.96830808</v>
          </cell>
        </row>
      </sheetData>
      <sheetData sheetId="21"/>
      <sheetData sheetId="22"/>
      <sheetData sheetId="23"/>
      <sheetData sheetId="24"/>
      <sheetData sheetId="25"/>
      <sheetData sheetId="26"/>
      <sheetData sheetId="27"/>
      <sheetData sheetId="28"/>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Index"/>
      <sheetName val="Universal data"/>
      <sheetName val="Allowances"/>
      <sheetName val="Previous years"/>
      <sheetName val="Check and Balances"/>
      <sheetName val="1.4_Rec_to_Reg_Accs"/>
      <sheetName val="1.5_Net_Debt_and_Tax_Clawback"/>
      <sheetName val="1.6_Disposals"/>
      <sheetName val="2.1_Totex_PCFM"/>
      <sheetName val="2.2_Totex_Forecast"/>
      <sheetName val="2.3a_Forecast_Allowances"/>
      <sheetName val="2.3b_Forecast_Volumes"/>
      <sheetName val="2.4_Totex"/>
      <sheetName val="2.5_Outputs"/>
      <sheetName val="2.6_Wider_Works"/>
      <sheetName val="2.7_Input_Prices"/>
      <sheetName val="3.1_Opex_summary_(NGET)"/>
      <sheetName val="3.1_Opex_summary_(Sc TO)"/>
      <sheetName val="3.2_Indirect_Summary_(Sc TO)"/>
      <sheetName val="3.3_Asset_Management_Opex"/>
      <sheetName val="3.4_Business_support_group"/>
      <sheetName val="3.5_Business_support_allocation"/>
      <sheetName val="3.6_Business_support_supplement"/>
      <sheetName val="3.7_Operational_Training"/>
      <sheetName val="3.8_Salary_and_FTE_numbers"/>
      <sheetName val="3.9_Exc_&amp;_Demin"/>
      <sheetName val="3.10_Provisions"/>
      <sheetName val="3.11_Related_Party_Transactions"/>
      <sheetName val="3.12_IRM_Expenditure"/>
      <sheetName val="3.13_NIA_Expenditure"/>
      <sheetName val="3.13.1_CNIA Expenditure"/>
      <sheetName val="3.14_NIC_Expenditure"/>
      <sheetName val="3.15_Physical_Security_Opex"/>
      <sheetName val="4.1_Capex_Summary"/>
      <sheetName val="4.2_LRScheme_Expenditure"/>
      <sheetName val="4.2a_Raw_data"/>
      <sheetName val="4.3_NLRScheme_Expenditure"/>
      <sheetName val="4.3.1_NLR_Volume_Change"/>
      <sheetName val="4.3.2_T2_Output_Cost_Deferral"/>
      <sheetName val="4.3.3_Tower_Steelwork"/>
      <sheetName val="4.4_Uncertain_Costs"/>
      <sheetName val="4.5_Non_Op_Capex"/>
      <sheetName val="4.6_SO_Capex"/>
      <sheetName val="4.7_TIRG_Schemes"/>
      <sheetName val="4.8_Physical_Security_Capex"/>
      <sheetName val="4.9_GEF (SPT ONLY)"/>
      <sheetName val="5.1_System_Chars_and_Activity"/>
      <sheetName val="5.2_Faults_and_failures"/>
      <sheetName val="5.3_Boundary_Tran_Requirements"/>
      <sheetName val="5.4_Bound_Capab_Dev"/>
      <sheetName val="5.5_Demand_&amp;_Supply_Sub"/>
      <sheetName val="5.6_Lead_Adds_&amp;_Disps"/>
      <sheetName val="5.7_Non-lead_Adds_&amp;_Disps"/>
      <sheetName val="5.8_Lead_Unit_Cost_Actuals"/>
      <sheetName val="5.9_Non-lead_Unit_Costs"/>
      <sheetName val="5.10_ACU"/>
      <sheetName val="6.1_NGET_customer_satisfaction"/>
      <sheetName val="6.1_Scot_stakehldr_satisfaction"/>
      <sheetName val="6.2_BCF"/>
      <sheetName val="6.3_Reliability"/>
      <sheetName val="6.4_Scot_Timely_connections"/>
      <sheetName val="6.5_SF6_Incentive"/>
      <sheetName val="6.6_Visual_amenity_outputs"/>
      <sheetName val="6.7_BWW_and_SWW_outputs"/>
      <sheetName val="6.8_Pre-con_SWW"/>
      <sheetName val="6.9_SHE_Trans_Generation_conns"/>
      <sheetName val="6.10_SPTL_Generation_sole"/>
      <sheetName val="6.10_SPTL_Generation_shared"/>
      <sheetName val="6.11_NGET_Wider_Works_outputs"/>
      <sheetName val="6.12_NGET_planning_requirements"/>
      <sheetName val="6.13_NGET_Local_Generation"/>
      <sheetName val="6.14_NGET_Local_Demand"/>
      <sheetName val="6.15_Network_Output_Measures"/>
      <sheetName val="6.17_Flood_Mitigation"/>
      <sheetName val="6.01_Asset_Identification"/>
      <sheetName val="Sheet1"/>
      <sheetName val="6.02_Asset_Identification"/>
      <sheetName val="COMMENTARY SPT"/>
      <sheetName val="COMMENTARY SHET"/>
      <sheetName val="COMMENTARY NGET"/>
      <sheetName val="Working1"/>
      <sheetName val="Working2"/>
      <sheetName val="GRAPH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9">
          <cell r="E9">
            <v>143.21539390882921</v>
          </cell>
          <cell r="F9">
            <v>193.94886106786385</v>
          </cell>
          <cell r="G9">
            <v>301.35422854000143</v>
          </cell>
          <cell r="H9">
            <v>253.59891111365795</v>
          </cell>
          <cell r="I9">
            <v>142.6965468227487</v>
          </cell>
          <cell r="J9">
            <v>64.781520361680464</v>
          </cell>
          <cell r="K9">
            <v>34.942230759449671</v>
          </cell>
          <cell r="L9">
            <v>52.662107065230821</v>
          </cell>
          <cell r="M9">
            <v>1187.1997996394621</v>
          </cell>
        </row>
        <row r="10">
          <cell r="E10">
            <v>85.806366258454318</v>
          </cell>
          <cell r="F10">
            <v>72.418843981831998</v>
          </cell>
          <cell r="G10">
            <v>36.403202220809241</v>
          </cell>
          <cell r="H10">
            <v>66.962579507980948</v>
          </cell>
          <cell r="I10">
            <v>60.374446020303907</v>
          </cell>
          <cell r="J10">
            <v>60.189343852890303</v>
          </cell>
          <cell r="K10">
            <v>61.247645980214187</v>
          </cell>
          <cell r="L10">
            <v>70.977613995450028</v>
          </cell>
          <cell r="M10">
            <v>514.38004181793497</v>
          </cell>
        </row>
        <row r="11">
          <cell r="E11">
            <v>21.626329719700962</v>
          </cell>
          <cell r="F11">
            <v>23.347310161605911</v>
          </cell>
          <cell r="G11">
            <v>28.01145684430827</v>
          </cell>
          <cell r="H11">
            <v>22.22546009517955</v>
          </cell>
          <cell r="I11">
            <v>18.849293081423134</v>
          </cell>
          <cell r="J11">
            <v>30.813202126984248</v>
          </cell>
          <cell r="K11">
            <v>53.318206939968505</v>
          </cell>
          <cell r="L11">
            <v>63.661197249209657</v>
          </cell>
          <cell r="M11">
            <v>261.85245621838021</v>
          </cell>
        </row>
        <row r="12">
          <cell r="E12">
            <v>1.6261509997924044</v>
          </cell>
          <cell r="F12">
            <v>2.5747016885129224</v>
          </cell>
          <cell r="G12">
            <v>3.6487199838493676</v>
          </cell>
          <cell r="H12">
            <v>2.434325684212876</v>
          </cell>
          <cell r="I12">
            <v>2.8891395618791424</v>
          </cell>
          <cell r="J12">
            <v>0.83406477825030123</v>
          </cell>
          <cell r="K12">
            <v>1.1578058687297288</v>
          </cell>
          <cell r="L12">
            <v>1.4469776983622653</v>
          </cell>
          <cell r="M12">
            <v>16.611886263589007</v>
          </cell>
        </row>
        <row r="22">
          <cell r="E22">
            <v>27.499134113752085</v>
          </cell>
          <cell r="F22">
            <v>28.183009585299981</v>
          </cell>
          <cell r="G22">
            <v>33.455376173538795</v>
          </cell>
          <cell r="H22">
            <v>38.481264669233113</v>
          </cell>
          <cell r="I22">
            <v>30.717329849472048</v>
          </cell>
          <cell r="J22">
            <v>38.263153982702399</v>
          </cell>
          <cell r="K22">
            <v>56.333057994754448</v>
          </cell>
          <cell r="L22">
            <v>39.35574693560428</v>
          </cell>
          <cell r="M22">
            <v>292.28807330435723</v>
          </cell>
        </row>
        <row r="23">
          <cell r="M23">
            <v>2272.3322572437232</v>
          </cell>
        </row>
        <row r="36">
          <cell r="E36">
            <v>278.9725945795596</v>
          </cell>
          <cell r="F36">
            <v>335.34936725117825</v>
          </cell>
          <cell r="G36">
            <v>237.99102695620937</v>
          </cell>
          <cell r="H36">
            <v>121.36795491098215</v>
          </cell>
          <cell r="I36">
            <v>137.97086470381316</v>
          </cell>
          <cell r="J36">
            <v>146.91023716365572</v>
          </cell>
          <cell r="K36">
            <v>85.65990350340951</v>
          </cell>
          <cell r="L36">
            <v>-7.3794337410002768</v>
          </cell>
          <cell r="M36">
            <v>1336.8425153278074</v>
          </cell>
        </row>
        <row r="37">
          <cell r="E37">
            <v>56.526572050004383</v>
          </cell>
          <cell r="F37">
            <v>58.22169387521852</v>
          </cell>
          <cell r="G37">
            <v>60.969716723571182</v>
          </cell>
          <cell r="H37">
            <v>74.719541561399339</v>
          </cell>
          <cell r="I37">
            <v>87.412740147136873</v>
          </cell>
          <cell r="J37">
            <v>94.344187373611248</v>
          </cell>
          <cell r="K37">
            <v>104.0871229855337</v>
          </cell>
          <cell r="L37">
            <v>82.671323020483612</v>
          </cell>
          <cell r="M37">
            <v>618.9528977369589</v>
          </cell>
        </row>
        <row r="38">
          <cell r="E38">
            <v>34.553335375692626</v>
          </cell>
          <cell r="F38">
            <v>35.721042937334829</v>
          </cell>
          <cell r="G38">
            <v>35.146806020080497</v>
          </cell>
          <cell r="H38">
            <v>36.817898163424971</v>
          </cell>
          <cell r="I38">
            <v>36.094329430890987</v>
          </cell>
          <cell r="J38">
            <v>28.189927036436455</v>
          </cell>
          <cell r="K38">
            <v>27.963869148863072</v>
          </cell>
          <cell r="L38">
            <v>24.111053700318983</v>
          </cell>
          <cell r="M38">
            <v>258.59826181304243</v>
          </cell>
        </row>
        <row r="39">
          <cell r="E39">
            <v>1.2270211297665488</v>
          </cell>
          <cell r="F39">
            <v>1.2270211297665488</v>
          </cell>
          <cell r="G39">
            <v>1.2270211297665488</v>
          </cell>
          <cell r="H39">
            <v>1.2270211297665488</v>
          </cell>
          <cell r="I39">
            <v>1.2270211297665488</v>
          </cell>
          <cell r="J39">
            <v>1.2270211297665488</v>
          </cell>
          <cell r="K39">
            <v>1.2270211297665488</v>
          </cell>
          <cell r="L39">
            <v>1.2270211297665488</v>
          </cell>
          <cell r="M39">
            <v>9.8161690381323883</v>
          </cell>
        </row>
        <row r="48">
          <cell r="M48">
            <v>210.30183967681313</v>
          </cell>
        </row>
        <row r="49">
          <cell r="M49">
            <v>2434.5116835927543</v>
          </cell>
        </row>
      </sheetData>
      <sheetData sheetId="14">
        <row r="13">
          <cell r="J13">
            <v>47.98</v>
          </cell>
        </row>
        <row r="32">
          <cell r="F32">
            <v>77.040000000000006</v>
          </cell>
          <cell r="G32">
            <v>77.95</v>
          </cell>
          <cell r="H32">
            <v>70.67</v>
          </cell>
          <cell r="I32">
            <v>77.040599999999984</v>
          </cell>
          <cell r="J32">
            <v>76.740299999999991</v>
          </cell>
        </row>
        <row r="34">
          <cell r="F34">
            <v>7.9</v>
          </cell>
          <cell r="G34">
            <v>8.3000000000000007</v>
          </cell>
          <cell r="H34">
            <v>8.5</v>
          </cell>
          <cell r="I34">
            <v>8.4</v>
          </cell>
          <cell r="J34">
            <v>8.6</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12">
          <cell r="C12">
            <v>1.5143495131226048</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5">
          <cell r="G45">
            <v>182801.76067276075</v>
          </cell>
        </row>
      </sheetData>
      <sheetData sheetId="60"/>
      <sheetData sheetId="61"/>
      <sheetData sheetId="62"/>
      <sheetData sheetId="63"/>
      <sheetData sheetId="64">
        <row r="231">
          <cell r="O231">
            <v>29.99260660005714</v>
          </cell>
        </row>
      </sheetData>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ow r="176">
          <cell r="BE176">
            <v>2.3568134849328795</v>
          </cell>
          <cell r="BF176">
            <v>0.89229559535186287</v>
          </cell>
          <cell r="BG176">
            <v>1.6718106552108885</v>
          </cell>
          <cell r="BH176">
            <v>1.3127437402697371</v>
          </cell>
          <cell r="BI176">
            <v>1.4728748465063719</v>
          </cell>
          <cell r="BJ176">
            <v>1.2091650916515237</v>
          </cell>
          <cell r="BK176">
            <v>4.8369035290779188</v>
          </cell>
          <cell r="BL176">
            <v>8.4429187744088381</v>
          </cell>
        </row>
      </sheetData>
      <sheetData sheetId="79"/>
      <sheetData sheetId="80"/>
      <sheetData sheetId="81"/>
      <sheetData sheetId="82"/>
      <sheetData sheetId="8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Index"/>
      <sheetName val="Universal data"/>
      <sheetName val="Allowances"/>
      <sheetName val="Previous years"/>
      <sheetName val="Check and Balances"/>
      <sheetName val="1.4_Rec_to_Reg_Accs"/>
      <sheetName val="1.5_Net_Debt_and_Tax_Clawback"/>
      <sheetName val="1.6_Disposals"/>
      <sheetName val="2.1_Totex_PCFM"/>
      <sheetName val="2.2_Totex_Forecast"/>
      <sheetName val="2.3a_Forecast_Allowances"/>
      <sheetName val="2.3b_Forecast_Volumes"/>
      <sheetName val="2.4_Totex"/>
      <sheetName val="2.5_Outputs"/>
      <sheetName val="2.6_Wider_Works"/>
      <sheetName val="2.7_Input_Prices"/>
      <sheetName val="3.1_Opex_summary_(NGET)"/>
      <sheetName val="3.1_Opex_summary_(Sc TO)"/>
      <sheetName val="3.2_Indirect_Summary_(Sc TO)"/>
      <sheetName val="3.3_Asset_Management_Opex"/>
      <sheetName val="3.4_Business_support_group"/>
      <sheetName val="3.5_Business_support_allocation"/>
      <sheetName val="3.6_Business_support_supplement"/>
      <sheetName val="3.7_Operational_Training"/>
      <sheetName val="3.8_Salary_and_FTE_numbers"/>
      <sheetName val="3.9_Exc_&amp;_Demin"/>
      <sheetName val="3.10_Provisions"/>
      <sheetName val="3.11_Related_Party_Transactions"/>
      <sheetName val="3.12_IRM_Expenditure"/>
      <sheetName val="3.13_NIA_Expenditure"/>
      <sheetName val="3.14_NIC_Expenditure"/>
      <sheetName val="3.15_Physical_Security_Opex"/>
      <sheetName val="4.1_Capex_Summary"/>
      <sheetName val="4.2_LRScheme_Expenditure"/>
      <sheetName val="4.2a_Raw_data"/>
      <sheetName val="4.3_NLRScheme_Expenditure"/>
      <sheetName val="4.3.1_NLR_Volume_Change"/>
      <sheetName val="4.3.2_T2_Output_Cost_Deferral"/>
      <sheetName val="4.3.3_Tower_Steelwork"/>
      <sheetName val="4.4_Uncertain_Costs"/>
      <sheetName val="4.5_Non_Op_Capex"/>
      <sheetName val="4.6_SO_Capex"/>
      <sheetName val="4.7_TIRG_Schemes"/>
      <sheetName val="4.8_Physical_Security_Capex"/>
      <sheetName val="4.9_GEF (SPT ONLY)"/>
      <sheetName val="5.1_System_Chars_and_Activity"/>
      <sheetName val="5.2_Faults_and_failures"/>
      <sheetName val="5.3_Boundary_Tran_Requirements"/>
      <sheetName val="5.4_Bound_Capab_Dev"/>
      <sheetName val="5.5_Demand_&amp;_Supply_Sub"/>
      <sheetName val="5.6_Lead_Adds_&amp;_Disps"/>
      <sheetName val="5.7_Non-lead_Adds_&amp;_Disps"/>
      <sheetName val="5.8_Lead_Unit_Cost_Actuals"/>
      <sheetName val="5.9_Non-lead_Unit_Costs"/>
      <sheetName val="5.10_ACU"/>
      <sheetName val="6.1_NGET_customer_satisfaction"/>
      <sheetName val="6.1_Scot_stakehldr_satisfaction"/>
      <sheetName val="6.2_BCF"/>
      <sheetName val="6.3_Reliability"/>
      <sheetName val="6.4_Scot_Timely_connections"/>
      <sheetName val="6.5_SF6_Incentive"/>
      <sheetName val="6.6_Visual_amenity_outputs"/>
      <sheetName val="6.7_BWW_and_SWW_outputs"/>
      <sheetName val="6.8_Pre-con_SWW"/>
      <sheetName val="6.9_SHE_Trans_Generation_conns"/>
      <sheetName val="6.10_SPTL_Generation_sole"/>
      <sheetName val="6.10_SPTL_Generation_shared"/>
      <sheetName val="6.11_NGET_Wider_Works_outputs"/>
      <sheetName val="6.12_NGET_planning_requirements"/>
      <sheetName val="6.13_NGET_Local_Generation"/>
      <sheetName val="6.14_NGET_Local_Demand"/>
      <sheetName val="6.15_Network_Output_Measures"/>
      <sheetName val="6.17_Flood_Mitigation"/>
      <sheetName val="6.01_Asset_Identification"/>
      <sheetName val="6.02_Asset_Identification"/>
      <sheetName val="COMMENTARY SPT"/>
      <sheetName val="COMMENTARY SHET"/>
      <sheetName val="COMMENTARY NGET"/>
      <sheetName val="Working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9">
          <cell r="E9">
            <v>165.11309062373772</v>
          </cell>
          <cell r="F9">
            <v>341.6402101572466</v>
          </cell>
          <cell r="G9">
            <v>549.35326998735627</v>
          </cell>
          <cell r="H9">
            <v>445.17644255614312</v>
          </cell>
          <cell r="I9">
            <v>366.43452187512804</v>
          </cell>
          <cell r="J9">
            <v>259.1028416151749</v>
          </cell>
          <cell r="K9">
            <v>232.448028741641</v>
          </cell>
          <cell r="L9">
            <v>301.90299800000003</v>
          </cell>
          <cell r="M9">
            <v>2661.1714035564278</v>
          </cell>
        </row>
        <row r="10">
          <cell r="E10">
            <v>22.381188265068399</v>
          </cell>
          <cell r="F10">
            <v>22.355230032332301</v>
          </cell>
          <cell r="G10">
            <v>14.79826931819786</v>
          </cell>
          <cell r="H10">
            <v>23.376094962779582</v>
          </cell>
          <cell r="I10">
            <v>42.950483228257838</v>
          </cell>
          <cell r="J10">
            <v>46.407949950965559</v>
          </cell>
          <cell r="K10">
            <v>66.272138321371301</v>
          </cell>
          <cell r="L10">
            <v>76.966820000000013</v>
          </cell>
          <cell r="M10">
            <v>315.50817407897284</v>
          </cell>
        </row>
        <row r="11">
          <cell r="E11">
            <v>0.75901872520366531</v>
          </cell>
          <cell r="F11">
            <v>3.0621707445763522</v>
          </cell>
          <cell r="G11">
            <v>5.2629691318912659</v>
          </cell>
          <cell r="H11">
            <v>11.592161508221388</v>
          </cell>
          <cell r="I11">
            <v>11.700246920130038</v>
          </cell>
          <cell r="J11">
            <v>9.218550937133088</v>
          </cell>
          <cell r="K11">
            <v>27.210057830595719</v>
          </cell>
          <cell r="L11">
            <v>30.371000000000002</v>
          </cell>
          <cell r="M11">
            <v>99.176175797751512</v>
          </cell>
        </row>
        <row r="12">
          <cell r="E12">
            <v>0.35095530659211882</v>
          </cell>
          <cell r="F12">
            <v>2.2033347946404618</v>
          </cell>
          <cell r="G12">
            <v>1.8741844035466699</v>
          </cell>
          <cell r="H12">
            <v>5.481340424555607</v>
          </cell>
          <cell r="I12">
            <v>5.5716750744772456</v>
          </cell>
          <cell r="J12">
            <v>3.2553700509692622</v>
          </cell>
          <cell r="K12">
            <v>3.969567282085865</v>
          </cell>
          <cell r="L12">
            <v>7.3679999999999986</v>
          </cell>
          <cell r="M12">
            <v>30.074427336867227</v>
          </cell>
        </row>
        <row r="22">
          <cell r="E22">
            <v>15.305998652352461</v>
          </cell>
          <cell r="F22">
            <v>18.696489341344435</v>
          </cell>
          <cell r="G22">
            <v>22.716067701403475</v>
          </cell>
          <cell r="H22">
            <v>26.80039177829569</v>
          </cell>
          <cell r="I22">
            <v>34.475482136450083</v>
          </cell>
          <cell r="J22">
            <v>40.617467475442268</v>
          </cell>
          <cell r="K22">
            <v>43.343899178295359</v>
          </cell>
          <cell r="L22">
            <v>53.237000000000009</v>
          </cell>
          <cell r="M22">
            <v>255.1927962635838</v>
          </cell>
        </row>
        <row r="23">
          <cell r="M23">
            <v>3361.1229770336031</v>
          </cell>
        </row>
        <row r="36">
          <cell r="E36">
            <v>226.16325390025821</v>
          </cell>
          <cell r="F36">
            <v>428.01789594073898</v>
          </cell>
          <cell r="G36">
            <v>849.77964857147026</v>
          </cell>
          <cell r="H36">
            <v>676.26520205474753</v>
          </cell>
          <cell r="I36">
            <v>364.37636364457927</v>
          </cell>
          <cell r="J36">
            <v>154.34918372889695</v>
          </cell>
          <cell r="K36">
            <v>182.81370068368429</v>
          </cell>
          <cell r="L36">
            <v>272.67241275878911</v>
          </cell>
          <cell r="M36">
            <v>3154.4376612831647</v>
          </cell>
        </row>
        <row r="37">
          <cell r="E37">
            <v>22.390595071621838</v>
          </cell>
          <cell r="F37">
            <v>18.987539031133473</v>
          </cell>
          <cell r="G37">
            <v>21.962044630896745</v>
          </cell>
          <cell r="H37">
            <v>28.671252355717577</v>
          </cell>
          <cell r="I37">
            <v>30.289107046078168</v>
          </cell>
          <cell r="J37">
            <v>30.792473348254639</v>
          </cell>
          <cell r="K37">
            <v>34.1346221893278</v>
          </cell>
          <cell r="L37">
            <v>29.536585081926809</v>
          </cell>
          <cell r="M37">
            <v>216.76421875495706</v>
          </cell>
        </row>
        <row r="38">
          <cell r="E38">
            <v>7.2257910975141204</v>
          </cell>
          <cell r="F38">
            <v>8.4528122272806705</v>
          </cell>
          <cell r="G38">
            <v>9.5434976759620458</v>
          </cell>
          <cell r="H38">
            <v>8.7254835894510148</v>
          </cell>
          <cell r="I38">
            <v>8.9312507067064271</v>
          </cell>
          <cell r="J38">
            <v>9.0414088603886196</v>
          </cell>
          <cell r="K38">
            <v>13.015128637857526</v>
          </cell>
          <cell r="L38">
            <v>26.501103182743211</v>
          </cell>
          <cell r="M38">
            <v>91.43647597790364</v>
          </cell>
        </row>
        <row r="39">
          <cell r="E39">
            <v>0.96188553286159051</v>
          </cell>
          <cell r="F39">
            <v>3.8898650948922726</v>
          </cell>
          <cell r="G39">
            <v>3.7846998135767911</v>
          </cell>
          <cell r="H39">
            <v>0.28399266008542884</v>
          </cell>
          <cell r="I39">
            <v>0.28768456466653936</v>
          </cell>
          <cell r="J39">
            <v>0.29142446400720434</v>
          </cell>
          <cell r="K39">
            <v>0.29521298203929797</v>
          </cell>
          <cell r="L39">
            <v>0.29905075080580873</v>
          </cell>
          <cell r="M39">
            <v>10.093815862934933</v>
          </cell>
        </row>
        <row r="48">
          <cell r="E48">
            <v>17.314631497816858</v>
          </cell>
          <cell r="F48">
            <v>21.15517389090509</v>
          </cell>
          <cell r="G48">
            <v>25.111313603789416</v>
          </cell>
          <cell r="H48">
            <v>28.794781954503399</v>
          </cell>
          <cell r="I48">
            <v>33.840647736676573</v>
          </cell>
          <cell r="J48">
            <v>43.522969063319231</v>
          </cell>
          <cell r="K48">
            <v>44.636304990760394</v>
          </cell>
          <cell r="L48">
            <v>46.149595955274776</v>
          </cell>
          <cell r="M48">
            <v>260.52541869304571</v>
          </cell>
        </row>
        <row r="49">
          <cell r="M49">
            <v>3733.2575905720064</v>
          </cell>
        </row>
      </sheetData>
      <sheetData sheetId="14">
        <row r="13">
          <cell r="J13">
            <v>0</v>
          </cell>
        </row>
        <row r="22">
          <cell r="J22">
            <v>476.1</v>
          </cell>
        </row>
        <row r="23">
          <cell r="J23">
            <v>390.81174999999996</v>
          </cell>
        </row>
        <row r="33">
          <cell r="F33">
            <v>69</v>
          </cell>
          <cell r="G33">
            <v>76</v>
          </cell>
          <cell r="H33">
            <v>87</v>
          </cell>
          <cell r="I33">
            <v>87</v>
          </cell>
          <cell r="J33">
            <v>90</v>
          </cell>
        </row>
        <row r="35">
          <cell r="F35">
            <v>8.6999999999999993</v>
          </cell>
          <cell r="G35">
            <v>8</v>
          </cell>
          <cell r="H35">
            <v>8.1999999999999993</v>
          </cell>
          <cell r="I35">
            <v>8.4</v>
          </cell>
          <cell r="J35">
            <v>8.1999999999999993</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12">
          <cell r="C12">
            <v>0.70599999999999996</v>
          </cell>
        </row>
      </sheetData>
      <sheetData sheetId="31" refreshError="1"/>
      <sheetData sheetId="32" refreshError="1"/>
      <sheetData sheetId="33" refreshError="1"/>
      <sheetData sheetId="34">
        <row r="327">
          <cell r="AQ327">
            <v>-0.1495796036906297</v>
          </cell>
          <cell r="AS327">
            <v>-2.3187859534917954</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ow r="42">
          <cell r="G42">
            <v>121081.7986954526</v>
          </cell>
        </row>
      </sheetData>
      <sheetData sheetId="59" refreshError="1"/>
      <sheetData sheetId="60" refreshError="1"/>
      <sheetData sheetId="61" refreshError="1"/>
      <sheetData sheetId="62" refreshError="1"/>
      <sheetData sheetId="63">
        <row r="202">
          <cell r="O202">
            <v>97.583127030805272</v>
          </cell>
        </row>
      </sheetData>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Index"/>
      <sheetName val="Universal data"/>
      <sheetName val="Allowances"/>
      <sheetName val="Previous years"/>
      <sheetName val="Check and Balances"/>
      <sheetName val="1.4_Rec_to_Reg_Accs"/>
      <sheetName val="1.5_Net_Debt_and_Tax_Clawback"/>
      <sheetName val="1.6_Disposals"/>
      <sheetName val="2.1_Totex_PCFM"/>
      <sheetName val="2.2_Totex_Forecast"/>
      <sheetName val="2.3a_Forecast_Allowances"/>
      <sheetName val="2.3b_Forecast_Volumes"/>
      <sheetName val="2.4_Totex"/>
      <sheetName val="2.5_Outputs"/>
      <sheetName val="2.6_Wider_Works"/>
      <sheetName val="2.7_Input_Prices"/>
      <sheetName val="3.1_Opex_summary_(NGET)"/>
      <sheetName val="3.1_Opex_summary_(Sc TO)"/>
      <sheetName val="3.2_Indirect_Summary_(Sc TO)"/>
      <sheetName val="3.3_Asset_Management_Opex"/>
      <sheetName val="3.4_Business_support_group"/>
      <sheetName val="3.5_Business_support_allocation"/>
      <sheetName val="3.6_Business_support_supplement"/>
      <sheetName val="3.7_Operational_Training"/>
      <sheetName val="3.8_Salary_and_FTE_numbers"/>
      <sheetName val="3.9_Exc_&amp;_Demin"/>
      <sheetName val="3.10_Provisions"/>
      <sheetName val="3.11_Related_Party_Transactions"/>
      <sheetName val="3.12_IRM_Expenditure"/>
      <sheetName val="3.13_NIA_Expenditure"/>
      <sheetName val="3.14_NIC_Expenditure"/>
      <sheetName val="3.15_Physical_Security_Opex"/>
      <sheetName val="4.1_Capex_Summary"/>
      <sheetName val="4.2_LRScheme_Expenditure"/>
      <sheetName val="4.2a_Raw_data"/>
      <sheetName val="4.3_NLRScheme_Expenditure"/>
      <sheetName val="4.3.1_NLR_Volume_Change"/>
      <sheetName val="4.3.2_T2_Output_Cost_Deferral"/>
      <sheetName val="4.3.3_Tower_Steelwork"/>
      <sheetName val="4.4_Uncertain_Costs"/>
      <sheetName val="4.5_Non_Op_Capex"/>
      <sheetName val="4.6_SO_Capex"/>
      <sheetName val="4.7_TIRG_Schemes"/>
      <sheetName val="4.8_Physical_Security_Capex"/>
      <sheetName val="4.9_GEF (SPT ONLY)"/>
      <sheetName val="5.1_System_Chars_and_Activity"/>
      <sheetName val="5.2_Faults_and_failures"/>
      <sheetName val="5.3_Boundary_Tran_Requirements"/>
      <sheetName val="5.4_Bound_Capab_Dev"/>
      <sheetName val="5.5_Demand_&amp;_Supply_Sub"/>
      <sheetName val="5.6_Lead_Adds_&amp;_Disps"/>
      <sheetName val="5.7_Non-lead_Adds_&amp;_Disps"/>
      <sheetName val="5.8_Lead_Unit_Cost_Actuals"/>
      <sheetName val="5.9_Non-lead_Unit_Costs"/>
      <sheetName val="5.10_ACU"/>
      <sheetName val="6.1_NGET_customer_satisfaction"/>
      <sheetName val="6.1_Scot_stakehldr_satisfaction"/>
      <sheetName val="6.2_BCF"/>
      <sheetName val="6.3_Reliability"/>
      <sheetName val="6.4_Scot_Timely_connections"/>
      <sheetName val="6.5_SF6_Incentive"/>
      <sheetName val="6.6_Visual_amenity_outputs"/>
      <sheetName val="6.7_BWW_and_SWW_outputs"/>
      <sheetName val="6.8_Pre-con_SWW"/>
      <sheetName val="6.9_SHE_Trans_Generation_conns"/>
      <sheetName val="6.10_SPTL_Generation_sole"/>
      <sheetName val="6.10_SPTL_Generation_shared"/>
      <sheetName val="6.11_NGET_Wider_Works_outputs"/>
      <sheetName val="6.12_NGET_planning_requirements"/>
      <sheetName val="6.13_NGET_Local_Generation"/>
      <sheetName val="6.14_NGET_Local_Demand"/>
      <sheetName val="6.15.1_NOMs_detail"/>
      <sheetName val="6.15.2_NOMs_RP"/>
      <sheetName val="6.17_Flood_Mitigation"/>
      <sheetName val="6.01_Asset_Identification"/>
      <sheetName val="6.02_Asset_Identification"/>
      <sheetName val="COMMENTARY SPT"/>
      <sheetName val="COMMENTARY SHET"/>
      <sheetName val="COMMENTARY NGET"/>
      <sheetName val="Working1"/>
      <sheetName val="Working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1">
          <cell r="H31">
            <v>7.9189999999999996</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Index"/>
      <sheetName val="Universal data"/>
      <sheetName val="Allowances"/>
      <sheetName val="Previous years"/>
      <sheetName val="Check and Balances"/>
      <sheetName val="1.4_Rec_to_Reg_Accs"/>
      <sheetName val="1.5_Net_Debt_and_Tax_Clawback"/>
      <sheetName val="1.6_Disposals"/>
      <sheetName val="2.1_Totex_PCFM"/>
      <sheetName val="2.2_Totex_Forecast"/>
      <sheetName val="2.3a_Forecast_Allowances"/>
      <sheetName val="2.3b_Forecast_Volumes"/>
      <sheetName val="2.4_Totex"/>
      <sheetName val="2.5_Outputs"/>
      <sheetName val="2.6_Wider_Works"/>
      <sheetName val="2.7_Input_Prices"/>
      <sheetName val="3.1_Opex_summary_(NGET)"/>
      <sheetName val="3.1_Opex_summary_(Sc TO)"/>
      <sheetName val="3.2_Indirect_Summary_(Sc TO)"/>
      <sheetName val="3.3_Asset_Management_Opex"/>
      <sheetName val="3.4_Business_support_group"/>
      <sheetName val="3.5_Business_support_allocation"/>
      <sheetName val="3.6_Business_support_supplement"/>
      <sheetName val="3.7_Operational_Training"/>
      <sheetName val="3.8_Salary_and_FTE_numbers"/>
      <sheetName val="3.9_Exc_&amp;_Demin"/>
      <sheetName val="3.10_Provisions"/>
      <sheetName val="3.11_Related_Party_Transactions"/>
      <sheetName val="3.12_IRM_Expenditure"/>
      <sheetName val="3.13_NIA_Expenditure"/>
      <sheetName val="3.14_NIC_Expenditure"/>
      <sheetName val="3.15_Physical_Security_Opex"/>
      <sheetName val="4.1_Capex_Summary"/>
      <sheetName val="4.2_LRScheme_Expenditure"/>
      <sheetName val="4.2a_Raw_data"/>
      <sheetName val="4.3_NLRScheme_Expenditure"/>
      <sheetName val="4.3.1_NLR_Volume_Change"/>
      <sheetName val="4.3.2_T2_Output_Cost_Deferral"/>
      <sheetName val="4.3.3_Tower_Steelwork"/>
      <sheetName val="4.4_Uncertain_Costs"/>
      <sheetName val="4.5_Non_Op_Capex"/>
      <sheetName val="4.6_SO_Capex"/>
      <sheetName val="4.7_TIRG_Schemes"/>
      <sheetName val="4.8_Physical_Security_Capex"/>
      <sheetName val="4.9_GEF (SPT ONLY)"/>
      <sheetName val="5.1_System_Chars_and_Activity"/>
      <sheetName val="5.2_Faults_and_failures"/>
      <sheetName val="5.3_Boundary_Tran_Requirements"/>
      <sheetName val="5.4_Bound_Capab_Dev"/>
      <sheetName val="5.5_Demand_&amp;_Supply_Sub"/>
      <sheetName val="5.6_Lead_Adds_&amp;_Disps"/>
      <sheetName val="5.7_Non-lead_Adds_&amp;_Disps"/>
      <sheetName val="5.8_Lead_Unit_Cost_Actuals"/>
      <sheetName val="5.9_Non-lead_Unit_Costs"/>
      <sheetName val="5.10_ACU"/>
      <sheetName val="6.1_NGET_customer_satisfaction"/>
      <sheetName val="6.1_Scot_stakehldr_satisfaction"/>
      <sheetName val="6.2_BCF"/>
      <sheetName val="6.3_Reliability"/>
      <sheetName val="6.4_Scot_Timely_connections"/>
      <sheetName val="6.5_SF6_Incentive"/>
      <sheetName val="6.6_Visual_amenity_outputs"/>
      <sheetName val="6.7_BWW_and_SWW_outputs"/>
      <sheetName val="6.8_Pre-con_SWW"/>
      <sheetName val="6.9_SHE_Trans_Generation_conns"/>
      <sheetName val="6.10_SPTL_Generation_sole"/>
      <sheetName val="6.10_SPTL_Generation_shared"/>
      <sheetName val="6.11_NGET_Wider_Works_outputs"/>
      <sheetName val="6.12_NGET_planning_requirements"/>
      <sheetName val="6.13_NGET_Local_Generation"/>
      <sheetName val="6.14_NGET_Local_Demand"/>
      <sheetName val="6.15_Network_Output_Measures"/>
      <sheetName val="6.17_Flood_Mitigation"/>
      <sheetName val="6.01_Asset_Identification"/>
      <sheetName val="6.02_Asset_Identification"/>
      <sheetName val="COMMENTARY SPT"/>
      <sheetName val="COMMENTARY SHET"/>
      <sheetName val="COMMENTARY NGET"/>
      <sheetName val="Working1"/>
      <sheetName val="Working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2">
          <cell r="C22">
            <v>10110</v>
          </cell>
          <cell r="D22">
            <v>9544</v>
          </cell>
          <cell r="E22">
            <v>9744</v>
          </cell>
          <cell r="F22">
            <v>11000</v>
          </cell>
          <cell r="G22">
            <v>9617</v>
          </cell>
          <cell r="H22">
            <v>12270</v>
          </cell>
          <cell r="I22">
            <v>12464.21</v>
          </cell>
          <cell r="J22">
            <v>11699.956</v>
          </cell>
        </row>
        <row r="23">
          <cell r="C23">
            <v>12052.858792500001</v>
          </cell>
          <cell r="D23">
            <v>12158.032685</v>
          </cell>
          <cell r="E23">
            <v>12301.951690000004</v>
          </cell>
          <cell r="F23">
            <v>12353.416220000003</v>
          </cell>
          <cell r="G23">
            <v>12460.626067500001</v>
          </cell>
          <cell r="H23">
            <v>12474.247552500001</v>
          </cell>
          <cell r="I23">
            <v>12436.831106249998</v>
          </cell>
          <cell r="J23">
            <v>12396.234629999997</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Index"/>
      <sheetName val="Universal data"/>
      <sheetName val="Allowances"/>
      <sheetName val="Previous years"/>
      <sheetName val="Check and Balances"/>
      <sheetName val="1.4_Rec_to_Reg_Accs"/>
      <sheetName val="1.5_Net_Debt_and_Tax_Clawback"/>
      <sheetName val="BneLog"/>
      <sheetName val="1.6_Disposals"/>
      <sheetName val="2.1_Totex_PCFM"/>
      <sheetName val="2.2_Totex_Forecast"/>
      <sheetName val="2.3a_Forecast_Allowances"/>
      <sheetName val="2.3b_Forecast_Volumes"/>
      <sheetName val="2.4_Totex"/>
      <sheetName val="2.5_Outputs"/>
      <sheetName val="2.6_Wider_Works"/>
      <sheetName val="2.7_Input_Prices"/>
      <sheetName val="3.1_Opex_summary_(NGET)"/>
      <sheetName val="3.1_Opex_summary_(Sc TO)"/>
      <sheetName val="3.2_Indirect_Summary_(Sc TO)"/>
      <sheetName val="3.3_Asset_Management_Opex"/>
      <sheetName val="3.4_Business_support_group"/>
      <sheetName val="3.5_Business_support_allocation"/>
      <sheetName val="3.6_Business_support_supplement"/>
      <sheetName val="3.7_Operational_Training"/>
      <sheetName val="3.8_Salary_and_FTE_numbers"/>
      <sheetName val="3.9_Exc_&amp;_Demin"/>
      <sheetName val="3.10_Provisions"/>
      <sheetName val="3.11_Related_Party_Transactions"/>
      <sheetName val="3.12_IRM_Expenditure"/>
      <sheetName val="3.13_NIA_Expenditure"/>
      <sheetName val="3.14_NIC_Expenditure"/>
      <sheetName val="3.15_Physical_Security_Opex"/>
      <sheetName val="4.1_Capex_Summary"/>
      <sheetName val="4.2_LRScheme_Expenditure"/>
      <sheetName val="4.2a_Raw_data"/>
      <sheetName val="4.3_NLRScheme_Expenditure"/>
      <sheetName val="4.3.1_NLR_Volume_Change"/>
      <sheetName val="4.3.2_T2_Output_Cost_Deferral"/>
      <sheetName val="4.3.3_Tower_Steelwork"/>
      <sheetName val="4.4_Uncertain_Costs"/>
      <sheetName val="4.5_Non_Op_Capex"/>
      <sheetName val="4.6_SO_Capex"/>
      <sheetName val="4.7_TIRG_Schemes"/>
      <sheetName val="4.8_Physical_Security_Capex"/>
      <sheetName val="4.9_GEF (SPT ONLY)"/>
      <sheetName val="5.1_System_Chars_and_Activity"/>
      <sheetName val="5.2_Faults_and_failures"/>
      <sheetName val="5.3_Boundary_Tran_Requirements"/>
      <sheetName val="5.4_Bound_Capab_Dev"/>
      <sheetName val="5.5_Demand_&amp;_Supply_Sub"/>
      <sheetName val="5.6_Lead_Adds_&amp;_Disps"/>
      <sheetName val="5.7_Non-lead_Adds_&amp;_Disps"/>
      <sheetName val="5.8_Lead_Unit_Cost_Actuals"/>
      <sheetName val="5.9_Non-lead_Unit_Costs"/>
      <sheetName val="5.10_ACU"/>
      <sheetName val="6.1_NGET_customer_satisfaction"/>
      <sheetName val="6.1_Scot_stakehldr_satisfaction"/>
      <sheetName val="6.2_BCF"/>
      <sheetName val="6.3_Reliability"/>
      <sheetName val="6.4_Scot_Timely_connections"/>
      <sheetName val="6.5_SF6_Incentive"/>
      <sheetName val="6.6_Visual_amenity_outputs"/>
      <sheetName val="6.7_BWW_and_SWW_outputs"/>
      <sheetName val="6.8_Pre-con_SWW"/>
      <sheetName val="6.9_SHE_Trans_Generation_conns"/>
      <sheetName val="6.10_SPTL_Generation_sole"/>
      <sheetName val="6.10_SPTL_Generation_shared"/>
      <sheetName val="6.11_NGET_Wider_Works_outputs"/>
      <sheetName val="6.12_NGET_planning_requirements"/>
      <sheetName val="6.13_NGET_Local_Generation"/>
      <sheetName val="6.14_NGET_Local_Demand"/>
      <sheetName val="6.15.1_NOMs_detail"/>
      <sheetName val="6.15.2_NOMs_RP"/>
      <sheetName val="6.17_Flood_Mitigation"/>
      <sheetName val="6.01_Asset_Identification"/>
      <sheetName val="6.02_Asset_Identification"/>
      <sheetName val="COMMENTARY SPT"/>
      <sheetName val="COMMENTARY NGET"/>
      <sheetName val="COMMENTARY SHET"/>
      <sheetName val="GRAPH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2">
          <cell r="I22">
            <v>432.95</v>
          </cell>
        </row>
        <row r="23">
          <cell r="I23">
            <v>387.01175000000001</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ow r="201">
          <cell r="O201">
            <v>96.413789468184092</v>
          </cell>
        </row>
      </sheetData>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Index"/>
      <sheetName val="Universal data"/>
      <sheetName val="Allowances"/>
      <sheetName val="Previous years"/>
      <sheetName val="Check and Balances"/>
      <sheetName val="1.4_Rec_to_Reg_Accs"/>
      <sheetName val="1.5_Net_Debt_and_Tax_Clawback"/>
      <sheetName val="1.6_Disposals"/>
      <sheetName val="2.1_Totex_PCFM"/>
      <sheetName val="2.2_Totex_Forecast"/>
      <sheetName val="2.3a_Forecast_Allowances"/>
      <sheetName val="2.3b_Forecast_Volumes"/>
      <sheetName val="2.4_Totex"/>
      <sheetName val="2.5_Outputs"/>
      <sheetName val="2.6_Wider_Works"/>
      <sheetName val="2.7_Input_Prices"/>
      <sheetName val="3.1_Opex_summary_(NGET)"/>
      <sheetName val="3.1_Opex_summary_(Sc TO)"/>
      <sheetName val="3.2_Indirect_Summary_(Sc TO)"/>
      <sheetName val="3.3_Asset_Management_Opex"/>
      <sheetName val="3.4_Business_support_group"/>
      <sheetName val="3.5_Business_support_allocation"/>
      <sheetName val="3.6_Business_support_supplement"/>
      <sheetName val="3.7_Operational_Training"/>
      <sheetName val="3.8_Salary_and_FTE_numbers"/>
      <sheetName val="3.9_Exc_&amp;_Demin"/>
      <sheetName val="3.10_Provisions"/>
      <sheetName val="3.11_Related_Party_Transactions"/>
      <sheetName val="3.12_IRM_Expenditure"/>
      <sheetName val="3.13_NIA_Expenditure"/>
      <sheetName val="3.14_NIC_Expenditure"/>
      <sheetName val="3.15_Physical_Security_Opex"/>
      <sheetName val="3.16_SO_EMR_Data"/>
      <sheetName val="4.1_Capex_Summary"/>
      <sheetName val="4.2_LRScheme_Expenditure"/>
      <sheetName val="4.2a_Raw_data"/>
      <sheetName val="4.3_NLRScheme_Expenditure"/>
      <sheetName val="4.3.1_NLR_Volume_Change"/>
      <sheetName val="4.3.2_T2_Output_Cost_Deferral"/>
      <sheetName val="4.3.3_Tower_Steelwork"/>
      <sheetName val="4.4_Uncertain_Costs"/>
      <sheetName val="4.5_Non_Op_Capex"/>
      <sheetName val="4.6_SO_Capex"/>
      <sheetName val="4.7_TIRG_Schemes"/>
      <sheetName val="4.8_Physical_Security_Capex"/>
      <sheetName val="5.1_System_Chars_and_Activity"/>
      <sheetName val="5.2_Faults_and_failures"/>
      <sheetName val="5.3_Boundary_Tran_Requirements"/>
      <sheetName val="5.4_Bound_Capab_Dev"/>
      <sheetName val="5.5_Demand_&amp;_Supply_Sub"/>
      <sheetName val="5.6_Lead_Adds_&amp;_Disps"/>
      <sheetName val="5.7_Non-lead_Adds_&amp;_Disps"/>
      <sheetName val="5.8_Lead_Unit_Cost_Actuals"/>
      <sheetName val="5.9_Non-lead_Unit_Costs"/>
      <sheetName val="5.10_ACU"/>
      <sheetName val="6.1_NGET_customer_satisfaction"/>
      <sheetName val="6.1_Scot_stakehldr_satisfaction"/>
      <sheetName val="6.2_BCF"/>
      <sheetName val="6.3_Reliability"/>
      <sheetName val="6.4_Scot_Timely_connections"/>
      <sheetName val="6.5_SF6_Incentive"/>
      <sheetName val="6.6_Visual_amenity_outputs"/>
      <sheetName val="6.7_BWW_and_SWW_outputs"/>
      <sheetName val="6.8_Pre-con_SWW"/>
      <sheetName val="6.9_SHE_Trans_Generation_conns"/>
      <sheetName val="6.10_SPTL_Generation_sole"/>
      <sheetName val="6.10_SPTL_Generation_shared"/>
      <sheetName val="6.11_NGET_Wider_Works_outputs"/>
      <sheetName val="6.12_NGET_planning_requirements"/>
      <sheetName val="6.13_NGET_Local_Generation"/>
      <sheetName val="6.14_NGET_Local_Demand"/>
      <sheetName val="6.15.1_NOMs_detail"/>
      <sheetName val="6.15.2_NOMs_RP"/>
      <sheetName val="6.17_Flood_Mitigation"/>
      <sheetName val="GRAPHS"/>
      <sheetName val="COMMENTARY"/>
      <sheetName val="Working1"/>
      <sheetName val="Working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42">
          <cell r="G42">
            <v>112642.772</v>
          </cell>
        </row>
      </sheetData>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ata"/>
      <sheetName val="RoRE by sector 2018-19"/>
      <sheetName val="RoRE 2018-19"/>
      <sheetName val="RoRE by sector 2017-18"/>
      <sheetName val="RoRE position 2017-18"/>
      <sheetName val="RoRE comparison 1718 -1819"/>
      <sheetName val="RAV-Gearing"/>
      <sheetName val="Totex"/>
      <sheetName val="Charts by sector"/>
      <sheetName val="Charts"/>
      <sheetName val="ED"/>
      <sheetName val="GD"/>
      <sheetName val="ET"/>
      <sheetName val="GT"/>
      <sheetName val="ENWL"/>
      <sheetName val="NPg"/>
      <sheetName val="SP"/>
      <sheetName val="SSE"/>
      <sheetName val="UKPN"/>
      <sheetName val="WPD"/>
      <sheetName val="Cadent"/>
      <sheetName val="NGN"/>
      <sheetName val="SGN"/>
      <sheetName val="WWU"/>
      <sheetName val="NGET"/>
      <sheetName val="SPT"/>
      <sheetName val="SHET"/>
      <sheetName val="Company combined data"/>
    </sheetNames>
    <sheetDataSet>
      <sheetData sheetId="0"/>
      <sheetData sheetId="1"/>
      <sheetData sheetId="2"/>
      <sheetData sheetId="3"/>
      <sheetData sheetId="4"/>
      <sheetData sheetId="5"/>
      <sheetData sheetId="6">
        <row r="44">
          <cell r="C44" t="str">
            <v>NGET (TO)</v>
          </cell>
          <cell r="D44"/>
          <cell r="E44" t="str">
            <v>SPT</v>
          </cell>
          <cell r="F44"/>
          <cell r="G44" t="str">
            <v>SHET</v>
          </cell>
          <cell r="H44"/>
        </row>
        <row r="45">
          <cell r="C45">
            <v>2018</v>
          </cell>
          <cell r="D45">
            <v>2019</v>
          </cell>
          <cell r="E45">
            <v>2018</v>
          </cell>
          <cell r="F45">
            <v>2019</v>
          </cell>
          <cell r="G45">
            <v>2018</v>
          </cell>
          <cell r="H45">
            <v>2019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ofgem.gov.uk/publications/decision-riio-t1-environmental-discretionary-reward-scheme-2020-21" TargetMode="External"/><Relationship Id="rId2" Type="http://schemas.openxmlformats.org/officeDocument/2006/relationships/hyperlink" Target="https://www.ofgem.gov.uk/publications-and-updates/decision-our-project-assessment-hinkley-seabank-electricity-transmission-project" TargetMode="External"/><Relationship Id="rId1" Type="http://schemas.openxmlformats.org/officeDocument/2006/relationships/hyperlink" Target="https://www.ofgem.gov.uk/sites/default/files/2021-11/2020-21%20Decision%20Letter%20SEI.pdf" TargetMode="External"/><Relationship Id="rId6" Type="http://schemas.openxmlformats.org/officeDocument/2006/relationships/drawing" Target="../drawings/drawing2.xml"/><Relationship Id="rId5" Type="http://schemas.openxmlformats.org/officeDocument/2006/relationships/printerSettings" Target="../printerSettings/printerSettings3.bin"/><Relationship Id="rId4" Type="http://schemas.openxmlformats.org/officeDocument/2006/relationships/hyperlink" Target="https://www.ofgem.gov.uk/sites/default/files/2021-11/2020-21%20Decision%20Letter%20SEI.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ofgem.gov.uk/publications/network-innovation-competition-2020-funding-decision" TargetMode="External"/><Relationship Id="rId2" Type="http://schemas.openxmlformats.org/officeDocument/2006/relationships/hyperlink" Target="https://www.ofgem.gov.uk/network-regulation-riio-model/current-network-price-controls-riio-1/network-innovation/electricity-network-innovation-competition" TargetMode="External"/><Relationship Id="rId1" Type="http://schemas.openxmlformats.org/officeDocument/2006/relationships/hyperlink" Target="https://www.ofgem.gov.uk/publications-and-updates/decision-2020-low-cost-networks-fund-and-network-innovation-competition-successful-delivery-reward-application" TargetMode="External"/><Relationship Id="rId6" Type="http://schemas.openxmlformats.org/officeDocument/2006/relationships/printerSettings" Target="../printerSettings/printerSettings6.bin"/><Relationship Id="rId5" Type="http://schemas.openxmlformats.org/officeDocument/2006/relationships/hyperlink" Target="https://www.ofgem.gov.uk/publications/decision-2021-nic-successful-delivery-reward-application" TargetMode="External"/><Relationship Id="rId4" Type="http://schemas.openxmlformats.org/officeDocument/2006/relationships/hyperlink" Target="https://www.ofgem.gov.uk/publications/network-innovation-competition-2021-decision"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nationalgrid.com/electricity-transmission/document/137766/download" TargetMode="External"/><Relationship Id="rId2" Type="http://schemas.openxmlformats.org/officeDocument/2006/relationships/hyperlink" Target="https://eur02.safelinks.protection.outlook.com/?url=https%3A%2F%2Fwww.ssen-transmission.co.uk%2Fmedia%2F5845%2Fannual-performance-report-2020_21.pdf&amp;data=04%7C01%7CAnthony.Mungall%40ofgem.gov.uk%7C91dcc8efe5ec4f7d249708d98417a55a%7C185562ad39bc48408e40be6216340c52%7C0%7C0%7C637686059926037420%7CUnknown%7CTWFpbGZsb3d8eyJWIjoiMC4wLjAwMDAiLCJQIjoiV2luMzIiLCJBTiI6Ik1haWwiLCJXVCI6Mn0%3D%7C3000&amp;sdata=%2FJ3GdR2HjQw2ylxzfsUxMv7yJKJiLTnkVQwAdCqh1zs%3D&amp;reserved=0" TargetMode="External"/><Relationship Id="rId1" Type="http://schemas.openxmlformats.org/officeDocument/2006/relationships/hyperlink" Target="https://www.spenergynetworks.co.uk/pages/transmission_annual_performance_reports.aspx" TargetMode="External"/><Relationship Id="rId5" Type="http://schemas.openxmlformats.org/officeDocument/2006/relationships/drawing" Target="../drawings/drawing6.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A2"/>
  <sheetViews>
    <sheetView tabSelected="1" zoomScale="80" zoomScaleNormal="80" workbookViewId="0">
      <selection sqref="A1:XFD1"/>
    </sheetView>
  </sheetViews>
  <sheetFormatPr defaultColWidth="9" defaultRowHeight="12.6"/>
  <cols>
    <col min="1" max="16384" width="9" style="238"/>
  </cols>
  <sheetData>
    <row r="1" spans="1:1" s="739" customFormat="1" ht="56.85" customHeight="1"/>
    <row r="2" spans="1:1">
      <c r="A2" s="291"/>
    </row>
  </sheetData>
  <mergeCells count="1">
    <mergeCell ref="A1:XFD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C6C19-5D5B-436F-A2CC-4D61B159F2BF}">
  <sheetPr>
    <pageSetUpPr autoPageBreaks="0"/>
  </sheetPr>
  <dimension ref="A1:T29"/>
  <sheetViews>
    <sheetView topLeftCell="A267" zoomScale="80" zoomScaleNormal="80" workbookViewId="0">
      <selection activeCell="D34" sqref="D34"/>
    </sheetView>
  </sheetViews>
  <sheetFormatPr defaultColWidth="9.26953125" defaultRowHeight="12.6"/>
  <cols>
    <col min="1" max="1" width="11.36328125" style="364" bestFit="1" customWidth="1"/>
    <col min="2" max="2" width="40.81640625" style="364" customWidth="1"/>
    <col min="3" max="3" width="35.26953125" style="364" customWidth="1"/>
    <col min="4" max="4" width="23.453125" style="364" customWidth="1"/>
    <col min="5" max="5" width="24.7265625" style="364" customWidth="1"/>
    <col min="6" max="6" width="12.36328125" style="364" customWidth="1"/>
    <col min="7" max="8" width="9.26953125" style="364"/>
    <col min="9" max="9" width="32.36328125" style="364" customWidth="1"/>
    <col min="10" max="10" width="42.08984375" style="364" customWidth="1"/>
    <col min="11" max="11" width="15" style="364" customWidth="1"/>
    <col min="12" max="12" width="17" style="364" customWidth="1"/>
    <col min="13" max="13" width="21.36328125" style="364" customWidth="1"/>
    <col min="14" max="16" width="9.26953125" style="364"/>
    <col min="17" max="17" width="17.81640625" style="364" customWidth="1"/>
    <col min="18" max="16384" width="9.26953125" style="364"/>
  </cols>
  <sheetData>
    <row r="1" spans="1:20" ht="59.25" customHeight="1">
      <c r="B1" s="892" t="s">
        <v>196</v>
      </c>
      <c r="C1" s="893"/>
      <c r="D1" s="893"/>
      <c r="E1" s="893"/>
      <c r="F1" s="893"/>
      <c r="G1" s="893"/>
      <c r="H1" s="893"/>
      <c r="I1" s="894"/>
    </row>
    <row r="2" spans="1:20" ht="37.5" customHeight="1" thickBot="1">
      <c r="B2" s="757"/>
      <c r="C2" s="895"/>
      <c r="D2" s="895"/>
      <c r="E2" s="895"/>
      <c r="F2" s="895"/>
      <c r="G2" s="895"/>
      <c r="H2" s="895"/>
      <c r="I2" s="896"/>
      <c r="J2" s="158"/>
    </row>
    <row r="4" spans="1:20">
      <c r="B4" s="25"/>
      <c r="J4" s="501"/>
      <c r="K4" s="897"/>
      <c r="L4" s="897"/>
      <c r="M4" s="897"/>
      <c r="N4" s="898"/>
      <c r="O4" s="898"/>
      <c r="P4" s="898"/>
      <c r="Q4" s="898"/>
      <c r="R4" s="898"/>
      <c r="S4" s="898"/>
      <c r="T4" s="898"/>
    </row>
    <row r="5" spans="1:20">
      <c r="A5" s="1" t="s">
        <v>582</v>
      </c>
      <c r="B5" s="23" t="s">
        <v>287</v>
      </c>
      <c r="J5" s="501"/>
      <c r="K5" s="899"/>
      <c r="L5" s="899"/>
      <c r="M5" s="899"/>
      <c r="N5" s="900"/>
      <c r="O5" s="900"/>
      <c r="P5" s="897"/>
      <c r="Q5" s="897"/>
      <c r="R5" s="899"/>
      <c r="S5" s="897"/>
      <c r="T5" s="502"/>
    </row>
    <row r="6" spans="1:20" ht="13.8" thickBot="1">
      <c r="A6" s="1"/>
      <c r="B6" s="500"/>
      <c r="C6" s="500">
        <v>1</v>
      </c>
      <c r="D6" s="500">
        <v>2</v>
      </c>
      <c r="E6" s="80" t="s">
        <v>123</v>
      </c>
      <c r="F6" s="500">
        <v>4</v>
      </c>
      <c r="G6" s="901">
        <v>5</v>
      </c>
      <c r="H6" s="901"/>
      <c r="I6" s="80" t="s">
        <v>124</v>
      </c>
      <c r="J6" s="36"/>
      <c r="K6" s="36"/>
      <c r="L6" s="36"/>
      <c r="M6" s="36"/>
      <c r="N6" s="36"/>
      <c r="O6" s="36"/>
      <c r="P6" s="36"/>
      <c r="Q6" s="36"/>
      <c r="R6" s="36"/>
      <c r="S6" s="36"/>
      <c r="T6" s="36"/>
    </row>
    <row r="7" spans="1:20" ht="36.6" thickBot="1">
      <c r="A7" s="1"/>
      <c r="B7" s="81" t="s">
        <v>456</v>
      </c>
      <c r="C7" s="500" t="s">
        <v>140</v>
      </c>
      <c r="D7" s="500" t="s">
        <v>125</v>
      </c>
      <c r="E7" s="80" t="s">
        <v>126</v>
      </c>
      <c r="F7" s="99" t="s">
        <v>127</v>
      </c>
      <c r="G7" s="902" t="s">
        <v>346</v>
      </c>
      <c r="H7" s="903"/>
      <c r="I7" s="82" t="s">
        <v>128</v>
      </c>
      <c r="J7" s="503" t="s">
        <v>457</v>
      </c>
    </row>
    <row r="8" spans="1:20">
      <c r="A8" s="1"/>
      <c r="B8" s="504" t="s">
        <v>2</v>
      </c>
      <c r="C8" s="505">
        <f>'[21]TRUE UP'!$N$56*'[21]TRUE UP'!$J$25</f>
        <v>311.73500000000001</v>
      </c>
      <c r="D8" s="506">
        <v>0</v>
      </c>
      <c r="E8" s="507">
        <f>C8+D8</f>
        <v>311.73500000000001</v>
      </c>
      <c r="F8" s="128">
        <f>'[21]TRUE UP'!$N$67*'[21]TRUE UP'!$J$25</f>
        <v>-56.452097728497989</v>
      </c>
      <c r="G8" s="904">
        <f>'[21]TRUE UP'!$N$63*'[21]TRUE UP'!$J$25</f>
        <v>154.52746410751496</v>
      </c>
      <c r="H8" s="905"/>
      <c r="I8" s="129">
        <f>F8+G8</f>
        <v>98.07536637901697</v>
      </c>
      <c r="J8" s="79"/>
    </row>
    <row r="9" spans="1:20">
      <c r="A9" s="1"/>
      <c r="B9" s="890" t="s">
        <v>129</v>
      </c>
      <c r="C9" s="891"/>
      <c r="D9" s="891"/>
      <c r="E9" s="891"/>
      <c r="F9" s="891"/>
      <c r="G9" s="891"/>
      <c r="H9" s="508"/>
      <c r="I9" s="509">
        <f>I8-E8</f>
        <v>-213.65963362098304</v>
      </c>
      <c r="J9" s="79">
        <f>I9*'[12]Universal data'!$C$55</f>
        <v>-156.71585891554307</v>
      </c>
    </row>
    <row r="10" spans="1:20">
      <c r="A10" s="1"/>
      <c r="J10" s="79"/>
    </row>
    <row r="11" spans="1:20">
      <c r="A11" s="1"/>
      <c r="B11" s="890" t="s">
        <v>344</v>
      </c>
      <c r="C11" s="891"/>
      <c r="D11" s="891"/>
      <c r="E11" s="891"/>
      <c r="F11" s="891"/>
      <c r="G11" s="891"/>
      <c r="H11" s="363"/>
      <c r="I11" s="509">
        <f>'[21]TRUE UP'!$N$76</f>
        <v>-200.44035607777266</v>
      </c>
      <c r="J11" s="79">
        <f>I11*'[12]Universal data'!$C$55</f>
        <v>-147.01973429285388</v>
      </c>
    </row>
    <row r="12" spans="1:20">
      <c r="A12" s="1"/>
      <c r="B12" s="890"/>
      <c r="C12" s="891"/>
      <c r="D12" s="891"/>
      <c r="E12" s="891"/>
      <c r="F12" s="891"/>
      <c r="G12" s="891"/>
      <c r="I12" s="25"/>
      <c r="J12" s="79"/>
    </row>
    <row r="13" spans="1:20">
      <c r="A13" s="1" t="s">
        <v>583</v>
      </c>
      <c r="B13" s="23" t="s">
        <v>291</v>
      </c>
      <c r="J13" s="79"/>
    </row>
    <row r="14" spans="1:20" ht="13.2" thickBot="1">
      <c r="A14" s="1"/>
      <c r="B14" s="500"/>
      <c r="C14" s="500">
        <v>1</v>
      </c>
      <c r="D14" s="500">
        <v>2</v>
      </c>
      <c r="E14" s="80" t="s">
        <v>123</v>
      </c>
      <c r="F14" s="500">
        <v>4</v>
      </c>
      <c r="G14" s="901">
        <v>5</v>
      </c>
      <c r="H14" s="901"/>
      <c r="I14" s="80" t="s">
        <v>124</v>
      </c>
      <c r="J14" s="79"/>
    </row>
    <row r="15" spans="1:20" ht="35.25" customHeight="1" thickBot="1">
      <c r="A15" s="1"/>
      <c r="B15" s="81" t="str">
        <f>B7</f>
        <v>£m, 2020/21 prices</v>
      </c>
      <c r="C15" s="500" t="s">
        <v>140</v>
      </c>
      <c r="D15" s="500" t="s">
        <v>125</v>
      </c>
      <c r="E15" s="80" t="s">
        <v>126</v>
      </c>
      <c r="F15" s="99" t="s">
        <v>127</v>
      </c>
      <c r="G15" s="902" t="s">
        <v>345</v>
      </c>
      <c r="H15" s="903"/>
      <c r="I15" s="82" t="s">
        <v>128</v>
      </c>
      <c r="J15" s="79"/>
    </row>
    <row r="16" spans="1:20">
      <c r="A16" s="1"/>
      <c r="B16" s="504" t="s">
        <v>2</v>
      </c>
      <c r="C16" s="505">
        <f>'[22]TRUE UP'!$N$107*'[12]Universal data'!C54</f>
        <v>129.95490992014791</v>
      </c>
      <c r="D16" s="506">
        <f>'[22]TRUE UP'!$N$110*'[12]Universal data'!C54</f>
        <v>-61.392357285243556</v>
      </c>
      <c r="E16" s="507">
        <f>C16+D16</f>
        <v>68.562552634904364</v>
      </c>
      <c r="F16" s="128">
        <f>'[22]TRUE UP'!$N$117*'[12]Universal data'!C54</f>
        <v>-101.73143976426276</v>
      </c>
      <c r="G16" s="906">
        <f>'[22]TRUE UP'!$N$116*'[12]Universal data'!C54</f>
        <v>134.82527796135057</v>
      </c>
      <c r="H16" s="907"/>
      <c r="I16" s="129">
        <f>F16+G16</f>
        <v>33.093838197087805</v>
      </c>
      <c r="J16" s="79"/>
    </row>
    <row r="17" spans="1:11">
      <c r="A17" s="1"/>
      <c r="B17" s="890" t="s">
        <v>129</v>
      </c>
      <c r="C17" s="891"/>
      <c r="D17" s="891"/>
      <c r="E17" s="891"/>
      <c r="F17" s="891"/>
      <c r="G17" s="891"/>
      <c r="H17" s="508"/>
      <c r="I17" s="510">
        <f>I16-E16</f>
        <v>-35.468714437816558</v>
      </c>
      <c r="J17" s="79">
        <f>I17*'[12]Universal data'!$C$55</f>
        <v>-26.015723950987137</v>
      </c>
    </row>
    <row r="18" spans="1:11">
      <c r="A18" s="1"/>
      <c r="J18" s="79"/>
    </row>
    <row r="19" spans="1:11">
      <c r="A19" s="1"/>
      <c r="B19" s="890" t="s">
        <v>344</v>
      </c>
      <c r="C19" s="891"/>
      <c r="D19" s="891"/>
      <c r="E19" s="891"/>
      <c r="F19" s="891"/>
      <c r="G19" s="891"/>
      <c r="H19" s="363"/>
      <c r="I19" s="511">
        <f>'[22]TRUE UP'!$S$121</f>
        <v>-30.371850944152683</v>
      </c>
      <c r="J19" s="79">
        <f>I19*'[12]Universal data'!$C$55</f>
        <v>-22.277257649946147</v>
      </c>
    </row>
    <row r="20" spans="1:11">
      <c r="A20" s="1"/>
      <c r="B20" s="890"/>
      <c r="C20" s="891"/>
      <c r="D20" s="891"/>
      <c r="E20" s="891"/>
      <c r="F20" s="891"/>
      <c r="G20" s="891"/>
      <c r="J20" s="79"/>
    </row>
    <row r="21" spans="1:11">
      <c r="A21" s="1"/>
      <c r="J21" s="79"/>
    </row>
    <row r="22" spans="1:11">
      <c r="A22" s="1" t="s">
        <v>288</v>
      </c>
      <c r="B22" s="23" t="s">
        <v>292</v>
      </c>
      <c r="J22" s="79"/>
    </row>
    <row r="23" spans="1:11" ht="13.2" thickBot="1">
      <c r="B23" s="500"/>
      <c r="C23" s="500">
        <v>1</v>
      </c>
      <c r="D23" s="500">
        <v>2</v>
      </c>
      <c r="E23" s="80" t="s">
        <v>123</v>
      </c>
      <c r="F23" s="500">
        <v>4</v>
      </c>
      <c r="G23" s="901">
        <v>5</v>
      </c>
      <c r="H23" s="901"/>
      <c r="I23" s="80" t="s">
        <v>124</v>
      </c>
      <c r="J23" s="79"/>
    </row>
    <row r="24" spans="1:11" ht="36.6" thickBot="1">
      <c r="B24" s="81" t="str">
        <f>B7</f>
        <v>£m, 2020/21 prices</v>
      </c>
      <c r="C24" s="500" t="s">
        <v>140</v>
      </c>
      <c r="D24" s="500" t="s">
        <v>125</v>
      </c>
      <c r="E24" s="80" t="s">
        <v>126</v>
      </c>
      <c r="F24" s="99" t="s">
        <v>127</v>
      </c>
      <c r="G24" s="902" t="s">
        <v>346</v>
      </c>
      <c r="H24" s="903"/>
      <c r="I24" s="82" t="s">
        <v>128</v>
      </c>
      <c r="J24" s="79"/>
    </row>
    <row r="25" spans="1:11">
      <c r="B25" s="504" t="s">
        <v>2</v>
      </c>
      <c r="C25" s="505">
        <f>'[23]NGET view of allow (me RRP21)'!$CY$35*'[23]Universal data'!$X$40</f>
        <v>739.06788552720298</v>
      </c>
      <c r="D25" s="512">
        <f>'[23]NGET view of allow (me RRP21)'!$CY$43*'[23]Universal data'!$X$40</f>
        <v>-297.87386015324591</v>
      </c>
      <c r="E25" s="507">
        <f>C25+D25</f>
        <v>441.19402537395706</v>
      </c>
      <c r="F25" s="128">
        <f>'[23]NGET view of allow (me RRP21)'!$CZ$154+'[23]NGET view of allow (me RRP21)'!$CZ$155</f>
        <v>-296.93803228588047</v>
      </c>
      <c r="G25" s="904">
        <f>'[23]NGET view of allow (me RRP21)'!$CZ$152+'[23]NGET view of allow (me RRP21)'!$CZ$153</f>
        <v>446.69994568848534</v>
      </c>
      <c r="H25" s="905"/>
      <c r="I25" s="129">
        <f>F25+G25</f>
        <v>149.76191340260488</v>
      </c>
      <c r="J25" s="79"/>
    </row>
    <row r="26" spans="1:11">
      <c r="B26" s="890" t="s">
        <v>129</v>
      </c>
      <c r="C26" s="891"/>
      <c r="D26" s="891"/>
      <c r="E26" s="891"/>
      <c r="F26" s="891"/>
      <c r="G26" s="891"/>
      <c r="H26" s="508"/>
      <c r="I26" s="511">
        <f>I25-E25</f>
        <v>-291.43211197135219</v>
      </c>
      <c r="J26" s="79">
        <f>I26*'[12]Universal data'!$C$55</f>
        <v>-213.7607042057374</v>
      </c>
      <c r="K26" s="147"/>
    </row>
    <row r="27" spans="1:11">
      <c r="J27" s="79"/>
    </row>
    <row r="28" spans="1:11">
      <c r="B28" s="890" t="s">
        <v>344</v>
      </c>
      <c r="C28" s="891"/>
      <c r="D28" s="891"/>
      <c r="E28" s="891"/>
      <c r="F28" s="891"/>
      <c r="G28" s="891"/>
      <c r="H28" s="363"/>
      <c r="I28" s="509">
        <f>(E25-'[23]NGET view of allow (me RRP21)'!$CZ$148)-I25</f>
        <v>264.92422951886778</v>
      </c>
      <c r="J28" s="79">
        <f>I28*'[12]Universal data'!$C$55</f>
        <v>194.31760446728791</v>
      </c>
      <c r="K28" s="147"/>
    </row>
    <row r="29" spans="1:11">
      <c r="B29" s="890"/>
      <c r="C29" s="891"/>
      <c r="D29" s="891"/>
      <c r="E29" s="891"/>
      <c r="F29" s="891"/>
      <c r="G29" s="891"/>
    </row>
  </sheetData>
  <mergeCells count="25">
    <mergeCell ref="B29:G29"/>
    <mergeCell ref="G14:H14"/>
    <mergeCell ref="G15:H15"/>
    <mergeCell ref="G16:H16"/>
    <mergeCell ref="B17:G17"/>
    <mergeCell ref="B19:G19"/>
    <mergeCell ref="B20:G20"/>
    <mergeCell ref="G23:H23"/>
    <mergeCell ref="G24:H24"/>
    <mergeCell ref="G25:H25"/>
    <mergeCell ref="B26:G26"/>
    <mergeCell ref="B28:G28"/>
    <mergeCell ref="B12:G12"/>
    <mergeCell ref="B1:I2"/>
    <mergeCell ref="K4:M4"/>
    <mergeCell ref="N4:T4"/>
    <mergeCell ref="K5:M5"/>
    <mergeCell ref="N5:O5"/>
    <mergeCell ref="P5:Q5"/>
    <mergeCell ref="R5:S5"/>
    <mergeCell ref="G6:H6"/>
    <mergeCell ref="G7:H7"/>
    <mergeCell ref="G8:H8"/>
    <mergeCell ref="B9:G9"/>
    <mergeCell ref="B11:G1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7D284-F570-4616-9AB2-EC384ED372D9}">
  <sheetPr>
    <pageSetUpPr autoPageBreaks="0"/>
  </sheetPr>
  <dimension ref="A1:J28"/>
  <sheetViews>
    <sheetView zoomScale="34" zoomScaleNormal="80" workbookViewId="0">
      <selection activeCell="C25" sqref="C25"/>
    </sheetView>
  </sheetViews>
  <sheetFormatPr defaultColWidth="9" defaultRowHeight="12.6"/>
  <cols>
    <col min="1" max="1" width="11.36328125" style="364" bestFit="1" customWidth="1"/>
    <col min="2" max="2" width="40.81640625" style="364" customWidth="1"/>
    <col min="3" max="3" width="35.26953125" style="364" customWidth="1"/>
    <col min="4" max="4" width="23.453125" style="364" customWidth="1"/>
    <col min="5" max="5" width="24.7265625" style="364" customWidth="1"/>
    <col min="6" max="6" width="12.36328125" style="364" customWidth="1"/>
    <col min="7" max="8" width="9" style="364"/>
    <col min="9" max="9" width="31.36328125" style="364" customWidth="1"/>
    <col min="10" max="10" width="42.08984375" style="364" customWidth="1"/>
    <col min="11" max="11" width="15" style="364" customWidth="1"/>
    <col min="12" max="12" width="17" style="364" customWidth="1"/>
    <col min="13" max="13" width="21.36328125" style="364" customWidth="1"/>
    <col min="14" max="16" width="9" style="364"/>
    <col min="17" max="17" width="17.81640625" style="364" customWidth="1"/>
    <col min="18" max="16384" width="9" style="364"/>
  </cols>
  <sheetData>
    <row r="1" spans="1:10" ht="37.5" customHeight="1">
      <c r="B1" s="892" t="s">
        <v>163</v>
      </c>
      <c r="C1" s="893"/>
      <c r="D1" s="893"/>
      <c r="E1" s="893"/>
      <c r="F1" s="893"/>
      <c r="G1" s="893"/>
      <c r="H1" s="893"/>
      <c r="I1" s="894"/>
    </row>
    <row r="2" spans="1:10" ht="36.75" customHeight="1" thickBot="1">
      <c r="B2" s="757"/>
      <c r="C2" s="895"/>
      <c r="D2" s="895"/>
      <c r="E2" s="895"/>
      <c r="F2" s="895"/>
      <c r="G2" s="895"/>
      <c r="H2" s="895"/>
      <c r="I2" s="896"/>
    </row>
    <row r="3" spans="1:10" ht="30.45" customHeight="1">
      <c r="B3" s="493"/>
      <c r="C3" s="493"/>
      <c r="D3" s="493"/>
      <c r="E3" s="493"/>
      <c r="F3" s="493"/>
      <c r="G3" s="493"/>
      <c r="H3" s="493"/>
    </row>
    <row r="5" spans="1:10">
      <c r="A5" s="1" t="s">
        <v>289</v>
      </c>
      <c r="B5" s="23" t="s">
        <v>295</v>
      </c>
    </row>
    <row r="6" spans="1:10" ht="13.2" thickBot="1">
      <c r="A6" s="1"/>
      <c r="B6" s="500"/>
      <c r="C6" s="500">
        <v>1</v>
      </c>
      <c r="D6" s="500">
        <v>2</v>
      </c>
      <c r="E6" s="80" t="s">
        <v>123</v>
      </c>
      <c r="F6" s="500">
        <v>4</v>
      </c>
      <c r="G6" s="901">
        <v>5</v>
      </c>
      <c r="H6" s="901"/>
      <c r="I6" s="80" t="s">
        <v>124</v>
      </c>
    </row>
    <row r="7" spans="1:10" ht="35.25" customHeight="1" thickBot="1">
      <c r="A7" s="1"/>
      <c r="B7" s="81" t="str">
        <f>'[12]Forecast "True up" 1'!B7</f>
        <v>£m, 2020/21 prices</v>
      </c>
      <c r="C7" s="500" t="s">
        <v>140</v>
      </c>
      <c r="D7" s="500" t="s">
        <v>125</v>
      </c>
      <c r="E7" s="80" t="s">
        <v>126</v>
      </c>
      <c r="F7" s="99" t="s">
        <v>127</v>
      </c>
      <c r="G7" s="902" t="str">
        <f>'[12]Forecast "True up" 1'!G7</f>
        <v xml:space="preserve">Current view of expenditure </v>
      </c>
      <c r="H7" s="903"/>
      <c r="I7" s="82" t="s">
        <v>128</v>
      </c>
    </row>
    <row r="8" spans="1:10" ht="13.2" thickBot="1">
      <c r="A8" s="1"/>
      <c r="B8" s="504" t="s">
        <v>2</v>
      </c>
      <c r="C8" s="505">
        <f>'[4]6.7_BWW_and_SWW_outputs'!$O$202</f>
        <v>97.583127030805272</v>
      </c>
      <c r="D8" s="506">
        <v>0</v>
      </c>
      <c r="E8" s="507">
        <f>C8+D8</f>
        <v>97.583127030805272</v>
      </c>
      <c r="F8" s="128">
        <f>'[4]4.2_LRScheme_Expenditure'!$AQ$327+'[4]4.2_LRScheme_Expenditure'!$AS$327</f>
        <v>-2.468365557182425</v>
      </c>
      <c r="G8" s="904">
        <f>'[21]3L only'!$M$61</f>
        <v>95.871814619018394</v>
      </c>
      <c r="H8" s="905"/>
      <c r="I8" s="129">
        <f>F8+G8</f>
        <v>93.403449061835971</v>
      </c>
    </row>
    <row r="9" spans="1:10" ht="13.2" thickBot="1">
      <c r="A9" s="1"/>
      <c r="B9" s="890" t="s">
        <v>129</v>
      </c>
      <c r="C9" s="891"/>
      <c r="D9" s="891"/>
      <c r="E9" s="891"/>
      <c r="F9" s="891"/>
      <c r="G9" s="891"/>
      <c r="H9" s="508"/>
      <c r="I9" s="323">
        <f>I8-E8</f>
        <v>-4.1796779689693011</v>
      </c>
      <c r="J9" s="1"/>
    </row>
    <row r="10" spans="1:10" ht="13.2" thickBot="1">
      <c r="A10" s="1"/>
    </row>
    <row r="11" spans="1:10" ht="12.45" customHeight="1" thickBot="1">
      <c r="A11" s="1"/>
      <c r="B11" s="890" t="s">
        <v>344</v>
      </c>
      <c r="C11" s="891"/>
      <c r="D11" s="891"/>
      <c r="E11" s="891"/>
      <c r="F11" s="891"/>
      <c r="G11" s="891"/>
      <c r="I11" s="322"/>
    </row>
    <row r="12" spans="1:10">
      <c r="A12" s="1"/>
      <c r="B12" s="25"/>
      <c r="I12" s="321"/>
    </row>
    <row r="13" spans="1:10">
      <c r="A13" s="1" t="s">
        <v>290</v>
      </c>
      <c r="B13" s="23" t="s">
        <v>293</v>
      </c>
    </row>
    <row r="14" spans="1:10" ht="13.2" thickBot="1">
      <c r="A14" s="1"/>
      <c r="B14" s="500"/>
      <c r="C14" s="500">
        <v>1</v>
      </c>
      <c r="D14" s="500">
        <v>2</v>
      </c>
      <c r="E14" s="80" t="s">
        <v>123</v>
      </c>
      <c r="F14" s="500">
        <v>4</v>
      </c>
      <c r="G14" s="901">
        <v>5</v>
      </c>
      <c r="H14" s="901"/>
      <c r="I14" s="80" t="s">
        <v>124</v>
      </c>
    </row>
    <row r="15" spans="1:10" ht="36.6" thickBot="1">
      <c r="A15" s="1"/>
      <c r="B15" s="81" t="str">
        <f>B7</f>
        <v>£m, 2020/21 prices</v>
      </c>
      <c r="C15" s="500" t="s">
        <v>140</v>
      </c>
      <c r="D15" s="500" t="s">
        <v>125</v>
      </c>
      <c r="E15" s="80" t="s">
        <v>126</v>
      </c>
      <c r="F15" s="99" t="s">
        <v>127</v>
      </c>
      <c r="G15" s="902" t="str">
        <f>'[12]Forecast "True up" 1'!G15</f>
        <v>Current view of expenditure (excl RPMs disallowed)</v>
      </c>
      <c r="H15" s="903"/>
      <c r="I15" s="82" t="s">
        <v>128</v>
      </c>
    </row>
    <row r="16" spans="1:10" ht="13.2" thickBot="1">
      <c r="A16" s="1"/>
      <c r="B16" s="504" t="s">
        <v>2</v>
      </c>
      <c r="C16" s="505">
        <f>'[3]6.7_BWW_and_SWW_outputs'!$O$231</f>
        <v>29.99260660005714</v>
      </c>
      <c r="D16" s="506">
        <v>0</v>
      </c>
      <c r="E16" s="507">
        <f>C16+D16</f>
        <v>29.99260660005714</v>
      </c>
      <c r="F16" s="128">
        <v>0</v>
      </c>
      <c r="G16" s="906">
        <f>SUM('[3]COMMENTARY SPT'!$BE$176:$BL$176)</f>
        <v>22.195525717410021</v>
      </c>
      <c r="H16" s="907"/>
      <c r="I16" s="129">
        <f>F16+G16</f>
        <v>22.195525717410021</v>
      </c>
    </row>
    <row r="17" spans="1:9" ht="13.8" thickBot="1">
      <c r="A17" s="1"/>
      <c r="B17" s="890" t="s">
        <v>129</v>
      </c>
      <c r="C17" s="891"/>
      <c r="D17" s="891"/>
      <c r="E17" s="891"/>
      <c r="F17" s="891"/>
      <c r="G17" s="891"/>
      <c r="H17" s="508"/>
      <c r="I17" s="322">
        <f>I16-C16</f>
        <v>-7.7970808826471192</v>
      </c>
    </row>
    <row r="18" spans="1:9" ht="13.2" thickBot="1">
      <c r="A18" s="1"/>
    </row>
    <row r="19" spans="1:9" ht="13.8" thickBot="1">
      <c r="A19" s="1"/>
      <c r="B19" s="890" t="s">
        <v>344</v>
      </c>
      <c r="C19" s="891"/>
      <c r="D19" s="891"/>
      <c r="E19" s="891"/>
      <c r="F19" s="891"/>
      <c r="G19" s="891"/>
      <c r="I19" s="322">
        <f xml:space="preserve"> I16-(C16-1.01)</f>
        <v>-6.7870808826471176</v>
      </c>
    </row>
    <row r="20" spans="1:9">
      <c r="A20" s="1"/>
    </row>
    <row r="21" spans="1:9">
      <c r="A21" s="1"/>
    </row>
    <row r="22" spans="1:9">
      <c r="A22" s="1" t="s">
        <v>584</v>
      </c>
      <c r="B22" s="23" t="s">
        <v>294</v>
      </c>
    </row>
    <row r="23" spans="1:9" ht="13.2" thickBot="1">
      <c r="B23" s="500"/>
      <c r="C23" s="500">
        <v>1</v>
      </c>
      <c r="D23" s="500">
        <v>2</v>
      </c>
      <c r="E23" s="80" t="s">
        <v>123</v>
      </c>
      <c r="F23" s="500">
        <v>4</v>
      </c>
      <c r="G23" s="901">
        <v>5</v>
      </c>
      <c r="H23" s="901"/>
      <c r="I23" s="80" t="s">
        <v>124</v>
      </c>
    </row>
    <row r="24" spans="1:9" ht="36.6" thickBot="1">
      <c r="B24" s="81" t="str">
        <f>B7</f>
        <v>£m, 2020/21 prices</v>
      </c>
      <c r="C24" s="500" t="s">
        <v>140</v>
      </c>
      <c r="D24" s="500" t="s">
        <v>125</v>
      </c>
      <c r="E24" s="80" t="s">
        <v>126</v>
      </c>
      <c r="F24" s="99" t="s">
        <v>127</v>
      </c>
      <c r="G24" s="902" t="str">
        <f>G7</f>
        <v xml:space="preserve">Current view of expenditure </v>
      </c>
      <c r="H24" s="903"/>
      <c r="I24" s="82" t="s">
        <v>128</v>
      </c>
    </row>
    <row r="25" spans="1:9" ht="13.2" thickBot="1">
      <c r="B25" s="504" t="s">
        <v>2</v>
      </c>
      <c r="C25" s="505">
        <v>64.099999999999994</v>
      </c>
      <c r="D25" s="506">
        <v>0</v>
      </c>
      <c r="E25" s="507">
        <f>C25+D25</f>
        <v>64.099999999999994</v>
      </c>
      <c r="F25" s="128">
        <v>0</v>
      </c>
      <c r="G25" s="904">
        <f>'[10]4.1_Capex_Summary'!$P$30</f>
        <v>101.37557684789599</v>
      </c>
      <c r="H25" s="905"/>
      <c r="I25" s="713">
        <f>F25+G25</f>
        <v>101.37557684789599</v>
      </c>
    </row>
    <row r="26" spans="1:9" ht="13.8" thickBot="1">
      <c r="B26" s="890" t="s">
        <v>129</v>
      </c>
      <c r="C26" s="891"/>
      <c r="D26" s="891"/>
      <c r="E26" s="891"/>
      <c r="F26" s="891"/>
      <c r="G26" s="891"/>
      <c r="H26" s="508"/>
      <c r="I26" s="322">
        <f>I25-C25</f>
        <v>37.275576847895991</v>
      </c>
    </row>
    <row r="27" spans="1:9" ht="13.2" thickBot="1"/>
    <row r="28" spans="1:9" ht="13.8" thickBot="1">
      <c r="B28" s="890" t="s">
        <v>344</v>
      </c>
      <c r="C28" s="891"/>
      <c r="D28" s="891"/>
      <c r="E28" s="891"/>
      <c r="F28" s="891"/>
      <c r="G28" s="891"/>
      <c r="I28" s="322">
        <f>I25-'[24]SpC 3L pre con'!$V$40</f>
        <v>39.407268767895985</v>
      </c>
    </row>
  </sheetData>
  <mergeCells count="16">
    <mergeCell ref="B28:G28"/>
    <mergeCell ref="G6:H6"/>
    <mergeCell ref="G7:H7"/>
    <mergeCell ref="G8:H8"/>
    <mergeCell ref="B9:G9"/>
    <mergeCell ref="B1:I2"/>
    <mergeCell ref="G23:H23"/>
    <mergeCell ref="G24:H24"/>
    <mergeCell ref="G25:H25"/>
    <mergeCell ref="B26:G26"/>
    <mergeCell ref="G14:H14"/>
    <mergeCell ref="G15:H15"/>
    <mergeCell ref="G16:H16"/>
    <mergeCell ref="B17:G17"/>
    <mergeCell ref="B11:G11"/>
    <mergeCell ref="B19:G1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N58"/>
  <sheetViews>
    <sheetView zoomScale="69" zoomScaleNormal="50" workbookViewId="0">
      <selection activeCell="I43" sqref="I43"/>
    </sheetView>
  </sheetViews>
  <sheetFormatPr defaultColWidth="9" defaultRowHeight="13.8"/>
  <cols>
    <col min="1" max="1" width="16" style="19" customWidth="1"/>
    <col min="2" max="2" width="52.36328125" style="19" bestFit="1" customWidth="1"/>
    <col min="3" max="3" width="26.453125" style="19" bestFit="1" customWidth="1"/>
  </cols>
  <sheetData>
    <row r="1" spans="1:3" ht="24.6">
      <c r="A1" s="2" t="s">
        <v>6</v>
      </c>
      <c r="B1" s="3"/>
      <c r="C1" s="3"/>
    </row>
    <row r="2" spans="1:3" ht="24.6">
      <c r="A2" s="2"/>
      <c r="B2" s="3"/>
      <c r="C2" s="3"/>
    </row>
    <row r="3" spans="1:3" ht="21.6" thickBot="1">
      <c r="A3" s="4"/>
      <c r="B3" s="3"/>
      <c r="C3" s="3"/>
    </row>
    <row r="4" spans="1:3" ht="13.2">
      <c r="A4" s="5"/>
      <c r="B4"/>
      <c r="C4"/>
    </row>
    <row r="5" spans="1:3" ht="21">
      <c r="A5" s="6" t="s">
        <v>7</v>
      </c>
      <c r="B5"/>
      <c r="C5"/>
    </row>
    <row r="6" spans="1:3" ht="12.6">
      <c r="A6"/>
      <c r="B6"/>
      <c r="C6"/>
    </row>
    <row r="7" spans="1:3" ht="12.6">
      <c r="A7"/>
      <c r="B7"/>
      <c r="C7"/>
    </row>
    <row r="8" spans="1:3" ht="12.6">
      <c r="A8"/>
      <c r="B8" s="7" t="s">
        <v>8</v>
      </c>
      <c r="C8" s="8"/>
    </row>
    <row r="9" spans="1:3" ht="12.6">
      <c r="A9"/>
      <c r="B9" s="7" t="s">
        <v>9</v>
      </c>
      <c r="C9" s="8"/>
    </row>
    <row r="10" spans="1:3" ht="12.6">
      <c r="A10"/>
      <c r="B10" s="7" t="s">
        <v>10</v>
      </c>
      <c r="C10" s="8">
        <v>2021</v>
      </c>
    </row>
    <row r="11" spans="1:3" ht="12.6">
      <c r="A11"/>
      <c r="B11" s="7" t="s">
        <v>11</v>
      </c>
      <c r="C11" s="9"/>
    </row>
    <row r="12" spans="1:3" ht="12.6">
      <c r="A12"/>
      <c r="B12" s="7" t="s">
        <v>12</v>
      </c>
      <c r="C12" s="10">
        <v>43677</v>
      </c>
    </row>
    <row r="13" spans="1:3" ht="12.6">
      <c r="A13"/>
      <c r="B13" s="7"/>
      <c r="C13" s="7"/>
    </row>
    <row r="14" spans="1:3" ht="12.6">
      <c r="A14"/>
      <c r="B14" s="7"/>
      <c r="C14" s="7"/>
    </row>
    <row r="15" spans="1:3" ht="12.6">
      <c r="A15"/>
      <c r="B15" s="7" t="s">
        <v>13</v>
      </c>
      <c r="C15" s="11" t="str">
        <f>$C$10-6&amp;"/"&amp;RIGHT($C$10-5,2)</f>
        <v>2015/16</v>
      </c>
    </row>
    <row r="16" spans="1:3" ht="12.6">
      <c r="A16"/>
      <c r="B16" s="7" t="s">
        <v>14</v>
      </c>
      <c r="C16" s="11" t="str">
        <f>$C$10-6&amp;"/"&amp;RIGHT($C$10-5,2)</f>
        <v>2015/16</v>
      </c>
    </row>
    <row r="17" spans="1:3" ht="12.6">
      <c r="A17"/>
      <c r="B17" s="7" t="s">
        <v>15</v>
      </c>
      <c r="C17" s="11" t="str">
        <f>$C$10-5&amp;"/"&amp;RIGHT($C$10-4,2)</f>
        <v>2016/17</v>
      </c>
    </row>
    <row r="18" spans="1:3" ht="12.6">
      <c r="A18"/>
      <c r="B18" s="7" t="s">
        <v>16</v>
      </c>
      <c r="C18" s="11" t="str">
        <f>$C$10-4&amp;"/"&amp;RIGHT($C$10-3,2)</f>
        <v>2017/18</v>
      </c>
    </row>
    <row r="19" spans="1:3" ht="12.6">
      <c r="A19"/>
      <c r="B19" s="7" t="s">
        <v>17</v>
      </c>
      <c r="C19" s="11" t="str">
        <f>$C$10-3&amp;"/"&amp;RIGHT($C$10-2,2)</f>
        <v>2018/19</v>
      </c>
    </row>
    <row r="20" spans="1:3" ht="12.6">
      <c r="A20"/>
      <c r="B20" s="7" t="s">
        <v>18</v>
      </c>
      <c r="C20" s="11" t="str">
        <f>$C$10-2&amp;"/"&amp;RIGHT($C$10-1,2)</f>
        <v>2019/20</v>
      </c>
    </row>
    <row r="21" spans="1:3" ht="12.6">
      <c r="A21"/>
      <c r="B21" s="12" t="s">
        <v>19</v>
      </c>
      <c r="C21" s="11" t="str">
        <f>$C$10-1&amp;"/"&amp;RIGHT($C$10-0,2)</f>
        <v>2020/21</v>
      </c>
    </row>
    <row r="22" spans="1:3" ht="12.6">
      <c r="A22"/>
      <c r="B22" s="7" t="s">
        <v>20</v>
      </c>
      <c r="C22" s="11" t="str">
        <f>$C$10&amp;"/"&amp;RIGHT($C$10+1,2)</f>
        <v>2021/22</v>
      </c>
    </row>
    <row r="23" spans="1:3" ht="12.6">
      <c r="A23"/>
      <c r="B23" s="7" t="s">
        <v>21</v>
      </c>
      <c r="C23" s="11" t="str">
        <f>$C$10+1&amp;"/"&amp;RIGHT($C$10+2,2)</f>
        <v>2022/23</v>
      </c>
    </row>
    <row r="24" spans="1:3" ht="12.6">
      <c r="A24"/>
      <c r="B24" s="7" t="s">
        <v>22</v>
      </c>
      <c r="C24" s="11" t="str">
        <f>$C$10+2&amp;"/"&amp;RIGHT($C$10+3,2)</f>
        <v>2023/24</v>
      </c>
    </row>
    <row r="25" spans="1:3" ht="12.6">
      <c r="A25"/>
      <c r="B25" s="7" t="s">
        <v>23</v>
      </c>
      <c r="C25" s="11" t="str">
        <f>$C$10+3&amp;"/"&amp;RIGHT($C$10+4,2)</f>
        <v>2024/25</v>
      </c>
    </row>
    <row r="26" spans="1:3" ht="12.6">
      <c r="A26"/>
      <c r="B26" s="7" t="s">
        <v>24</v>
      </c>
      <c r="C26" s="11" t="str">
        <f>$C$10+4&amp;"/"&amp;RIGHT($C$10+5,2)</f>
        <v>2025/26</v>
      </c>
    </row>
    <row r="27" spans="1:3" ht="12.6">
      <c r="A27"/>
      <c r="B27" s="7"/>
      <c r="C27" s="7"/>
    </row>
    <row r="28" spans="1:3" ht="12.6">
      <c r="A28"/>
      <c r="B28" s="7"/>
      <c r="C28" s="7"/>
    </row>
    <row r="29" spans="1:3" ht="12.6">
      <c r="A29"/>
      <c r="B29" s="7" t="s">
        <v>25</v>
      </c>
      <c r="C29" s="13">
        <v>0.2</v>
      </c>
    </row>
    <row r="30" spans="1:3" ht="12.6">
      <c r="A30"/>
      <c r="B30" s="7"/>
      <c r="C30" s="7"/>
    </row>
    <row r="31" spans="1:3" ht="12.6">
      <c r="A31"/>
      <c r="B31" s="14" t="s">
        <v>26</v>
      </c>
      <c r="C31" s="15" t="s">
        <v>27</v>
      </c>
    </row>
    <row r="32" spans="1:3" ht="12.6">
      <c r="A32"/>
      <c r="B32" s="7" t="s">
        <v>28</v>
      </c>
      <c r="C32" s="16">
        <v>182.47499999999999</v>
      </c>
    </row>
    <row r="33" spans="1:8" ht="12.6">
      <c r="A33"/>
      <c r="B33" s="7" t="s">
        <v>29</v>
      </c>
      <c r="C33" s="16">
        <v>188.15</v>
      </c>
    </row>
    <row r="34" spans="1:8" ht="12.6">
      <c r="A34"/>
      <c r="B34" s="7" t="s">
        <v>30</v>
      </c>
      <c r="C34" s="16">
        <v>193.10830000000001</v>
      </c>
    </row>
    <row r="35" spans="1:8" ht="12.6">
      <c r="A35"/>
      <c r="B35" s="7" t="s">
        <v>31</v>
      </c>
      <c r="C35" s="16">
        <v>200.3167</v>
      </c>
    </row>
    <row r="36" spans="1:8" ht="12.6">
      <c r="A36"/>
      <c r="B36" s="7" t="s">
        <v>32</v>
      </c>
      <c r="C36" s="16">
        <v>208.5917</v>
      </c>
    </row>
    <row r="37" spans="1:8" ht="12.6">
      <c r="A37"/>
      <c r="B37" s="7" t="s">
        <v>33</v>
      </c>
      <c r="C37" s="16">
        <v>214.7833</v>
      </c>
    </row>
    <row r="38" spans="1:8" ht="12.6">
      <c r="A38"/>
      <c r="B38" s="7" t="s">
        <v>34</v>
      </c>
      <c r="C38" s="16">
        <v>215.76669999999999</v>
      </c>
    </row>
    <row r="39" spans="1:8" ht="12.6">
      <c r="A39"/>
      <c r="B39" s="7" t="s">
        <v>35</v>
      </c>
      <c r="C39" s="16">
        <v>226.47499999999999</v>
      </c>
    </row>
    <row r="40" spans="1:8" ht="12.6">
      <c r="A40"/>
      <c r="B40" s="7" t="s">
        <v>36</v>
      </c>
      <c r="C40" s="16">
        <v>237.3417</v>
      </c>
    </row>
    <row r="41" spans="1:8" ht="12.6">
      <c r="A41"/>
      <c r="B41" s="7" t="s">
        <v>37</v>
      </c>
      <c r="C41" s="16">
        <v>244.67500000000001</v>
      </c>
    </row>
    <row r="42" spans="1:8" ht="12.6">
      <c r="A42"/>
      <c r="B42" s="7" t="s">
        <v>38</v>
      </c>
      <c r="C42" s="16">
        <v>251.733</v>
      </c>
    </row>
    <row r="43" spans="1:8" ht="12.6">
      <c r="A43"/>
      <c r="B43" s="7" t="s">
        <v>39</v>
      </c>
      <c r="C43" s="16">
        <v>256.66666666666669</v>
      </c>
    </row>
    <row r="44" spans="1:8" ht="14.25" customHeight="1">
      <c r="A44"/>
      <c r="B44" s="7" t="s">
        <v>40</v>
      </c>
      <c r="C44" s="16">
        <v>259.43333333333334</v>
      </c>
    </row>
    <row r="45" spans="1:8" ht="12" customHeight="1">
      <c r="A45"/>
      <c r="B45" s="7" t="s">
        <v>41</v>
      </c>
      <c r="C45" s="17">
        <v>264.99200000000002</v>
      </c>
      <c r="H45" s="18"/>
    </row>
    <row r="46" spans="1:8" ht="12.6">
      <c r="A46"/>
      <c r="B46" s="7" t="s">
        <v>42</v>
      </c>
      <c r="C46" s="16">
        <v>274.90800000000002</v>
      </c>
    </row>
    <row r="47" spans="1:8" ht="12.6">
      <c r="A47"/>
      <c r="B47" s="7" t="s">
        <v>43</v>
      </c>
      <c r="C47" s="16">
        <v>283.30799999999999</v>
      </c>
    </row>
    <row r="48" spans="1:8" ht="12.6">
      <c r="A48"/>
      <c r="B48" s="7" t="s">
        <v>44</v>
      </c>
      <c r="C48" s="296">
        <v>290.642</v>
      </c>
    </row>
    <row r="49" spans="1:14" ht="12.6">
      <c r="A49"/>
      <c r="B49" s="7" t="s">
        <v>45</v>
      </c>
      <c r="C49" s="16">
        <f>'[2]Universal data'!$C$50</f>
        <v>294.16699999999997</v>
      </c>
    </row>
    <row r="50" spans="1:14">
      <c r="A50"/>
    </row>
    <row r="51" spans="1:14" ht="12.6">
      <c r="A51"/>
      <c r="B51" s="299" t="str">
        <f>"Convert 2009/10 prices to "&amp;$C$20</f>
        <v>Convert 2009/10 prices to 2019/20</v>
      </c>
      <c r="C51" s="300">
        <v>1.3130293043365822</v>
      </c>
    </row>
    <row r="52" spans="1:14" ht="12.6">
      <c r="A52"/>
      <c r="B52" s="299" t="str">
        <f>"Convert "&amp;$C$20&amp;" to 2009/10"</f>
        <v>Convert 2019/20 to 2009/10</v>
      </c>
      <c r="C52" s="300">
        <v>0.76159762519942953</v>
      </c>
    </row>
    <row r="53" spans="1:14">
      <c r="A53"/>
      <c r="B53" s="20"/>
      <c r="C53" s="20"/>
      <c r="E53" s="716"/>
      <c r="F53" s="716"/>
      <c r="G53" s="716"/>
      <c r="H53" s="716"/>
      <c r="I53" s="716"/>
      <c r="J53" s="716"/>
      <c r="K53" s="716"/>
      <c r="L53" s="716"/>
      <c r="M53" s="716"/>
      <c r="N53" s="716"/>
    </row>
    <row r="54" spans="1:14" ht="12.6">
      <c r="A54" s="87"/>
      <c r="B54" s="297" t="str">
        <f>"Convert 2009/10 prices to "&amp;$C$21</f>
        <v>Convert 2009/10 prices to 2020/21</v>
      </c>
      <c r="C54" s="298">
        <f>VLOOKUP($C$21,$B$32:$C$49,2,FALSE)/$C$38</f>
        <v>1.3633568108517209</v>
      </c>
      <c r="E54" s="716"/>
      <c r="F54" s="716"/>
      <c r="G54" s="716"/>
      <c r="H54" s="716"/>
      <c r="I54" s="716"/>
      <c r="J54" s="716"/>
      <c r="K54" s="716"/>
      <c r="L54" s="716"/>
      <c r="M54" s="716"/>
      <c r="N54" s="716"/>
    </row>
    <row r="55" spans="1:14">
      <c r="B55" s="297" t="str">
        <f>"Convert "&amp;$C$21&amp;" to 2009/10"</f>
        <v>Convert 2020/21 to 2009/10</v>
      </c>
      <c r="C55" s="298">
        <f>1/C54</f>
        <v>0.73348370143489916</v>
      </c>
      <c r="E55" s="716"/>
      <c r="F55" s="716"/>
      <c r="G55" s="716"/>
      <c r="H55" s="716"/>
      <c r="I55" s="716"/>
      <c r="J55" s="716"/>
      <c r="K55" s="716"/>
      <c r="L55" s="716"/>
      <c r="M55" s="716"/>
      <c r="N55" s="716"/>
    </row>
    <row r="56" spans="1:14">
      <c r="B56" s="660" t="str">
        <f>"Convert from previous year price base (" &amp; $C$20 &amp; " to " &amp; $C$21 &amp; ")"</f>
        <v>Convert from previous year price base (2019/20 to 2020/21)</v>
      </c>
      <c r="C56" s="661">
        <f>VLOOKUP($C$21,$B$32:$C$50,2,FALSE)/VLOOKUP($C$20,$B$32:$C$50,2,FALSE)</f>
        <v>1.0121283228163858</v>
      </c>
      <c r="E56" s="716"/>
      <c r="F56" s="716"/>
      <c r="G56" s="716"/>
      <c r="H56" s="716"/>
      <c r="I56" s="716"/>
      <c r="J56" s="716"/>
      <c r="K56" s="716"/>
      <c r="L56" s="716"/>
      <c r="M56" s="716"/>
      <c r="N56" s="716"/>
    </row>
    <row r="57" spans="1:14">
      <c r="E57" s="716"/>
      <c r="F57" s="716"/>
      <c r="G57" s="716"/>
      <c r="H57" s="716"/>
      <c r="I57" s="716"/>
      <c r="J57" s="716"/>
      <c r="K57" s="716"/>
      <c r="L57" s="716"/>
      <c r="M57" s="716"/>
      <c r="N57" s="716"/>
    </row>
    <row r="58" spans="1:14">
      <c r="E58" s="716"/>
      <c r="F58" s="716"/>
      <c r="G58" s="716"/>
      <c r="H58" s="716"/>
      <c r="I58" s="716"/>
      <c r="J58" s="716"/>
      <c r="K58" s="716"/>
      <c r="L58" s="716"/>
      <c r="M58" s="716"/>
      <c r="N58" s="716"/>
    </row>
  </sheetData>
  <pageMargins left="0.74803149606299213" right="0.74803149606299213" top="0.98425196850393704" bottom="0.98425196850393704" header="0.51181102362204722" footer="0.51181102362204722"/>
  <pageSetup paperSize="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autoPageBreaks="0"/>
  </sheetPr>
  <dimension ref="B1:K98"/>
  <sheetViews>
    <sheetView topLeftCell="B33" zoomScale="67" zoomScaleNormal="80" workbookViewId="0">
      <selection activeCell="C60" sqref="C60"/>
    </sheetView>
  </sheetViews>
  <sheetFormatPr defaultRowHeight="12.6"/>
  <cols>
    <col min="2" max="2" width="54.26953125" customWidth="1"/>
    <col min="3" max="3" width="48.54296875" customWidth="1"/>
    <col min="4" max="4" width="49.81640625" customWidth="1"/>
    <col min="5" max="5" width="20.81640625" customWidth="1"/>
  </cols>
  <sheetData>
    <row r="1" spans="2:5" ht="25.8" thickBot="1">
      <c r="E1" s="342" t="s">
        <v>371</v>
      </c>
    </row>
    <row r="2" spans="2:5" ht="25.8" thickBot="1">
      <c r="B2" s="141" t="s">
        <v>78</v>
      </c>
      <c r="E2" s="343" t="s">
        <v>372</v>
      </c>
    </row>
    <row r="3" spans="2:5" ht="25.8" thickBot="1">
      <c r="B3" s="27"/>
      <c r="C3" s="27"/>
      <c r="D3" s="27"/>
      <c r="E3" s="344" t="s">
        <v>373</v>
      </c>
    </row>
    <row r="4" spans="2:5" ht="25.8" thickBot="1">
      <c r="B4" s="139" t="s">
        <v>53</v>
      </c>
      <c r="C4" s="140" t="s">
        <v>54</v>
      </c>
      <c r="D4" s="140" t="s">
        <v>148</v>
      </c>
      <c r="E4" s="345" t="s">
        <v>374</v>
      </c>
    </row>
    <row r="5" spans="2:5" ht="16.8" thickBot="1">
      <c r="B5" s="771" t="s">
        <v>55</v>
      </c>
      <c r="C5" s="772"/>
      <c r="D5" s="782"/>
    </row>
    <row r="6" spans="2:5" ht="32.25" customHeight="1">
      <c r="B6" s="758" t="s">
        <v>79</v>
      </c>
      <c r="C6" s="745" t="s">
        <v>56</v>
      </c>
      <c r="D6" s="783" t="s">
        <v>57</v>
      </c>
      <c r="E6" s="441"/>
    </row>
    <row r="7" spans="2:5" ht="13.2" thickBot="1">
      <c r="B7" s="766"/>
      <c r="C7" s="747"/>
      <c r="D7" s="784"/>
      <c r="E7" s="469"/>
    </row>
    <row r="8" spans="2:5" ht="12.75" customHeight="1" thickBot="1">
      <c r="B8" s="771" t="s">
        <v>58</v>
      </c>
      <c r="C8" s="772"/>
      <c r="D8" s="772"/>
      <c r="E8" s="469"/>
    </row>
    <row r="9" spans="2:5">
      <c r="B9" s="758" t="s">
        <v>59</v>
      </c>
      <c r="C9" s="52" t="s">
        <v>411</v>
      </c>
      <c r="D9" s="785" t="s">
        <v>80</v>
      </c>
      <c r="E9" s="469"/>
    </row>
    <row r="10" spans="2:5">
      <c r="B10" s="765"/>
      <c r="C10" s="29"/>
      <c r="D10" s="786"/>
      <c r="E10" s="469"/>
    </row>
    <row r="11" spans="2:5">
      <c r="B11" s="765"/>
      <c r="C11" s="29" t="s">
        <v>400</v>
      </c>
      <c r="D11" s="786"/>
      <c r="E11" s="469"/>
    </row>
    <row r="12" spans="2:5">
      <c r="B12" s="765"/>
      <c r="C12" s="29" t="s">
        <v>455</v>
      </c>
      <c r="D12" s="786"/>
      <c r="E12" s="469"/>
    </row>
    <row r="13" spans="2:5">
      <c r="B13" s="765"/>
      <c r="C13" s="29" t="s">
        <v>416</v>
      </c>
      <c r="D13" s="786"/>
      <c r="E13" s="469"/>
    </row>
    <row r="14" spans="2:5" ht="13.2" thickBot="1">
      <c r="B14" s="766"/>
      <c r="C14" s="53"/>
      <c r="D14" s="787"/>
      <c r="E14" s="469"/>
    </row>
    <row r="15" spans="2:5" ht="16.8" thickBot="1">
      <c r="B15" s="771" t="s">
        <v>60</v>
      </c>
      <c r="C15" s="772"/>
      <c r="D15" s="772"/>
      <c r="E15" s="469"/>
    </row>
    <row r="16" spans="2:5" ht="24.45" customHeight="1" thickBot="1">
      <c r="B16" s="138" t="s">
        <v>81</v>
      </c>
      <c r="C16" s="34" t="s">
        <v>61</v>
      </c>
      <c r="D16" s="481" t="s">
        <v>57</v>
      </c>
      <c r="E16" s="469"/>
    </row>
    <row r="17" spans="2:11" ht="16.8" thickBot="1">
      <c r="B17" s="771" t="s">
        <v>62</v>
      </c>
      <c r="C17" s="772"/>
      <c r="D17" s="772"/>
      <c r="E17" s="469"/>
    </row>
    <row r="18" spans="2:11">
      <c r="B18" s="758" t="s">
        <v>143</v>
      </c>
      <c r="C18" s="83" t="s">
        <v>412</v>
      </c>
      <c r="D18" s="774" t="s">
        <v>375</v>
      </c>
      <c r="E18" s="469"/>
    </row>
    <row r="19" spans="2:11">
      <c r="B19" s="762"/>
      <c r="C19" s="88"/>
      <c r="D19" s="775"/>
      <c r="E19" s="469"/>
    </row>
    <row r="20" spans="2:11" ht="13.2" thickBot="1">
      <c r="B20" s="762"/>
      <c r="C20" s="88" t="s">
        <v>441</v>
      </c>
      <c r="D20" s="776"/>
      <c r="E20" s="469"/>
      <c r="H20" s="98"/>
      <c r="I20" s="98"/>
      <c r="J20" s="98"/>
      <c r="K20" s="98"/>
    </row>
    <row r="21" spans="2:11" ht="13.5" customHeight="1">
      <c r="B21" s="762"/>
      <c r="C21" s="88" t="s">
        <v>440</v>
      </c>
      <c r="D21" s="777" t="s">
        <v>376</v>
      </c>
      <c r="E21" s="469"/>
    </row>
    <row r="22" spans="2:11" ht="13.2" thickBot="1">
      <c r="B22" s="763"/>
      <c r="C22" s="88" t="s">
        <v>439</v>
      </c>
      <c r="D22" s="778"/>
      <c r="E22" s="469"/>
    </row>
    <row r="23" spans="2:11">
      <c r="B23" s="758" t="s">
        <v>144</v>
      </c>
      <c r="C23" s="89" t="s">
        <v>63</v>
      </c>
      <c r="D23" s="482" t="s">
        <v>82</v>
      </c>
      <c r="E23" s="469"/>
    </row>
    <row r="24" spans="2:11" ht="12.75" customHeight="1">
      <c r="B24" s="762"/>
      <c r="C24" s="90"/>
      <c r="D24" s="483"/>
      <c r="E24" s="469"/>
    </row>
    <row r="25" spans="2:11">
      <c r="B25" s="762"/>
      <c r="C25" s="440" t="s">
        <v>330</v>
      </c>
      <c r="D25" s="484" t="s">
        <v>428</v>
      </c>
      <c r="E25" s="469"/>
      <c r="J25" s="98"/>
      <c r="K25" s="98"/>
    </row>
    <row r="26" spans="2:11">
      <c r="B26" s="762"/>
      <c r="C26" s="440" t="s">
        <v>430</v>
      </c>
      <c r="D26" s="484" t="s">
        <v>426</v>
      </c>
      <c r="E26" s="469"/>
    </row>
    <row r="27" spans="2:11">
      <c r="B27" s="762"/>
      <c r="C27" s="440" t="s">
        <v>429</v>
      </c>
      <c r="D27" s="484" t="s">
        <v>427</v>
      </c>
      <c r="E27" s="469"/>
    </row>
    <row r="28" spans="2:11" ht="13.2" thickBot="1">
      <c r="B28" s="763"/>
      <c r="C28" s="91"/>
      <c r="D28" s="485"/>
      <c r="E28" s="469"/>
    </row>
    <row r="29" spans="2:11" ht="13.5" customHeight="1">
      <c r="B29" s="758" t="s">
        <v>145</v>
      </c>
      <c r="C29" s="745" t="s">
        <v>64</v>
      </c>
      <c r="D29" s="755" t="s">
        <v>57</v>
      </c>
      <c r="E29" s="469"/>
    </row>
    <row r="30" spans="2:11">
      <c r="B30" s="759"/>
      <c r="C30" s="746"/>
      <c r="D30" s="756"/>
      <c r="E30" s="469"/>
    </row>
    <row r="31" spans="2:11" ht="13.2" thickBot="1">
      <c r="B31" s="760"/>
      <c r="C31" s="747"/>
      <c r="D31" s="757"/>
      <c r="E31" s="469"/>
    </row>
    <row r="32" spans="2:11" ht="16.8" thickBot="1">
      <c r="B32" s="771" t="s">
        <v>65</v>
      </c>
      <c r="C32" s="772"/>
      <c r="D32" s="772"/>
      <c r="E32" s="469"/>
      <c r="H32" s="98"/>
    </row>
    <row r="33" spans="2:11">
      <c r="B33" s="761" t="s">
        <v>83</v>
      </c>
      <c r="C33" s="31" t="s">
        <v>413</v>
      </c>
      <c r="D33" s="486" t="s">
        <v>88</v>
      </c>
      <c r="E33" s="469"/>
    </row>
    <row r="34" spans="2:11">
      <c r="B34" s="762"/>
      <c r="C34" s="54" t="s">
        <v>84</v>
      </c>
      <c r="D34" s="487" t="s">
        <v>420</v>
      </c>
      <c r="E34" s="469"/>
    </row>
    <row r="35" spans="2:11">
      <c r="B35" s="762"/>
      <c r="C35" s="55"/>
      <c r="D35" s="487"/>
      <c r="E35" s="469"/>
    </row>
    <row r="36" spans="2:11">
      <c r="B36" s="762"/>
      <c r="C36" s="54" t="s">
        <v>85</v>
      </c>
      <c r="D36" s="487" t="s">
        <v>421</v>
      </c>
      <c r="E36" s="469"/>
    </row>
    <row r="37" spans="2:11">
      <c r="B37" s="762"/>
      <c r="C37" s="54" t="s">
        <v>86</v>
      </c>
      <c r="D37" s="487" t="s">
        <v>422</v>
      </c>
      <c r="E37" s="469"/>
    </row>
    <row r="38" spans="2:11" ht="13.2" thickBot="1">
      <c r="B38" s="763"/>
      <c r="C38" s="56" t="s">
        <v>87</v>
      </c>
      <c r="D38" s="488" t="s">
        <v>423</v>
      </c>
      <c r="E38" s="469"/>
    </row>
    <row r="39" spans="2:11" ht="12.75" customHeight="1">
      <c r="B39" s="761" t="s">
        <v>434</v>
      </c>
      <c r="C39" s="745" t="s">
        <v>89</v>
      </c>
      <c r="D39" s="482" t="s">
        <v>331</v>
      </c>
      <c r="E39" s="469"/>
      <c r="G39" s="144"/>
      <c r="K39" s="145"/>
    </row>
    <row r="40" spans="2:11" s="288" customFormat="1" ht="12.75" customHeight="1">
      <c r="B40" s="769"/>
      <c r="C40" s="746"/>
      <c r="D40" s="489"/>
      <c r="E40" s="469"/>
      <c r="G40" s="144"/>
      <c r="K40" s="145"/>
    </row>
    <row r="41" spans="2:11" s="98" customFormat="1" ht="12.75" customHeight="1">
      <c r="B41" s="769"/>
      <c r="C41" s="754"/>
      <c r="D41" s="490" t="s">
        <v>435</v>
      </c>
      <c r="E41" s="469"/>
      <c r="G41" s="144"/>
      <c r="H41"/>
      <c r="I41" s="145"/>
      <c r="J41"/>
      <c r="K41"/>
    </row>
    <row r="42" spans="2:11" s="98" customFormat="1" ht="12.75" customHeight="1">
      <c r="B42" s="769"/>
      <c r="C42" s="754"/>
      <c r="D42" s="490" t="s">
        <v>436</v>
      </c>
      <c r="E42" s="469"/>
      <c r="G42" s="144"/>
      <c r="H42"/>
      <c r="I42"/>
      <c r="J42" s="145"/>
      <c r="K42"/>
    </row>
    <row r="43" spans="2:11" ht="13.2">
      <c r="B43" s="769"/>
      <c r="C43" s="754"/>
      <c r="D43" s="490" t="s">
        <v>437</v>
      </c>
      <c r="E43" s="469"/>
      <c r="G43" s="144"/>
      <c r="I43" s="145"/>
    </row>
    <row r="44" spans="2:11" ht="13.2" thickBot="1">
      <c r="B44" s="773"/>
      <c r="C44" s="767"/>
      <c r="D44" s="491"/>
      <c r="E44" s="469"/>
      <c r="G44" s="146"/>
    </row>
    <row r="45" spans="2:11" ht="16.8" thickBot="1">
      <c r="B45" s="771" t="s">
        <v>66</v>
      </c>
      <c r="C45" s="772"/>
      <c r="D45" s="772"/>
      <c r="E45" s="469"/>
    </row>
    <row r="46" spans="2:11" ht="25.8" thickBot="1">
      <c r="B46" s="61" t="s">
        <v>90</v>
      </c>
      <c r="C46" s="30" t="s">
        <v>91</v>
      </c>
      <c r="D46" s="492" t="s">
        <v>142</v>
      </c>
      <c r="E46" s="469"/>
    </row>
    <row r="47" spans="2:11" ht="16.8" thickBot="1">
      <c r="B47" s="771" t="s">
        <v>92</v>
      </c>
      <c r="C47" s="772"/>
      <c r="D47" s="772"/>
      <c r="E47" s="469"/>
    </row>
    <row r="48" spans="2:11">
      <c r="B48" s="758" t="s">
        <v>67</v>
      </c>
      <c r="C48" s="476" t="s">
        <v>191</v>
      </c>
      <c r="D48" s="742" t="s">
        <v>95</v>
      </c>
      <c r="E48" s="469"/>
    </row>
    <row r="49" spans="2:10" ht="12.75" customHeight="1">
      <c r="B49" s="764"/>
      <c r="C49" s="477" t="s">
        <v>524</v>
      </c>
      <c r="D49" s="768"/>
      <c r="E49" s="469"/>
    </row>
    <row r="50" spans="2:10">
      <c r="B50" s="765" t="s">
        <v>93</v>
      </c>
      <c r="C50" s="478"/>
      <c r="D50" s="756"/>
      <c r="E50" s="469"/>
    </row>
    <row r="51" spans="2:10" ht="13.5" customHeight="1">
      <c r="B51" s="762"/>
      <c r="C51" s="479" t="s">
        <v>94</v>
      </c>
      <c r="D51" s="756"/>
      <c r="E51" s="469"/>
    </row>
    <row r="52" spans="2:10" ht="12.75" customHeight="1" thickBot="1">
      <c r="B52" s="763"/>
      <c r="C52" s="480" t="s">
        <v>525</v>
      </c>
      <c r="D52" s="756"/>
      <c r="E52" s="469"/>
    </row>
    <row r="53" spans="2:10">
      <c r="B53" s="758" t="s">
        <v>68</v>
      </c>
      <c r="C53" s="198" t="s">
        <v>185</v>
      </c>
      <c r="D53" s="756"/>
      <c r="E53" s="469"/>
    </row>
    <row r="54" spans="2:10">
      <c r="B54" s="764"/>
      <c r="C54" s="92" t="s">
        <v>526</v>
      </c>
      <c r="D54" s="756"/>
      <c r="E54" s="469"/>
    </row>
    <row r="55" spans="2:10">
      <c r="B55" s="765" t="s">
        <v>146</v>
      </c>
      <c r="C55" s="93"/>
      <c r="D55" s="756"/>
      <c r="E55" s="469"/>
    </row>
    <row r="56" spans="2:10">
      <c r="B56" s="762"/>
      <c r="C56" s="92" t="s">
        <v>96</v>
      </c>
      <c r="D56" s="756"/>
      <c r="E56" s="469"/>
    </row>
    <row r="57" spans="2:10" ht="13.2" thickBot="1">
      <c r="B57" s="763"/>
      <c r="C57" s="94" t="s">
        <v>527</v>
      </c>
      <c r="D57" s="756"/>
      <c r="E57" s="469"/>
    </row>
    <row r="58" spans="2:10">
      <c r="B58" s="758" t="s">
        <v>97</v>
      </c>
      <c r="C58" s="198" t="s">
        <v>186</v>
      </c>
      <c r="D58" s="756"/>
      <c r="E58" s="469"/>
    </row>
    <row r="59" spans="2:10">
      <c r="B59" s="765"/>
      <c r="C59" s="93" t="s">
        <v>88</v>
      </c>
      <c r="D59" s="756"/>
      <c r="E59" s="469"/>
    </row>
    <row r="60" spans="2:10" ht="13.2" thickBot="1">
      <c r="B60" s="766"/>
      <c r="C60" s="94" t="s">
        <v>603</v>
      </c>
      <c r="D60" s="757"/>
      <c r="E60" s="469"/>
    </row>
    <row r="61" spans="2:10">
      <c r="B61" s="758" t="s">
        <v>69</v>
      </c>
      <c r="C61" s="199" t="s">
        <v>187</v>
      </c>
      <c r="D61" s="742" t="s">
        <v>98</v>
      </c>
      <c r="E61" s="469"/>
      <c r="F61" s="288"/>
      <c r="G61" s="98"/>
      <c r="H61" s="98"/>
      <c r="I61" s="98"/>
      <c r="J61" s="98"/>
    </row>
    <row r="62" spans="2:10" ht="22.5" customHeight="1">
      <c r="B62" s="765"/>
      <c r="C62" s="57"/>
      <c r="D62" s="756"/>
      <c r="E62" s="469"/>
      <c r="F62" s="288"/>
      <c r="G62" s="98"/>
      <c r="H62" s="98"/>
      <c r="I62" s="98"/>
      <c r="J62" s="98"/>
    </row>
    <row r="63" spans="2:10" ht="13.2" thickBot="1">
      <c r="B63" s="766"/>
      <c r="C63" s="320" t="s">
        <v>528</v>
      </c>
      <c r="D63" s="756"/>
      <c r="E63" s="469"/>
      <c r="F63" s="288"/>
      <c r="G63" s="98"/>
      <c r="H63" s="98"/>
      <c r="I63" s="98"/>
      <c r="J63" s="98"/>
    </row>
    <row r="64" spans="2:10">
      <c r="B64" s="758" t="s">
        <v>99</v>
      </c>
      <c r="C64" s="199" t="s">
        <v>188</v>
      </c>
      <c r="D64" s="756"/>
      <c r="E64" s="469"/>
      <c r="F64" s="288"/>
      <c r="G64" s="98"/>
      <c r="H64" s="98"/>
      <c r="I64" s="98"/>
      <c r="J64" s="98"/>
    </row>
    <row r="65" spans="2:11">
      <c r="B65" s="765"/>
      <c r="C65" s="57"/>
      <c r="D65" s="756"/>
      <c r="E65" s="469"/>
      <c r="F65" s="288"/>
      <c r="G65" s="98"/>
      <c r="H65" s="98"/>
      <c r="I65" s="98"/>
      <c r="J65" s="98"/>
    </row>
    <row r="66" spans="2:11" ht="13.2" thickBot="1">
      <c r="B66" s="766"/>
      <c r="C66" s="346" t="s">
        <v>529</v>
      </c>
      <c r="D66" s="756"/>
      <c r="E66" s="469"/>
      <c r="F66" s="288"/>
    </row>
    <row r="67" spans="2:11">
      <c r="B67" s="758" t="s">
        <v>147</v>
      </c>
      <c r="C67" s="199" t="s">
        <v>189</v>
      </c>
      <c r="D67" s="756"/>
      <c r="E67" s="469"/>
      <c r="F67" s="288"/>
    </row>
    <row r="68" spans="2:11">
      <c r="B68" s="765"/>
      <c r="C68" s="57"/>
      <c r="D68" s="756"/>
      <c r="E68" s="469"/>
      <c r="F68" s="288"/>
    </row>
    <row r="69" spans="2:11" ht="13.5" customHeight="1" thickBot="1">
      <c r="B69" s="766"/>
      <c r="C69" s="320" t="s">
        <v>530</v>
      </c>
      <c r="D69" s="756"/>
      <c r="E69" s="469"/>
      <c r="F69" s="288"/>
    </row>
    <row r="70" spans="2:11">
      <c r="B70" s="758" t="s">
        <v>100</v>
      </c>
      <c r="C70" s="199" t="s">
        <v>190</v>
      </c>
      <c r="D70" s="756"/>
      <c r="E70" s="469"/>
      <c r="F70" s="288"/>
    </row>
    <row r="71" spans="2:11">
      <c r="B71" s="765"/>
      <c r="C71" s="57"/>
      <c r="D71" s="756"/>
      <c r="E71" s="469"/>
      <c r="F71" s="288"/>
    </row>
    <row r="72" spans="2:11" ht="13.2" thickBot="1">
      <c r="B72" s="766"/>
      <c r="C72" s="320" t="s">
        <v>531</v>
      </c>
      <c r="D72" s="757"/>
      <c r="E72" s="469"/>
      <c r="F72" s="288"/>
    </row>
    <row r="73" spans="2:11" ht="37.5" customHeight="1">
      <c r="B73" s="779" t="s">
        <v>101</v>
      </c>
      <c r="C73" s="748" t="s">
        <v>340</v>
      </c>
      <c r="D73" s="742"/>
      <c r="E73" s="469"/>
      <c r="F73" s="288"/>
    </row>
    <row r="74" spans="2:11">
      <c r="B74" s="780"/>
      <c r="C74" s="749"/>
      <c r="D74" s="743"/>
      <c r="E74" s="469"/>
      <c r="F74" s="288"/>
    </row>
    <row r="75" spans="2:11">
      <c r="B75" s="780"/>
      <c r="C75" s="750" t="s">
        <v>102</v>
      </c>
      <c r="D75" s="743"/>
      <c r="E75" s="469"/>
      <c r="F75" s="288"/>
    </row>
    <row r="76" spans="2:11" ht="13.5" customHeight="1">
      <c r="B76" s="780"/>
      <c r="C76" s="751"/>
      <c r="D76" s="743"/>
      <c r="E76" s="469"/>
      <c r="F76" s="288"/>
      <c r="K76" s="25"/>
    </row>
    <row r="77" spans="2:11">
      <c r="B77" s="780"/>
      <c r="C77" s="750" t="s">
        <v>341</v>
      </c>
      <c r="D77" s="743"/>
      <c r="E77" s="469"/>
      <c r="F77" s="288"/>
    </row>
    <row r="78" spans="2:11" ht="13.2" thickBot="1">
      <c r="B78" s="781"/>
      <c r="C78" s="752"/>
      <c r="D78" s="743"/>
      <c r="E78" s="469"/>
      <c r="F78" s="288"/>
    </row>
    <row r="79" spans="2:11" ht="22.2" thickBot="1">
      <c r="B79" s="769" t="s">
        <v>103</v>
      </c>
      <c r="C79" s="95" t="s">
        <v>342</v>
      </c>
      <c r="D79" s="743"/>
      <c r="E79" s="469"/>
      <c r="F79" s="288"/>
    </row>
    <row r="80" spans="2:11">
      <c r="B80" s="764"/>
      <c r="C80" s="753" t="s">
        <v>381</v>
      </c>
      <c r="D80" s="743"/>
      <c r="E80" s="469"/>
      <c r="F80" s="288"/>
    </row>
    <row r="81" spans="2:9" ht="36.450000000000003" customHeight="1" thickBot="1">
      <c r="B81" s="764"/>
      <c r="C81" s="754"/>
      <c r="D81" s="743"/>
      <c r="E81" s="469"/>
      <c r="F81" s="288"/>
    </row>
    <row r="82" spans="2:9">
      <c r="B82" s="764"/>
      <c r="C82" s="740" t="s">
        <v>380</v>
      </c>
      <c r="D82" s="743"/>
      <c r="E82" s="469"/>
      <c r="F82" s="288"/>
    </row>
    <row r="83" spans="2:9" ht="28.95" customHeight="1" thickBot="1">
      <c r="B83" s="770"/>
      <c r="C83" s="741"/>
      <c r="D83" s="744"/>
      <c r="E83" s="469"/>
    </row>
    <row r="84" spans="2:9" ht="13.2" thickBot="1"/>
    <row r="85" spans="2:9" s="667" customFormat="1" ht="13.2" thickBot="1">
      <c r="B85" s="672"/>
    </row>
    <row r="87" spans="2:9">
      <c r="B87" s="25" t="s">
        <v>104</v>
      </c>
    </row>
    <row r="88" spans="2:9">
      <c r="B88" s="25" t="s">
        <v>105</v>
      </c>
    </row>
    <row r="89" spans="2:9">
      <c r="B89" s="25" t="s">
        <v>397</v>
      </c>
    </row>
    <row r="90" spans="2:9">
      <c r="B90" s="135" t="s">
        <v>431</v>
      </c>
      <c r="C90" s="288"/>
      <c r="D90" s="152"/>
      <c r="I90" s="137"/>
    </row>
    <row r="91" spans="2:9">
      <c r="B91" s="25" t="s">
        <v>398</v>
      </c>
      <c r="I91" s="137"/>
    </row>
    <row r="92" spans="2:9">
      <c r="B92" s="25" t="s">
        <v>433</v>
      </c>
      <c r="C92" s="135" t="s">
        <v>432</v>
      </c>
      <c r="F92" s="364"/>
      <c r="I92" s="137"/>
    </row>
    <row r="93" spans="2:9">
      <c r="B93" s="25" t="s">
        <v>321</v>
      </c>
    </row>
    <row r="94" spans="2:9">
      <c r="B94" s="25" t="s">
        <v>332</v>
      </c>
    </row>
    <row r="95" spans="2:9">
      <c r="B95" s="25" t="s">
        <v>141</v>
      </c>
    </row>
    <row r="96" spans="2:9">
      <c r="B96" s="25" t="s">
        <v>343</v>
      </c>
      <c r="C96" t="s">
        <v>438</v>
      </c>
    </row>
    <row r="97" spans="2:4">
      <c r="B97" s="350" t="s">
        <v>379</v>
      </c>
    </row>
    <row r="98" spans="2:4">
      <c r="D98" t="s">
        <v>88</v>
      </c>
    </row>
  </sheetData>
  <sortState xmlns:xlrd2="http://schemas.microsoft.com/office/spreadsheetml/2017/richdata2" ref="B6:E10">
    <sortCondition descending="1" ref="E6:E10"/>
  </sortState>
  <mergeCells count="41">
    <mergeCell ref="B5:D5"/>
    <mergeCell ref="C6:C7"/>
    <mergeCell ref="B8:D8"/>
    <mergeCell ref="B15:D15"/>
    <mergeCell ref="B9:B14"/>
    <mergeCell ref="D6:D7"/>
    <mergeCell ref="D9:D14"/>
    <mergeCell ref="B79:B83"/>
    <mergeCell ref="B18:B22"/>
    <mergeCell ref="B23:B28"/>
    <mergeCell ref="B6:B7"/>
    <mergeCell ref="B17:D17"/>
    <mergeCell ref="B39:B44"/>
    <mergeCell ref="B45:D45"/>
    <mergeCell ref="B47:D47"/>
    <mergeCell ref="B58:B60"/>
    <mergeCell ref="D18:D20"/>
    <mergeCell ref="D21:D22"/>
    <mergeCell ref="B73:B78"/>
    <mergeCell ref="B70:B72"/>
    <mergeCell ref="B32:D32"/>
    <mergeCell ref="B61:B63"/>
    <mergeCell ref="B64:B66"/>
    <mergeCell ref="B67:B69"/>
    <mergeCell ref="D61:D72"/>
    <mergeCell ref="C39:C44"/>
    <mergeCell ref="D48:D60"/>
    <mergeCell ref="B55:B57"/>
    <mergeCell ref="B29:B31"/>
    <mergeCell ref="B33:B38"/>
    <mergeCell ref="B48:B49"/>
    <mergeCell ref="B50:B52"/>
    <mergeCell ref="B53:B54"/>
    <mergeCell ref="C82:C83"/>
    <mergeCell ref="D73:D83"/>
    <mergeCell ref="C29:C31"/>
    <mergeCell ref="C73:C74"/>
    <mergeCell ref="C75:C76"/>
    <mergeCell ref="C77:C78"/>
    <mergeCell ref="C80:C81"/>
    <mergeCell ref="D29:D31"/>
  </mergeCells>
  <hyperlinks>
    <hyperlink ref="B87" location="_ftnref1" display="_ftnref1" xr:uid="{00000000-0004-0000-0300-000000000000}"/>
    <hyperlink ref="B88" location="_ftnref2" display="_ftnref2" xr:uid="{00000000-0004-0000-0300-000001000000}"/>
    <hyperlink ref="B91" location="_ftnref5" display="_ftnref5" xr:uid="{00000000-0004-0000-0300-000003000000}"/>
    <hyperlink ref="B93" location="_ftnref6" display="_ftnref6" xr:uid="{00000000-0004-0000-0300-000004000000}"/>
    <hyperlink ref="B94" location="Outputs!_ftnref7" display="[8] The baseline assumed 33.7GW of generation would connect during the 8-year period, which was based on an energy outlook premised on the 2012 Gone Green scenario and NGET’s 2012 Business Plan. This value is reflected in Table 1 of  special licence condition 6F (Baseline Generation Connections Outputs and Generation Connections volume driver) " xr:uid="{00000000-0004-0000-0300-000005000000}"/>
    <hyperlink ref="B95" location="_ftnref8" display="_ftnref8" xr:uid="{00000000-0004-0000-0300-000006000000}"/>
    <hyperlink ref="B92" r:id="rId1" xr:uid="{4E7702E8-E790-4DF7-9966-B93706E62441}"/>
    <hyperlink ref="B96" r:id="rId2" xr:uid="{FF2014E6-C775-427F-94CF-6857C01B2145}"/>
    <hyperlink ref="B89" location="_ftnref3" display="_ftnref3" xr:uid="{00000000-0004-0000-0300-000002000000}"/>
    <hyperlink ref="B90" r:id="rId3" display="https://www.ofgem.gov.uk/publications/decision-riio-t1-environmental-discretionary-reward-scheme-2020-21" xr:uid="{FD81C54A-E28B-45EE-98D1-B3020FDAAD18}"/>
    <hyperlink ref="C92" r:id="rId4" display="https://www.ofgem.gov.uk/sites/default/files/2021-11/2020-21 Decision Letter SEI.pdf" xr:uid="{8691EF5A-A7C4-4918-91A6-CF71D463277A}"/>
  </hyperlinks>
  <pageMargins left="0.7" right="0.7" top="0.75" bottom="0.75" header="0.3" footer="0.3"/>
  <pageSetup paperSize="9"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autoPageBreaks="0"/>
  </sheetPr>
  <dimension ref="B2:AI135"/>
  <sheetViews>
    <sheetView topLeftCell="A85" zoomScale="39" zoomScaleNormal="148" workbookViewId="0">
      <selection activeCell="U66" sqref="U66"/>
    </sheetView>
  </sheetViews>
  <sheetFormatPr defaultRowHeight="12.6"/>
  <cols>
    <col min="2" max="2" width="20.81640625" customWidth="1"/>
    <col min="3" max="3" width="18" customWidth="1"/>
    <col min="4" max="4" width="11.81640625" customWidth="1"/>
    <col min="5" max="5" width="10.08984375" customWidth="1"/>
    <col min="6" max="6" width="10.453125" style="85" customWidth="1"/>
    <col min="7" max="7" width="10.453125" style="288" customWidth="1"/>
    <col min="8" max="8" width="11" customWidth="1"/>
    <col min="9" max="9" width="10.6328125" customWidth="1"/>
    <col min="10" max="10" width="11" customWidth="1"/>
    <col min="12" max="12" width="10.81640625" bestFit="1" customWidth="1"/>
    <col min="14" max="14" width="11.7265625" customWidth="1"/>
    <col min="15" max="15" width="11.7265625" style="85" customWidth="1"/>
    <col min="16" max="16" width="9" style="85"/>
    <col min="17" max="17" width="10.453125" bestFit="1" customWidth="1"/>
    <col min="19" max="19" width="21.81640625" customWidth="1"/>
    <col min="20" max="20" width="11.6328125" customWidth="1"/>
    <col min="21" max="21" width="14.90625" customWidth="1"/>
    <col min="22" max="22" width="10.7265625" customWidth="1"/>
    <col min="23" max="23" width="10.453125" customWidth="1"/>
    <col min="24" max="24" width="10.453125" bestFit="1" customWidth="1"/>
  </cols>
  <sheetData>
    <row r="2" spans="3:34">
      <c r="C2" s="85"/>
      <c r="D2" s="85"/>
      <c r="E2" s="85"/>
      <c r="H2" s="85"/>
      <c r="I2" s="85"/>
      <c r="J2" s="70"/>
      <c r="K2" s="70"/>
      <c r="L2" s="70"/>
      <c r="M2" s="70"/>
      <c r="N2" s="70"/>
      <c r="O2" s="70"/>
      <c r="P2" s="70"/>
      <c r="Q2" s="70"/>
    </row>
    <row r="3" spans="3:34" ht="13.2" thickBot="1">
      <c r="C3" s="23" t="s">
        <v>320</v>
      </c>
      <c r="I3" s="85"/>
      <c r="J3" s="74"/>
      <c r="K3" s="70"/>
      <c r="Y3" s="1" t="s">
        <v>537</v>
      </c>
      <c r="Z3" s="70"/>
      <c r="AA3" s="70"/>
      <c r="AB3" s="70"/>
      <c r="AC3" s="70"/>
      <c r="AD3" s="70"/>
    </row>
    <row r="4" spans="3:34" ht="14.4">
      <c r="C4" s="376"/>
      <c r="D4" s="424" t="s">
        <v>112</v>
      </c>
      <c r="E4" s="424" t="s">
        <v>113</v>
      </c>
      <c r="F4" s="424" t="s">
        <v>131</v>
      </c>
      <c r="G4" s="424" t="s">
        <v>333</v>
      </c>
      <c r="H4" s="424" t="s">
        <v>414</v>
      </c>
      <c r="I4" s="424" t="s">
        <v>114</v>
      </c>
      <c r="J4" s="75"/>
      <c r="K4" s="183"/>
      <c r="Y4" s="183"/>
      <c r="Z4" s="183"/>
      <c r="AA4" s="668">
        <v>2014</v>
      </c>
      <c r="AB4" s="669">
        <v>2015</v>
      </c>
      <c r="AC4" s="669">
        <v>2016</v>
      </c>
      <c r="AD4" s="669">
        <v>2017</v>
      </c>
      <c r="AE4" s="669">
        <v>2018</v>
      </c>
      <c r="AF4" s="669">
        <v>2019</v>
      </c>
      <c r="AG4" s="669">
        <v>2020</v>
      </c>
      <c r="AH4" s="669">
        <v>2021</v>
      </c>
    </row>
    <row r="5" spans="3:34" ht="13.95" customHeight="1">
      <c r="C5" s="425" t="s">
        <v>172</v>
      </c>
      <c r="D5" s="426"/>
      <c r="E5" s="426"/>
      <c r="F5" s="426"/>
      <c r="G5" s="426"/>
      <c r="H5" s="799"/>
      <c r="I5" s="800"/>
      <c r="J5" s="70"/>
      <c r="K5" s="70"/>
      <c r="Y5" s="183"/>
      <c r="Z5" s="183"/>
      <c r="AA5" s="788" t="s">
        <v>523</v>
      </c>
      <c r="AB5" s="789"/>
      <c r="AC5" s="789"/>
      <c r="AD5" s="789"/>
      <c r="AE5" s="789"/>
      <c r="AF5" s="789"/>
      <c r="AG5" s="789"/>
      <c r="AH5" s="790"/>
    </row>
    <row r="6" spans="3:34" ht="32.25" customHeight="1" thickBot="1">
      <c r="C6" s="61" t="s">
        <v>111</v>
      </c>
      <c r="D6" s="96">
        <f>'[3]2.5_Outputs'!$F$34</f>
        <v>7.9</v>
      </c>
      <c r="E6" s="96">
        <f>'[3]2.5_Outputs'!$G$34</f>
        <v>8.3000000000000007</v>
      </c>
      <c r="F6" s="96">
        <f>'[3]2.5_Outputs'!$H$34</f>
        <v>8.5</v>
      </c>
      <c r="G6" s="96">
        <f>'[3]2.5_Outputs'!$I$34</f>
        <v>8.4</v>
      </c>
      <c r="H6" s="96">
        <f>'[3]2.5_Outputs'!$J$34</f>
        <v>8.6</v>
      </c>
      <c r="I6" s="810" t="s">
        <v>176</v>
      </c>
      <c r="Y6" s="70" t="s">
        <v>1</v>
      </c>
      <c r="Z6" s="70"/>
      <c r="AA6" s="670">
        <v>0.37616338930972981</v>
      </c>
      <c r="AB6" s="670">
        <v>0.59188241504974826</v>
      </c>
      <c r="AC6" s="670">
        <v>0.83799445135428297</v>
      </c>
      <c r="AD6" s="670">
        <v>1.7718485358759772</v>
      </c>
      <c r="AE6" s="670">
        <v>2.3883702527417836</v>
      </c>
      <c r="AF6" s="670">
        <v>1.9292626002870126</v>
      </c>
      <c r="AG6" s="670">
        <v>2.5545087284965984</v>
      </c>
      <c r="AH6" s="670">
        <v>2.1353145744166024</v>
      </c>
    </row>
    <row r="7" spans="3:34" ht="13.2" thickBot="1">
      <c r="C7" s="61" t="s">
        <v>70</v>
      </c>
      <c r="D7" s="96">
        <f>'[4]2.5_Outputs'!F35</f>
        <v>8.6999999999999993</v>
      </c>
      <c r="E7" s="96">
        <f>'[4]2.5_Outputs'!G35</f>
        <v>8</v>
      </c>
      <c r="F7" s="96">
        <f>'[4]2.5_Outputs'!H35</f>
        <v>8.1999999999999993</v>
      </c>
      <c r="G7" s="96">
        <f>'[4]2.5_Outputs'!I35</f>
        <v>8.4</v>
      </c>
      <c r="H7" s="96">
        <f>'[4]2.5_Outputs'!J35</f>
        <v>8.1999999999999993</v>
      </c>
      <c r="I7" s="811"/>
      <c r="Y7" s="454" t="s">
        <v>167</v>
      </c>
      <c r="AA7" s="670">
        <v>5.8612503560509941</v>
      </c>
      <c r="AB7" s="670">
        <v>6.7205148177020329</v>
      </c>
      <c r="AC7" s="670">
        <v>7.8393717444126683</v>
      </c>
      <c r="AD7" s="670">
        <v>8.6620041208513125</v>
      </c>
      <c r="AE7" s="670">
        <v>7.9710047346271944</v>
      </c>
      <c r="AF7" s="670">
        <v>9.821947456227301</v>
      </c>
      <c r="AG7" s="670">
        <v>13.429083714427609</v>
      </c>
      <c r="AH7" s="670">
        <v>14.869336358437566</v>
      </c>
    </row>
    <row r="8" spans="3:34" ht="12.75" customHeight="1" thickBot="1">
      <c r="C8" s="61" t="s">
        <v>167</v>
      </c>
      <c r="D8" s="178">
        <f>'[2]2.5_Outputs'!$F$31</f>
        <v>7.6609999999999996</v>
      </c>
      <c r="E8" s="178">
        <f>'[2]2.5_Outputs'!$G$31</f>
        <v>7.883</v>
      </c>
      <c r="F8" s="96">
        <f>'[5]2.5_Outputs'!$H$31</f>
        <v>7.9189999999999996</v>
      </c>
      <c r="G8" s="96">
        <f>'[2]2.5_Outputs'!$I$31</f>
        <v>8.6370000000000005</v>
      </c>
      <c r="H8" s="96">
        <f>'[2]2.5_Outputs'!$J$31</f>
        <v>8.8539999999999992</v>
      </c>
      <c r="I8" s="812"/>
      <c r="Y8" t="s">
        <v>50</v>
      </c>
      <c r="AA8" s="670">
        <v>0.36375248235637675</v>
      </c>
      <c r="AB8" s="670">
        <v>0.71882046184032211</v>
      </c>
      <c r="AC8" s="670">
        <v>0.93670052848562935</v>
      </c>
      <c r="AD8" s="670">
        <v>1.4206873107911457</v>
      </c>
      <c r="AE8" s="670">
        <v>-8.1559472276968678E-2</v>
      </c>
      <c r="AF8" s="670">
        <v>1.1338661845964535</v>
      </c>
      <c r="AG8" s="670">
        <v>2.6446351833837904</v>
      </c>
      <c r="AH8" s="670">
        <v>1.7574978347982944</v>
      </c>
    </row>
    <row r="9" spans="3:34" ht="13.2" thickBot="1">
      <c r="C9" s="61" t="s">
        <v>111</v>
      </c>
      <c r="D9" s="178">
        <f>'[3]2.5_Outputs'!F32</f>
        <v>77.040000000000006</v>
      </c>
      <c r="E9" s="178">
        <f>'[3]2.5_Outputs'!G32</f>
        <v>77.95</v>
      </c>
      <c r="F9" s="178">
        <f>'[3]2.5_Outputs'!H32</f>
        <v>70.67</v>
      </c>
      <c r="G9" s="178">
        <f>'[3]2.5_Outputs'!I32</f>
        <v>77.040599999999984</v>
      </c>
      <c r="H9" s="178">
        <f>'[3]2.5_Outputs'!J32</f>
        <v>76.740299999999991</v>
      </c>
      <c r="I9" s="85"/>
    </row>
    <row r="10" spans="3:34" ht="13.2" thickBot="1">
      <c r="C10" s="61" t="s">
        <v>50</v>
      </c>
      <c r="D10" s="184">
        <f>'[4]2.5_Outputs'!F33</f>
        <v>69</v>
      </c>
      <c r="E10" s="184">
        <f>'[4]2.5_Outputs'!G33</f>
        <v>76</v>
      </c>
      <c r="F10" s="184">
        <f>'[4]2.5_Outputs'!H33</f>
        <v>87</v>
      </c>
      <c r="G10" s="184">
        <f>'[4]2.5_Outputs'!I33</f>
        <v>87</v>
      </c>
      <c r="H10" s="184">
        <f>'[4]2.5_Outputs'!J33</f>
        <v>90</v>
      </c>
      <c r="I10" s="85"/>
    </row>
    <row r="11" spans="3:34" s="98" customFormat="1" ht="13.2" thickBot="1">
      <c r="C11" s="806" t="s">
        <v>171</v>
      </c>
      <c r="D11" s="807"/>
      <c r="E11" s="807"/>
      <c r="F11" s="807"/>
      <c r="G11" s="807"/>
      <c r="H11" s="813"/>
      <c r="L11"/>
      <c r="M11"/>
      <c r="N11"/>
      <c r="O11" s="85"/>
      <c r="P11" s="85"/>
      <c r="Q11"/>
      <c r="R11"/>
      <c r="S11"/>
      <c r="T11"/>
      <c r="U11"/>
    </row>
    <row r="12" spans="3:34" s="98" customFormat="1" ht="13.2" thickBot="1">
      <c r="C12" s="61" t="s">
        <v>111</v>
      </c>
      <c r="D12" s="178">
        <v>6.25</v>
      </c>
      <c r="E12" s="178">
        <v>6.4</v>
      </c>
      <c r="F12" s="178">
        <v>4.9000000000000004</v>
      </c>
      <c r="G12" s="443">
        <v>5.94</v>
      </c>
      <c r="H12" s="452">
        <v>6.4</v>
      </c>
      <c r="I12" s="814" t="s">
        <v>175</v>
      </c>
    </row>
    <row r="13" spans="3:34" s="98" customFormat="1" ht="13.2" thickBot="1">
      <c r="C13" s="61" t="s">
        <v>50</v>
      </c>
      <c r="D13" s="178">
        <v>5.4</v>
      </c>
      <c r="E13" s="178">
        <v>3.25</v>
      </c>
      <c r="F13" s="178">
        <v>4.0599999999999996</v>
      </c>
      <c r="G13" s="443">
        <v>6.55</v>
      </c>
      <c r="H13" s="453">
        <v>6.34</v>
      </c>
      <c r="I13" s="815"/>
    </row>
    <row r="14" spans="3:34" ht="13.2" thickBot="1">
      <c r="C14" s="61" t="s">
        <v>167</v>
      </c>
      <c r="D14" s="178">
        <v>7</v>
      </c>
      <c r="E14" s="178">
        <v>5.0999999999999996</v>
      </c>
      <c r="F14" s="178">
        <v>5.54</v>
      </c>
      <c r="G14" s="443">
        <v>5.91</v>
      </c>
      <c r="H14" s="453">
        <v>5.46</v>
      </c>
      <c r="I14" s="816"/>
      <c r="L14" s="98"/>
      <c r="M14" s="98"/>
      <c r="N14" s="98"/>
      <c r="O14" s="98"/>
      <c r="P14" s="98"/>
      <c r="Q14" s="98"/>
      <c r="R14" s="98"/>
      <c r="S14" s="98"/>
      <c r="T14" s="98"/>
      <c r="U14" s="98"/>
    </row>
    <row r="15" spans="3:34" ht="16.5" customHeight="1" thickBot="1">
      <c r="C15" s="806" t="s">
        <v>173</v>
      </c>
      <c r="D15" s="807"/>
      <c r="E15" s="807"/>
      <c r="F15" s="807"/>
      <c r="G15" s="807"/>
      <c r="H15" s="808"/>
      <c r="V15" s="132"/>
      <c r="W15" s="132"/>
      <c r="X15" s="132"/>
      <c r="Y15" s="132"/>
    </row>
    <row r="16" spans="3:34" s="98" customFormat="1" ht="16.5" customHeight="1" thickBot="1">
      <c r="C16" s="61" t="s">
        <v>174</v>
      </c>
      <c r="D16" s="181">
        <f>'[2]6.1_NGET_customer_satisfaction'!$H$10</f>
        <v>7.41</v>
      </c>
      <c r="E16" s="181">
        <f>'[2]6.1_NGET_customer_satisfaction'!$I$10</f>
        <v>7.7430000000000003</v>
      </c>
      <c r="F16" s="181">
        <f>'[2]6.1_NGET_customer_satisfaction'!$J$10</f>
        <v>7.9240000000000004</v>
      </c>
      <c r="G16" s="181">
        <f>'[2]6.1_NGET_customer_satisfaction'!$K$10</f>
        <v>8.2110000000000003</v>
      </c>
      <c r="H16" s="442">
        <f>'[2]6.1_NGET_customer_satisfaction'!$L$10</f>
        <v>8.3849999999999998</v>
      </c>
      <c r="I16" s="184" t="s">
        <v>177</v>
      </c>
      <c r="L16"/>
      <c r="M16"/>
      <c r="N16"/>
      <c r="O16" s="85"/>
      <c r="P16" s="85"/>
      <c r="Q16"/>
      <c r="R16"/>
      <c r="S16" s="133"/>
      <c r="T16" s="132"/>
      <c r="U16" s="132"/>
      <c r="V16" s="132"/>
      <c r="W16" s="132"/>
      <c r="X16" s="132"/>
      <c r="Y16" s="132"/>
    </row>
    <row r="17" spans="3:34" s="98" customFormat="1" ht="16.5" customHeight="1">
      <c r="C17" s="179"/>
      <c r="D17" s="182"/>
      <c r="E17" s="182"/>
      <c r="F17" s="182"/>
      <c r="G17" s="182"/>
      <c r="H17" s="677" t="s">
        <v>319</v>
      </c>
      <c r="S17" s="133"/>
      <c r="T17" s="132"/>
      <c r="U17" s="132"/>
      <c r="V17" s="132"/>
      <c r="W17" s="132"/>
      <c r="X17" s="132"/>
      <c r="Y17" s="132"/>
    </row>
    <row r="18" spans="3:34" s="98" customFormat="1" ht="16.5" customHeight="1">
      <c r="C18" s="179"/>
      <c r="D18" s="182"/>
      <c r="E18" s="182"/>
      <c r="F18" s="182"/>
      <c r="G18" s="182"/>
      <c r="H18" s="180"/>
      <c r="S18" s="133"/>
      <c r="T18" s="132"/>
      <c r="U18" s="132"/>
      <c r="V18" s="132"/>
      <c r="W18" s="132"/>
      <c r="X18" s="132"/>
      <c r="Y18" s="132"/>
    </row>
    <row r="19" spans="3:34" ht="14.4">
      <c r="C19" s="23" t="s">
        <v>133</v>
      </c>
      <c r="H19" s="98"/>
      <c r="I19" s="98"/>
      <c r="J19" s="98"/>
      <c r="K19" s="98"/>
      <c r="L19" s="98"/>
      <c r="M19" s="98"/>
      <c r="N19" s="98"/>
      <c r="O19" s="98"/>
      <c r="P19" s="98"/>
      <c r="Q19" s="98"/>
      <c r="R19" s="98"/>
      <c r="S19" s="133"/>
      <c r="T19" s="132"/>
      <c r="U19" s="132"/>
      <c r="V19" s="42"/>
      <c r="W19" s="42"/>
      <c r="X19" s="42"/>
      <c r="Y19" s="42"/>
    </row>
    <row r="20" spans="3:34" ht="15" thickBot="1">
      <c r="C20" s="51"/>
      <c r="L20" s="98"/>
      <c r="M20" s="98"/>
      <c r="S20" s="134"/>
      <c r="T20" s="42"/>
      <c r="U20" s="42"/>
      <c r="V20" s="42"/>
    </row>
    <row r="21" spans="3:34" ht="15" thickBot="1">
      <c r="C21" s="58"/>
      <c r="D21" s="801" t="s">
        <v>106</v>
      </c>
      <c r="E21" s="802"/>
      <c r="F21" s="801" t="s">
        <v>107</v>
      </c>
      <c r="G21" s="809"/>
      <c r="H21" s="801" t="s">
        <v>108</v>
      </c>
      <c r="I21" s="802"/>
      <c r="J21" s="801" t="s">
        <v>109</v>
      </c>
      <c r="K21" s="802"/>
      <c r="L21" s="801" t="s">
        <v>110</v>
      </c>
      <c r="M21" s="802"/>
      <c r="N21" s="801" t="s">
        <v>130</v>
      </c>
      <c r="O21" s="802"/>
      <c r="P21" s="801" t="s">
        <v>230</v>
      </c>
      <c r="Q21" s="802"/>
      <c r="R21" s="801" t="s">
        <v>339</v>
      </c>
      <c r="S21" s="802"/>
      <c r="Y21" s="671" t="s">
        <v>535</v>
      </c>
      <c r="Z21" s="42"/>
      <c r="AA21" s="42"/>
    </row>
    <row r="22" spans="3:34" ht="23.4" thickBot="1">
      <c r="C22" s="39"/>
      <c r="D22" s="30" t="s">
        <v>115</v>
      </c>
      <c r="E22" s="30" t="s">
        <v>116</v>
      </c>
      <c r="F22" s="30" t="s">
        <v>115</v>
      </c>
      <c r="G22" s="30" t="s">
        <v>116</v>
      </c>
      <c r="H22" s="30" t="s">
        <v>115</v>
      </c>
      <c r="I22" s="30" t="s">
        <v>116</v>
      </c>
      <c r="J22" s="30" t="s">
        <v>115</v>
      </c>
      <c r="K22" s="30" t="s">
        <v>116</v>
      </c>
      <c r="L22" s="30" t="s">
        <v>115</v>
      </c>
      <c r="M22" s="30" t="s">
        <v>116</v>
      </c>
      <c r="N22" s="30" t="s">
        <v>115</v>
      </c>
      <c r="O22" s="30" t="s">
        <v>116</v>
      </c>
      <c r="P22" s="30" t="s">
        <v>115</v>
      </c>
      <c r="Q22" s="30" t="s">
        <v>116</v>
      </c>
      <c r="R22" s="30" t="s">
        <v>115</v>
      </c>
      <c r="S22" s="30" t="s">
        <v>116</v>
      </c>
      <c r="T22" s="70"/>
      <c r="U22" s="348" t="s">
        <v>377</v>
      </c>
      <c r="Y22" s="183"/>
      <c r="Z22" s="183"/>
      <c r="AA22" s="668">
        <v>2014</v>
      </c>
      <c r="AB22" s="669">
        <v>2015</v>
      </c>
      <c r="AC22" s="669">
        <v>2016</v>
      </c>
      <c r="AD22" s="669">
        <v>2017</v>
      </c>
      <c r="AE22" s="669">
        <v>2018</v>
      </c>
      <c r="AF22" s="669">
        <v>2019</v>
      </c>
      <c r="AG22" s="669">
        <v>2020</v>
      </c>
      <c r="AH22" s="669">
        <v>2021</v>
      </c>
    </row>
    <row r="23" spans="3:34" ht="15" thickBot="1">
      <c r="C23" s="39" t="s">
        <v>111</v>
      </c>
      <c r="D23" s="30">
        <v>42.2</v>
      </c>
      <c r="E23" s="62">
        <v>0.81</v>
      </c>
      <c r="F23" s="30">
        <v>2.8</v>
      </c>
      <c r="G23" s="62">
        <v>0.99</v>
      </c>
      <c r="H23" s="30">
        <v>13.9</v>
      </c>
      <c r="I23" s="62">
        <v>0.94</v>
      </c>
      <c r="J23" s="30">
        <v>10.3</v>
      </c>
      <c r="K23" s="62">
        <v>0.95</v>
      </c>
      <c r="L23" s="30">
        <v>3</v>
      </c>
      <c r="M23" s="62">
        <v>0.99</v>
      </c>
      <c r="N23" s="30">
        <v>39.1</v>
      </c>
      <c r="O23" s="62">
        <v>0.83</v>
      </c>
      <c r="P23" s="30">
        <v>2</v>
      </c>
      <c r="Q23" s="62">
        <v>0.99</v>
      </c>
      <c r="R23" s="451">
        <f>'[3]2.5_Outputs'!$J$13</f>
        <v>47.98</v>
      </c>
      <c r="S23" s="62">
        <v>0.79</v>
      </c>
      <c r="T23" s="114">
        <f t="shared" ref="T23:U25" si="0">AVERAGE(D23,F23,H23,J23,L23,N23,P23,R23)</f>
        <v>20.16</v>
      </c>
      <c r="U23" s="347">
        <f t="shared" si="0"/>
        <v>0.91125000000000012</v>
      </c>
      <c r="Y23" s="183"/>
      <c r="Z23" s="183"/>
      <c r="AA23" s="788" t="s">
        <v>523</v>
      </c>
      <c r="AB23" s="789"/>
      <c r="AC23" s="789"/>
      <c r="AD23" s="789"/>
      <c r="AE23" s="789"/>
      <c r="AF23" s="789"/>
      <c r="AG23" s="789"/>
      <c r="AH23" s="790"/>
    </row>
    <row r="24" spans="3:34" ht="13.2" thickBot="1">
      <c r="C24" s="39" t="s">
        <v>49</v>
      </c>
      <c r="D24" s="30">
        <v>135</v>
      </c>
      <c r="E24" s="62">
        <v>0.56999999999999995</v>
      </c>
      <c r="F24" s="30">
        <v>8.6999999999999993</v>
      </c>
      <c r="G24" s="62">
        <v>0.97</v>
      </c>
      <c r="H24" s="30">
        <v>4.5</v>
      </c>
      <c r="I24" s="62">
        <v>0.99</v>
      </c>
      <c r="J24" s="30">
        <v>6.8</v>
      </c>
      <c r="K24" s="62">
        <v>0.98</v>
      </c>
      <c r="L24" s="30">
        <v>39.700000000000003</v>
      </c>
      <c r="M24" s="62">
        <v>0.87</v>
      </c>
      <c r="N24" s="30">
        <v>12</v>
      </c>
      <c r="O24" s="62">
        <v>0.96</v>
      </c>
      <c r="P24" s="30">
        <v>54.4</v>
      </c>
      <c r="Q24" s="62">
        <v>0.83</v>
      </c>
      <c r="R24" s="451">
        <f>'[2]2.5_Outputs'!$J$13</f>
        <v>0</v>
      </c>
      <c r="S24" s="62">
        <v>1</v>
      </c>
      <c r="T24" s="114">
        <f t="shared" si="0"/>
        <v>32.637499999999996</v>
      </c>
      <c r="U24" s="347">
        <f t="shared" si="0"/>
        <v>0.89624999999999999</v>
      </c>
      <c r="Y24" s="70" t="s">
        <v>1</v>
      </c>
      <c r="Z24" s="70"/>
      <c r="AA24" s="670">
        <v>2.0722456935102689</v>
      </c>
      <c r="AB24" s="670">
        <v>2.4541803209822972</v>
      </c>
      <c r="AC24" s="670">
        <v>2.3314383082468244</v>
      </c>
      <c r="AD24" s="670">
        <v>2.3707996245835337</v>
      </c>
      <c r="AE24" s="670">
        <v>2.4208854218931841</v>
      </c>
      <c r="AF24" s="670">
        <v>2.0277264926337017</v>
      </c>
      <c r="AG24" s="670">
        <v>2.4322285505594703</v>
      </c>
      <c r="AH24" s="670">
        <v>1.9307313812557731</v>
      </c>
    </row>
    <row r="25" spans="3:34" ht="13.2" thickBot="1">
      <c r="C25" s="39" t="s">
        <v>50</v>
      </c>
      <c r="D25" s="30">
        <v>35.6</v>
      </c>
      <c r="E25" s="62">
        <v>0.7</v>
      </c>
      <c r="F25" s="30">
        <v>106.1</v>
      </c>
      <c r="G25" s="62">
        <v>0.12</v>
      </c>
      <c r="H25" s="30">
        <v>0</v>
      </c>
      <c r="I25" s="62">
        <v>1</v>
      </c>
      <c r="J25" s="30">
        <v>4.4000000000000004</v>
      </c>
      <c r="K25" s="62">
        <v>0.96</v>
      </c>
      <c r="L25" s="30">
        <v>24.3</v>
      </c>
      <c r="M25" s="62">
        <v>0.8</v>
      </c>
      <c r="N25" s="30">
        <v>0</v>
      </c>
      <c r="O25" s="62">
        <v>1</v>
      </c>
      <c r="P25" s="30">
        <v>1.2</v>
      </c>
      <c r="Q25" s="62">
        <v>0.99</v>
      </c>
      <c r="R25" s="451">
        <f>'[4]2.5_Outputs'!$J$13</f>
        <v>0</v>
      </c>
      <c r="S25" s="62">
        <v>1</v>
      </c>
      <c r="T25" s="114">
        <f t="shared" si="0"/>
        <v>21.45</v>
      </c>
      <c r="U25" s="347">
        <f t="shared" si="0"/>
        <v>0.82125000000000004</v>
      </c>
      <c r="Y25" s="454" t="s">
        <v>167</v>
      </c>
      <c r="Z25" s="665"/>
      <c r="AA25" s="670">
        <v>2.0223731504378373</v>
      </c>
      <c r="AB25" s="670">
        <v>3.2980050675381078</v>
      </c>
      <c r="AC25" s="670">
        <v>3.4111743173562248</v>
      </c>
      <c r="AD25" s="670">
        <v>3.4264252595593954</v>
      </c>
      <c r="AE25" s="670">
        <v>3.0124578174090262</v>
      </c>
      <c r="AF25" s="670">
        <v>3.2681177172445892</v>
      </c>
      <c r="AG25" s="670">
        <v>2.7870038099941916</v>
      </c>
      <c r="AH25" s="670">
        <v>3.4008803600617741</v>
      </c>
    </row>
    <row r="26" spans="3:34">
      <c r="R26" s="70"/>
      <c r="S26" s="805"/>
      <c r="T26" s="804"/>
      <c r="U26" s="803"/>
      <c r="V26" s="803"/>
      <c r="W26" s="803"/>
      <c r="X26" s="803"/>
      <c r="Y26" s="665" t="s">
        <v>50</v>
      </c>
      <c r="Z26" s="665"/>
      <c r="AA26" s="670">
        <v>0.95640365577878661</v>
      </c>
      <c r="AB26" s="670">
        <v>0.15352433151059383</v>
      </c>
      <c r="AC26" s="670">
        <v>1.3251828201478726</v>
      </c>
      <c r="AD26" s="670">
        <v>1.2765927834091173</v>
      </c>
      <c r="AE26" s="670">
        <v>1.0434587687534731</v>
      </c>
      <c r="AF26" s="670">
        <v>1.3088225384176519</v>
      </c>
      <c r="AG26" s="670">
        <v>1.2962796557578162</v>
      </c>
      <c r="AH26" s="670">
        <v>1.2772846459256604</v>
      </c>
    </row>
    <row r="27" spans="3:34">
      <c r="R27" s="70"/>
      <c r="S27" s="805"/>
      <c r="T27" s="804"/>
      <c r="U27" s="803"/>
      <c r="V27" s="803"/>
      <c r="W27" s="803"/>
      <c r="X27" s="803"/>
      <c r="Y27" s="71"/>
      <c r="Z27" s="70"/>
      <c r="AA27" s="70"/>
      <c r="AB27" s="70"/>
    </row>
    <row r="28" spans="3:34">
      <c r="R28" s="70"/>
      <c r="S28" s="70"/>
      <c r="T28" s="71"/>
      <c r="U28" s="72"/>
      <c r="V28" s="72"/>
      <c r="W28" s="72"/>
      <c r="X28" s="73"/>
      <c r="Y28" s="73"/>
      <c r="Z28" s="70"/>
      <c r="AA28" s="70"/>
      <c r="AB28" s="70"/>
    </row>
    <row r="29" spans="3:34" ht="15.6" thickBot="1">
      <c r="C29" s="23" t="s">
        <v>134</v>
      </c>
      <c r="R29" s="70"/>
      <c r="Z29" s="70"/>
      <c r="AA29" s="70"/>
      <c r="AB29" s="70"/>
    </row>
    <row r="30" spans="3:34" ht="46.2" customHeight="1" thickBot="1">
      <c r="C30" s="28"/>
      <c r="D30" s="59" t="s">
        <v>106</v>
      </c>
      <c r="E30" s="59" t="s">
        <v>107</v>
      </c>
      <c r="F30" s="59" t="s">
        <v>108</v>
      </c>
      <c r="G30" s="59" t="s">
        <v>109</v>
      </c>
      <c r="H30" s="59" t="s">
        <v>110</v>
      </c>
      <c r="I30" s="84" t="s">
        <v>130</v>
      </c>
      <c r="J30" s="429" t="s">
        <v>230</v>
      </c>
      <c r="K30" s="377" t="s">
        <v>415</v>
      </c>
      <c r="L30" s="463"/>
      <c r="M30" s="467" t="s">
        <v>182</v>
      </c>
      <c r="N30" s="467" t="s">
        <v>183</v>
      </c>
      <c r="O30" s="467" t="s">
        <v>334</v>
      </c>
      <c r="P30" s="467" t="s">
        <v>418</v>
      </c>
      <c r="Q30" s="468" t="s">
        <v>419</v>
      </c>
      <c r="R30" s="469"/>
      <c r="S30" s="441"/>
      <c r="T30" s="470"/>
      <c r="Y30" s="1" t="s">
        <v>536</v>
      </c>
      <c r="AB30" s="70"/>
      <c r="AC30" s="70"/>
      <c r="AD30" s="70"/>
    </row>
    <row r="31" spans="3:34" ht="38.700000000000003" customHeight="1" thickBot="1">
      <c r="C31" s="39"/>
      <c r="D31" s="60" t="s">
        <v>117</v>
      </c>
      <c r="E31" s="60" t="s">
        <v>117</v>
      </c>
      <c r="F31" s="60" t="s">
        <v>117</v>
      </c>
      <c r="G31" s="60" t="s">
        <v>117</v>
      </c>
      <c r="H31" s="60" t="s">
        <v>117</v>
      </c>
      <c r="I31" s="60" t="s">
        <v>117</v>
      </c>
      <c r="J31" s="449" t="s">
        <v>117</v>
      </c>
      <c r="K31" s="455" t="s">
        <v>117</v>
      </c>
      <c r="L31" s="464"/>
      <c r="M31" s="469" t="s">
        <v>184</v>
      </c>
      <c r="N31" s="469" t="s">
        <v>184</v>
      </c>
      <c r="O31" s="469" t="s">
        <v>184</v>
      </c>
      <c r="P31" s="469" t="s">
        <v>184</v>
      </c>
      <c r="Q31" s="469"/>
      <c r="R31" s="469"/>
      <c r="S31" s="470"/>
      <c r="T31" s="441"/>
      <c r="U31" s="240" t="s">
        <v>167</v>
      </c>
      <c r="V31" s="240"/>
      <c r="W31" s="240" t="s">
        <v>50</v>
      </c>
      <c r="Y31" s="183"/>
      <c r="Z31" s="183"/>
      <c r="AA31" s="668">
        <v>2014</v>
      </c>
      <c r="AB31" s="669">
        <v>2015</v>
      </c>
      <c r="AC31" s="669">
        <v>2016</v>
      </c>
      <c r="AD31" s="669">
        <v>2017</v>
      </c>
      <c r="AE31" s="669">
        <v>2018</v>
      </c>
      <c r="AF31" s="669">
        <v>2019</v>
      </c>
      <c r="AG31" s="669">
        <v>2020</v>
      </c>
      <c r="AH31" s="669">
        <v>2021</v>
      </c>
    </row>
    <row r="32" spans="3:34" ht="15" thickBot="1">
      <c r="C32" s="39" t="s">
        <v>111</v>
      </c>
      <c r="D32" s="63">
        <f t="shared" ref="D32:K32" si="1">D44</f>
        <v>-0.23540016280714657</v>
      </c>
      <c r="E32" s="63">
        <f t="shared" si="1"/>
        <v>-5.7815966735190148E-2</v>
      </c>
      <c r="F32" s="63">
        <f t="shared" si="1"/>
        <v>7.3321723314539469E-2</v>
      </c>
      <c r="G32" s="63">
        <f t="shared" si="1"/>
        <v>0.27763982431179118</v>
      </c>
      <c r="H32" s="63">
        <f t="shared" si="1"/>
        <v>0.26079232870235164</v>
      </c>
      <c r="I32" s="63">
        <f t="shared" si="1"/>
        <v>1.2645459438500841E-2</v>
      </c>
      <c r="J32" s="448">
        <f t="shared" si="1"/>
        <v>0.40424733742810054</v>
      </c>
      <c r="K32" s="456">
        <f t="shared" si="1"/>
        <v>0.14643176753185971</v>
      </c>
      <c r="L32" s="464"/>
      <c r="M32" s="471">
        <f>H36+H41+H46</f>
        <v>10549.24</v>
      </c>
      <c r="N32" s="471">
        <f>I36+I41+I46</f>
        <v>13483.59</v>
      </c>
      <c r="O32" s="471">
        <f>J36+J41+J46</f>
        <v>13426.94</v>
      </c>
      <c r="P32" s="471">
        <f>K36+K41+K46</f>
        <v>12951.126</v>
      </c>
      <c r="Q32" s="471">
        <f>P32-O32</f>
        <v>-475.81400000000031</v>
      </c>
      <c r="R32" s="469" t="s">
        <v>184</v>
      </c>
      <c r="S32" s="441"/>
      <c r="T32" s="441"/>
      <c r="U32" s="279">
        <f>D38</f>
        <v>1942.8587925000011</v>
      </c>
      <c r="V32" s="279">
        <f>D43</f>
        <v>-139.00307279999981</v>
      </c>
      <c r="W32" s="279">
        <f>D48</f>
        <v>-184.57</v>
      </c>
      <c r="Y32" s="183"/>
      <c r="Z32" s="183"/>
      <c r="AA32" s="788" t="s">
        <v>523</v>
      </c>
      <c r="AB32" s="789"/>
      <c r="AC32" s="789"/>
      <c r="AD32" s="789"/>
      <c r="AE32" s="789"/>
      <c r="AF32" s="789"/>
      <c r="AG32" s="789"/>
      <c r="AH32" s="790"/>
    </row>
    <row r="33" spans="3:34" ht="13.2" thickBot="1">
      <c r="C33" s="39" t="s">
        <v>49</v>
      </c>
      <c r="D33" s="63">
        <f t="shared" ref="D33:K33" si="2">D39</f>
        <v>0.16119485227097843</v>
      </c>
      <c r="E33" s="63">
        <f t="shared" si="2"/>
        <v>0.21500457785617477</v>
      </c>
      <c r="F33" s="63">
        <f t="shared" si="2"/>
        <v>0.20793055886240461</v>
      </c>
      <c r="G33" s="63">
        <f t="shared" si="2"/>
        <v>0.10955805227454746</v>
      </c>
      <c r="H33" s="63">
        <f t="shared" si="2"/>
        <v>0.2282089240216261</v>
      </c>
      <c r="I33" s="63">
        <f t="shared" si="2"/>
        <v>1.6373536891935981E-2</v>
      </c>
      <c r="J33" s="448">
        <f t="shared" si="2"/>
        <v>-2.2014364845915012E-3</v>
      </c>
      <c r="K33" s="456">
        <f t="shared" si="2"/>
        <v>5.6168558500412732E-2</v>
      </c>
      <c r="L33" s="464"/>
      <c r="M33" s="469"/>
      <c r="N33" s="469"/>
      <c r="O33" s="469"/>
      <c r="P33" s="469"/>
      <c r="Q33" s="472">
        <f>Q32/O32</f>
        <v>-3.5437262697234087E-2</v>
      </c>
      <c r="R33" s="469"/>
      <c r="S33" s="441"/>
      <c r="T33" s="441"/>
      <c r="U33" s="279">
        <f>E38</f>
        <v>2614.0326850000001</v>
      </c>
      <c r="V33" s="279">
        <f>E43</f>
        <v>-34.980372799999714</v>
      </c>
      <c r="W33" s="279">
        <f>E48</f>
        <v>-166.1</v>
      </c>
      <c r="Y33" s="70" t="s">
        <v>1</v>
      </c>
      <c r="Z33" s="70"/>
      <c r="AA33" s="670">
        <v>-0.11806752987104679</v>
      </c>
      <c r="AB33" s="670">
        <v>-2.9424613789900814E-2</v>
      </c>
      <c r="AC33" s="670">
        <v>4.0142230682503187E-2</v>
      </c>
      <c r="AD33" s="670">
        <v>0.17885835209891987</v>
      </c>
      <c r="AE33" s="670">
        <v>0.18825847783124303</v>
      </c>
      <c r="AF33" s="670">
        <v>9.7876934492963849E-3</v>
      </c>
      <c r="AG33" s="670">
        <v>0.327976101619746</v>
      </c>
      <c r="AH33" s="670">
        <v>0.12347819761761748</v>
      </c>
    </row>
    <row r="34" spans="3:34" ht="13.2" thickBot="1">
      <c r="C34" s="39" t="s">
        <v>50</v>
      </c>
      <c r="D34" s="63">
        <f t="shared" ref="D34:K34" si="3">D49</f>
        <v>-1.2247511612475117</v>
      </c>
      <c r="E34" s="63">
        <f t="shared" si="3"/>
        <v>-0.9595609474292317</v>
      </c>
      <c r="F34" s="63">
        <f t="shared" si="3"/>
        <v>-0.2171526157202508</v>
      </c>
      <c r="G34" s="64">
        <f t="shared" si="3"/>
        <v>-3.1282049251411744E-4</v>
      </c>
      <c r="H34" s="63">
        <f t="shared" si="3"/>
        <v>3.9143213493270518E-2</v>
      </c>
      <c r="I34" s="448">
        <f t="shared" si="3"/>
        <v>1.3434681172175458E-2</v>
      </c>
      <c r="J34" s="450">
        <f t="shared" si="3"/>
        <v>-0.11869988443503325</v>
      </c>
      <c r="K34" s="456">
        <f t="shared" si="3"/>
        <v>-0.21823358688678135</v>
      </c>
      <c r="L34" s="464"/>
      <c r="M34" s="473"/>
      <c r="N34" s="469"/>
      <c r="O34" s="469"/>
      <c r="P34" s="469"/>
      <c r="Q34" s="472">
        <f>Q32/P32</f>
        <v>-3.6739199356102342E-2</v>
      </c>
      <c r="R34" s="469"/>
      <c r="S34" s="441"/>
      <c r="T34" s="441"/>
      <c r="U34" s="279">
        <f>F38</f>
        <v>2557.9516900000035</v>
      </c>
      <c r="V34" s="279">
        <f>F43</f>
        <v>46.397827200000165</v>
      </c>
      <c r="W34" s="279">
        <f>F48</f>
        <v>-48.574000000000012</v>
      </c>
      <c r="Y34" s="454" t="s">
        <v>167</v>
      </c>
      <c r="Z34" s="665"/>
      <c r="AA34" s="670">
        <v>1.621331651126771</v>
      </c>
      <c r="AB34" s="670">
        <v>2.1372132369393069</v>
      </c>
      <c r="AC34" s="670">
        <v>2.158120808716443</v>
      </c>
      <c r="AD34" s="670">
        <v>1.187372322769976</v>
      </c>
      <c r="AE34" s="670">
        <v>2.5008304242795201</v>
      </c>
      <c r="AF34" s="670">
        <v>0.18039372906223525</v>
      </c>
      <c r="AG34" s="670">
        <v>-2.4399586894906882E-2</v>
      </c>
      <c r="AH34" s="670">
        <v>0.63796793974330757</v>
      </c>
    </row>
    <row r="35" spans="3:34">
      <c r="C35" s="186" t="s">
        <v>167</v>
      </c>
      <c r="D35" s="187"/>
      <c r="E35" s="187"/>
      <c r="F35" s="187"/>
      <c r="G35" s="187"/>
      <c r="H35" s="187"/>
      <c r="I35" s="187"/>
      <c r="J35" s="191"/>
      <c r="K35" s="169"/>
      <c r="L35" s="464"/>
      <c r="M35" s="469"/>
      <c r="N35" s="469"/>
      <c r="O35" s="469"/>
      <c r="P35" s="469"/>
      <c r="Q35" s="469"/>
      <c r="R35" s="469"/>
      <c r="S35" s="441"/>
      <c r="T35" s="441"/>
      <c r="U35" s="279">
        <f>G38</f>
        <v>1353.4162200000028</v>
      </c>
      <c r="V35" s="279">
        <f>G43</f>
        <v>205.0589222000001</v>
      </c>
      <c r="W35" s="279">
        <f>G48</f>
        <v>-7.9000000000007731E-2</v>
      </c>
      <c r="Y35" s="665" t="s">
        <v>50</v>
      </c>
      <c r="Z35" s="665"/>
      <c r="AA35" s="670">
        <v>-0.15620963431781199</v>
      </c>
      <c r="AB35" s="670">
        <v>-0.14150610384353163</v>
      </c>
      <c r="AC35" s="670">
        <v>-4.1662364705880577E-2</v>
      </c>
      <c r="AD35" s="670">
        <v>-6.1199289312333471E-5</v>
      </c>
      <c r="AE35" s="670">
        <v>1.1709793937067212E-2</v>
      </c>
      <c r="AF35" s="670">
        <v>4.5430559581367226E-3</v>
      </c>
      <c r="AG35" s="670">
        <v>-4.1913743877141363E-2</v>
      </c>
      <c r="AH35" s="670">
        <v>-7.7296055849217074E-2</v>
      </c>
    </row>
    <row r="36" spans="3:34">
      <c r="C36" s="188" t="s">
        <v>180</v>
      </c>
      <c r="D36" s="189">
        <f>'[6]2.5_Outputs'!C$22</f>
        <v>10110</v>
      </c>
      <c r="E36" s="189">
        <f>'[6]2.5_Outputs'!D$22</f>
        <v>9544</v>
      </c>
      <c r="F36" s="189">
        <f>'[6]2.5_Outputs'!E$22</f>
        <v>9744</v>
      </c>
      <c r="G36" s="189">
        <f>'[6]2.5_Outputs'!F$22</f>
        <v>11000</v>
      </c>
      <c r="H36" s="189">
        <f>'[6]2.5_Outputs'!G$22</f>
        <v>9617</v>
      </c>
      <c r="I36" s="189">
        <f>'[6]2.5_Outputs'!H$22</f>
        <v>12270</v>
      </c>
      <c r="J36" s="189">
        <f>'[6]2.5_Outputs'!I$22</f>
        <v>12464.21</v>
      </c>
      <c r="K36" s="189">
        <f>'[6]2.5_Outputs'!J$22</f>
        <v>11699.956</v>
      </c>
      <c r="L36" s="464"/>
      <c r="M36" s="471"/>
      <c r="N36" s="469"/>
      <c r="O36" s="469"/>
      <c r="P36" s="469"/>
      <c r="Q36" s="471">
        <f>K36-J36</f>
        <v>-764.253999999999</v>
      </c>
      <c r="R36" s="469" t="s">
        <v>184</v>
      </c>
      <c r="S36" s="474"/>
      <c r="T36" s="441"/>
      <c r="U36" s="279">
        <f>H38</f>
        <v>2843.6260675000012</v>
      </c>
      <c r="V36" s="279">
        <f>H43</f>
        <v>213.58500720000029</v>
      </c>
      <c r="W36" s="279">
        <f>H48</f>
        <v>13.31475000000006</v>
      </c>
      <c r="AA36" s="70"/>
      <c r="AB36" s="70"/>
      <c r="AC36" s="70"/>
      <c r="AD36" s="70"/>
    </row>
    <row r="37" spans="3:34">
      <c r="C37" s="188" t="s">
        <v>181</v>
      </c>
      <c r="D37" s="189">
        <f>'[6]2.5_Outputs'!C$23</f>
        <v>12052.858792500001</v>
      </c>
      <c r="E37" s="189">
        <f>'[6]2.5_Outputs'!D$23</f>
        <v>12158.032685</v>
      </c>
      <c r="F37" s="189">
        <f>'[6]2.5_Outputs'!E$23</f>
        <v>12301.951690000004</v>
      </c>
      <c r="G37" s="189">
        <f>'[6]2.5_Outputs'!F$23</f>
        <v>12353.416220000003</v>
      </c>
      <c r="H37" s="189">
        <f>'[6]2.5_Outputs'!G$23</f>
        <v>12460.626067500001</v>
      </c>
      <c r="I37" s="189">
        <f>'[6]2.5_Outputs'!H$23</f>
        <v>12474.247552500001</v>
      </c>
      <c r="J37" s="189">
        <f>'[6]2.5_Outputs'!I$23</f>
        <v>12436.831106249998</v>
      </c>
      <c r="K37" s="189">
        <f>'[6]2.5_Outputs'!J$23</f>
        <v>12396.234629999997</v>
      </c>
      <c r="L37" s="464"/>
      <c r="M37" s="469"/>
      <c r="N37" s="469"/>
      <c r="O37" s="469"/>
      <c r="P37" s="469"/>
      <c r="Q37" s="472">
        <f>Q36/J36</f>
        <v>-6.1315879626546652E-2</v>
      </c>
      <c r="R37" s="469"/>
      <c r="S37" s="441"/>
      <c r="T37" s="441"/>
      <c r="U37" s="279">
        <f>I38</f>
        <v>204.24755250000089</v>
      </c>
      <c r="V37" s="279">
        <f>I43</f>
        <v>10.772957200000292</v>
      </c>
      <c r="W37" s="279">
        <f>I48</f>
        <v>5.0717500000000086</v>
      </c>
      <c r="AA37" s="70"/>
      <c r="AB37" s="70"/>
      <c r="AC37" s="70"/>
      <c r="AD37" s="70"/>
    </row>
    <row r="38" spans="3:34">
      <c r="C38" s="192" t="s">
        <v>179</v>
      </c>
      <c r="D38" s="193">
        <f t="shared" ref="D38:J38" si="4">D37-D36</f>
        <v>1942.8587925000011</v>
      </c>
      <c r="E38" s="193">
        <f t="shared" si="4"/>
        <v>2614.0326850000001</v>
      </c>
      <c r="F38" s="193">
        <f t="shared" si="4"/>
        <v>2557.9516900000035</v>
      </c>
      <c r="G38" s="193">
        <f t="shared" si="4"/>
        <v>1353.4162200000028</v>
      </c>
      <c r="H38" s="193">
        <f t="shared" si="4"/>
        <v>2843.6260675000012</v>
      </c>
      <c r="I38" s="193">
        <f t="shared" si="4"/>
        <v>204.24755250000089</v>
      </c>
      <c r="J38" s="193">
        <f t="shared" si="4"/>
        <v>-27.378893750001225</v>
      </c>
      <c r="K38" s="458">
        <f>K37-K36</f>
        <v>696.27862999999707</v>
      </c>
      <c r="L38" s="464"/>
      <c r="M38" s="469"/>
      <c r="N38" s="469"/>
      <c r="O38" s="469"/>
      <c r="P38" s="469"/>
      <c r="Q38" s="472">
        <f>Q36/K36</f>
        <v>-6.5321100352855946E-2</v>
      </c>
      <c r="R38" s="469"/>
      <c r="S38" s="441"/>
      <c r="T38" s="441"/>
      <c r="U38" s="279">
        <f>J38</f>
        <v>-27.378893750001225</v>
      </c>
      <c r="V38" s="279">
        <f>J43</f>
        <v>359.48165720000043</v>
      </c>
      <c r="W38" s="279">
        <f>J48</f>
        <v>-45.938249999999982</v>
      </c>
    </row>
    <row r="39" spans="3:34">
      <c r="C39" s="192" t="s">
        <v>178</v>
      </c>
      <c r="D39" s="194">
        <f t="shared" ref="D39:K39" si="5">D38/D37</f>
        <v>0.16119485227097843</v>
      </c>
      <c r="E39" s="194">
        <f t="shared" si="5"/>
        <v>0.21500457785617477</v>
      </c>
      <c r="F39" s="194">
        <f t="shared" si="5"/>
        <v>0.20793055886240461</v>
      </c>
      <c r="G39" s="194">
        <f t="shared" si="5"/>
        <v>0.10955805227454746</v>
      </c>
      <c r="H39" s="194">
        <f t="shared" si="5"/>
        <v>0.2282089240216261</v>
      </c>
      <c r="I39" s="432">
        <f t="shared" si="5"/>
        <v>1.6373536891935981E-2</v>
      </c>
      <c r="J39" s="430">
        <f t="shared" si="5"/>
        <v>-2.2014364845915012E-3</v>
      </c>
      <c r="K39" s="459">
        <f t="shared" si="5"/>
        <v>5.6168558500412732E-2</v>
      </c>
      <c r="L39" s="464"/>
      <c r="M39" s="469"/>
      <c r="N39" s="469"/>
      <c r="O39" s="469"/>
      <c r="P39" s="469"/>
      <c r="Q39" s="471"/>
      <c r="R39" s="469"/>
      <c r="S39" s="441"/>
      <c r="T39" s="441"/>
      <c r="U39" s="279">
        <f>K38</f>
        <v>696.27862999999707</v>
      </c>
      <c r="V39" s="197">
        <f>K43</f>
        <v>132.96519920000037</v>
      </c>
      <c r="W39" s="197">
        <f>K48</f>
        <v>-85.288250000000062</v>
      </c>
    </row>
    <row r="40" spans="3:34">
      <c r="C40" s="190" t="s">
        <v>1</v>
      </c>
      <c r="D40" s="191"/>
      <c r="E40" s="191"/>
      <c r="F40" s="191"/>
      <c r="G40" s="191"/>
      <c r="H40" s="191"/>
      <c r="I40" s="191"/>
      <c r="J40" s="191"/>
      <c r="K40" s="169"/>
      <c r="L40" s="464"/>
      <c r="M40" s="469"/>
      <c r="N40" s="469"/>
      <c r="O40" s="469"/>
      <c r="P40" s="469"/>
      <c r="Q40" s="471"/>
      <c r="R40" s="469"/>
      <c r="S40" s="441"/>
      <c r="T40" s="441"/>
    </row>
    <row r="41" spans="3:34" ht="12.75" customHeight="1">
      <c r="C41" s="188" t="s">
        <v>180</v>
      </c>
      <c r="D41" s="189">
        <v>729.5</v>
      </c>
      <c r="E41" s="189">
        <v>640.01</v>
      </c>
      <c r="F41" s="189">
        <v>586.4</v>
      </c>
      <c r="G41" s="189">
        <v>533.52</v>
      </c>
      <c r="H41" s="189">
        <v>605.4</v>
      </c>
      <c r="I41" s="189">
        <v>841.15</v>
      </c>
      <c r="J41" s="189">
        <v>529.78</v>
      </c>
      <c r="K41" s="189">
        <v>775.06999999999994</v>
      </c>
      <c r="L41" s="464"/>
      <c r="M41" s="469"/>
      <c r="N41" s="469"/>
      <c r="O41" s="469"/>
      <c r="P41" s="469"/>
      <c r="Q41" s="471">
        <f>K41-J41</f>
        <v>245.28999999999996</v>
      </c>
      <c r="R41" s="469" t="s">
        <v>184</v>
      </c>
      <c r="S41" s="441"/>
      <c r="T41" s="441"/>
    </row>
    <row r="42" spans="3:34">
      <c r="C42" s="188" t="s">
        <v>181</v>
      </c>
      <c r="D42" s="189">
        <v>590.49692720000019</v>
      </c>
      <c r="E42" s="189">
        <v>605.02962720000028</v>
      </c>
      <c r="F42" s="189">
        <v>632.79782720000014</v>
      </c>
      <c r="G42" s="189">
        <v>738.57892220000008</v>
      </c>
      <c r="H42" s="189">
        <v>818.98500720000027</v>
      </c>
      <c r="I42" s="189">
        <v>851.92295720000027</v>
      </c>
      <c r="J42" s="189">
        <v>889.2616572000004</v>
      </c>
      <c r="K42" s="189">
        <v>908.03519920000031</v>
      </c>
      <c r="L42" s="464"/>
      <c r="M42" s="469"/>
      <c r="N42" s="469"/>
      <c r="O42" s="469"/>
      <c r="P42" s="469"/>
      <c r="Q42" s="472">
        <f>Q41/J41</f>
        <v>0.46300351089131331</v>
      </c>
      <c r="R42" s="469"/>
      <c r="S42" s="441"/>
      <c r="T42" s="441"/>
    </row>
    <row r="43" spans="3:34">
      <c r="C43" s="192" t="s">
        <v>179</v>
      </c>
      <c r="D43" s="193">
        <f t="shared" ref="D43:K43" si="6">D42-D41</f>
        <v>-139.00307279999981</v>
      </c>
      <c r="E43" s="193">
        <f t="shared" si="6"/>
        <v>-34.980372799999714</v>
      </c>
      <c r="F43" s="193">
        <f t="shared" si="6"/>
        <v>46.397827200000165</v>
      </c>
      <c r="G43" s="193">
        <f t="shared" si="6"/>
        <v>205.0589222000001</v>
      </c>
      <c r="H43" s="193">
        <f t="shared" si="6"/>
        <v>213.58500720000029</v>
      </c>
      <c r="I43" s="193">
        <f t="shared" si="6"/>
        <v>10.772957200000292</v>
      </c>
      <c r="J43" s="193">
        <f t="shared" si="6"/>
        <v>359.48165720000043</v>
      </c>
      <c r="K43" s="458">
        <f t="shared" si="6"/>
        <v>132.96519920000037</v>
      </c>
      <c r="L43" s="464"/>
      <c r="M43" s="469"/>
      <c r="N43" s="471"/>
      <c r="O43" s="469"/>
      <c r="P43" s="469"/>
      <c r="Q43" s="472">
        <f>Q41/K41</f>
        <v>0.3164746410001677</v>
      </c>
      <c r="R43" s="469"/>
      <c r="S43" s="441"/>
      <c r="T43" s="441"/>
    </row>
    <row r="44" spans="3:34">
      <c r="C44" s="192" t="s">
        <v>178</v>
      </c>
      <c r="D44" s="194">
        <f t="shared" ref="D44:K44" si="7">D43/D42</f>
        <v>-0.23540016280714657</v>
      </c>
      <c r="E44" s="194">
        <f t="shared" si="7"/>
        <v>-5.7815966735190148E-2</v>
      </c>
      <c r="F44" s="194">
        <f t="shared" si="7"/>
        <v>7.3321723314539469E-2</v>
      </c>
      <c r="G44" s="194">
        <f t="shared" si="7"/>
        <v>0.27763982431179118</v>
      </c>
      <c r="H44" s="194">
        <f t="shared" si="7"/>
        <v>0.26079232870235164</v>
      </c>
      <c r="I44" s="194">
        <f t="shared" si="7"/>
        <v>1.2645459438500841E-2</v>
      </c>
      <c r="J44" s="194">
        <f t="shared" si="7"/>
        <v>0.40424733742810054</v>
      </c>
      <c r="K44" s="460">
        <f t="shared" si="7"/>
        <v>0.14643176753185971</v>
      </c>
      <c r="L44" s="464"/>
      <c r="M44" s="469"/>
      <c r="N44" s="469"/>
      <c r="O44" s="469"/>
      <c r="P44" s="469"/>
      <c r="Q44" s="471"/>
      <c r="R44" s="469"/>
      <c r="S44" s="441"/>
      <c r="T44" s="441"/>
    </row>
    <row r="45" spans="3:34">
      <c r="C45" s="190" t="s">
        <v>50</v>
      </c>
      <c r="D45" s="191"/>
      <c r="E45" s="191"/>
      <c r="F45" s="191"/>
      <c r="G45" s="191"/>
      <c r="H45" s="191"/>
      <c r="I45" s="191"/>
      <c r="J45" s="191"/>
      <c r="K45" s="169"/>
      <c r="L45" s="464"/>
      <c r="M45" s="469"/>
      <c r="N45" s="469"/>
      <c r="O45" s="469"/>
      <c r="P45" s="469"/>
      <c r="Q45" s="471"/>
      <c r="R45" s="469"/>
      <c r="S45" s="441"/>
      <c r="T45" s="441"/>
    </row>
    <row r="46" spans="3:34">
      <c r="C46" s="188" t="s">
        <v>180</v>
      </c>
      <c r="D46" s="189">
        <v>335.27</v>
      </c>
      <c r="E46" s="189">
        <v>339.2</v>
      </c>
      <c r="F46" s="189">
        <v>272.26</v>
      </c>
      <c r="G46" s="289">
        <v>252.62</v>
      </c>
      <c r="H46" s="189">
        <v>326.83999999999997</v>
      </c>
      <c r="I46" s="189">
        <v>372.44</v>
      </c>
      <c r="J46" s="431">
        <f>'[7]2.5_Outputs'!$I$22</f>
        <v>432.95</v>
      </c>
      <c r="K46" s="461">
        <f>'[4]2.5_Outputs'!$J$22</f>
        <v>476.1</v>
      </c>
      <c r="L46" s="464"/>
      <c r="M46" s="469"/>
      <c r="N46" s="471"/>
      <c r="O46" s="469"/>
      <c r="P46" s="469"/>
      <c r="Q46" s="471">
        <f>K46-J46</f>
        <v>43.150000000000034</v>
      </c>
      <c r="R46" s="469" t="s">
        <v>184</v>
      </c>
      <c r="S46" s="441"/>
      <c r="T46" s="441"/>
    </row>
    <row r="47" spans="3:34">
      <c r="C47" s="188" t="s">
        <v>181</v>
      </c>
      <c r="D47" s="189">
        <v>150.69999999999999</v>
      </c>
      <c r="E47" s="189">
        <v>173.1</v>
      </c>
      <c r="F47" s="189">
        <v>223.68599999999998</v>
      </c>
      <c r="G47" s="289">
        <v>252.541</v>
      </c>
      <c r="H47" s="189">
        <v>340.15475000000004</v>
      </c>
      <c r="I47" s="189">
        <v>377.51175000000001</v>
      </c>
      <c r="J47" s="189">
        <f>'[7]2.5_Outputs'!$I$23</f>
        <v>387.01175000000001</v>
      </c>
      <c r="K47" s="457">
        <f>'[4]2.5_Outputs'!$J$23</f>
        <v>390.81174999999996</v>
      </c>
      <c r="L47" s="465"/>
      <c r="M47" s="469"/>
      <c r="N47" s="471"/>
      <c r="O47" s="469"/>
      <c r="P47" s="469"/>
      <c r="Q47" s="472">
        <f>Q46/J46</f>
        <v>9.9665088347384301E-2</v>
      </c>
      <c r="R47" s="469"/>
      <c r="S47" s="441"/>
      <c r="T47" s="441"/>
    </row>
    <row r="48" spans="3:34" ht="12.75" customHeight="1">
      <c r="C48" s="192" t="s">
        <v>179</v>
      </c>
      <c r="D48" s="193">
        <f t="shared" ref="D48:K48" si="8">D47-D46</f>
        <v>-184.57</v>
      </c>
      <c r="E48" s="193">
        <f t="shared" si="8"/>
        <v>-166.1</v>
      </c>
      <c r="F48" s="193">
        <f t="shared" si="8"/>
        <v>-48.574000000000012</v>
      </c>
      <c r="G48" s="193">
        <f t="shared" si="8"/>
        <v>-7.9000000000007731E-2</v>
      </c>
      <c r="H48" s="193">
        <f t="shared" si="8"/>
        <v>13.31475000000006</v>
      </c>
      <c r="I48" s="193">
        <f t="shared" si="8"/>
        <v>5.0717500000000086</v>
      </c>
      <c r="J48" s="193">
        <f t="shared" si="8"/>
        <v>-45.938249999999982</v>
      </c>
      <c r="K48" s="458">
        <f t="shared" si="8"/>
        <v>-85.288250000000062</v>
      </c>
      <c r="L48" s="465"/>
      <c r="M48" s="469"/>
      <c r="N48" s="469"/>
      <c r="O48" s="469"/>
      <c r="P48" s="469"/>
      <c r="Q48" s="472">
        <f>Q46/K46</f>
        <v>9.0632220121823218E-2</v>
      </c>
      <c r="R48" s="469"/>
      <c r="S48" s="475"/>
      <c r="T48" s="441"/>
    </row>
    <row r="49" spans="2:32" ht="13.2" thickBot="1">
      <c r="C49" s="195" t="s">
        <v>178</v>
      </c>
      <c r="D49" s="196">
        <f t="shared" ref="D49:K49" si="9">D48/D47</f>
        <v>-1.2247511612475117</v>
      </c>
      <c r="E49" s="196">
        <f t="shared" si="9"/>
        <v>-0.9595609474292317</v>
      </c>
      <c r="F49" s="196">
        <f t="shared" si="9"/>
        <v>-0.2171526157202508</v>
      </c>
      <c r="G49" s="196">
        <f t="shared" si="9"/>
        <v>-3.1282049251411744E-4</v>
      </c>
      <c r="H49" s="196">
        <f t="shared" si="9"/>
        <v>3.9143213493270518E-2</v>
      </c>
      <c r="I49" s="447">
        <f t="shared" si="9"/>
        <v>1.3434681172175458E-2</v>
      </c>
      <c r="J49" s="447">
        <f t="shared" si="9"/>
        <v>-0.11869988443503325</v>
      </c>
      <c r="K49" s="462">
        <f t="shared" si="9"/>
        <v>-0.21823358688678135</v>
      </c>
      <c r="L49" s="465"/>
      <c r="M49" s="469"/>
      <c r="N49" s="469"/>
      <c r="O49" s="469"/>
      <c r="P49" s="469"/>
      <c r="Q49" s="469"/>
      <c r="R49" s="469"/>
      <c r="S49" s="441"/>
      <c r="T49" s="441"/>
    </row>
    <row r="50" spans="2:32">
      <c r="C50" s="469"/>
      <c r="D50" s="712"/>
      <c r="E50" s="712"/>
      <c r="F50" s="712"/>
      <c r="G50" s="712"/>
      <c r="H50" s="712"/>
      <c r="I50" s="712"/>
      <c r="J50" s="712"/>
      <c r="K50" s="712"/>
      <c r="L50" s="464"/>
      <c r="M50" s="441"/>
      <c r="N50" s="441"/>
      <c r="O50" s="441"/>
      <c r="P50" s="441"/>
      <c r="Q50" s="441"/>
      <c r="R50" s="441"/>
      <c r="S50" s="441"/>
      <c r="T50" s="441"/>
    </row>
    <row r="51" spans="2:32" s="98" customFormat="1">
      <c r="C51" s="469"/>
      <c r="D51" s="712"/>
      <c r="E51" s="712"/>
      <c r="F51" s="712"/>
      <c r="G51" s="712"/>
      <c r="H51" s="712"/>
      <c r="I51" s="712"/>
      <c r="J51" s="712"/>
      <c r="K51" s="712"/>
      <c r="L51" s="464"/>
      <c r="M51" s="441"/>
      <c r="N51" s="441"/>
      <c r="O51" s="441"/>
      <c r="P51" s="441"/>
      <c r="Q51" s="441"/>
      <c r="R51" s="441"/>
      <c r="S51" s="441"/>
      <c r="T51" s="441"/>
    </row>
    <row r="52" spans="2:32" ht="26.25" customHeight="1" thickBot="1">
      <c r="C52" s="23" t="s">
        <v>335</v>
      </c>
      <c r="D52" s="705"/>
      <c r="E52" s="705"/>
      <c r="F52" s="705"/>
      <c r="G52" s="705"/>
      <c r="H52" s="97"/>
      <c r="I52" s="97"/>
      <c r="J52" s="349">
        <f>J48-I48</f>
        <v>-51.009999999999991</v>
      </c>
      <c r="K52" s="70"/>
      <c r="L52" s="466"/>
      <c r="M52" s="441"/>
      <c r="N52" s="441"/>
      <c r="O52" s="441"/>
      <c r="P52" s="441"/>
      <c r="Q52" s="441"/>
      <c r="R52" s="441"/>
      <c r="S52" s="441"/>
      <c r="T52" s="441"/>
    </row>
    <row r="53" spans="2:32" ht="15" thickBot="1">
      <c r="C53" s="65" t="s">
        <v>52</v>
      </c>
      <c r="D53" s="66" t="s">
        <v>49</v>
      </c>
      <c r="E53" s="66" t="s">
        <v>50</v>
      </c>
      <c r="F53" s="66" t="s">
        <v>1</v>
      </c>
      <c r="G53" s="42"/>
      <c r="I53" s="97"/>
      <c r="M53" s="441"/>
      <c r="N53" s="441"/>
      <c r="O53" s="441"/>
      <c r="P53" s="441"/>
      <c r="Q53" s="441"/>
      <c r="R53" s="441"/>
      <c r="S53" s="441"/>
      <c r="T53" s="441"/>
      <c r="U53" s="98"/>
    </row>
    <row r="54" spans="2:32" ht="14.4">
      <c r="C54" s="26" t="s">
        <v>106</v>
      </c>
      <c r="D54" s="130">
        <v>2233421</v>
      </c>
      <c r="E54" s="130">
        <v>183857</v>
      </c>
      <c r="F54" s="130">
        <v>189616.81615909899</v>
      </c>
      <c r="G54" s="130"/>
      <c r="H54" s="364"/>
      <c r="I54" s="97"/>
      <c r="O54" s="98"/>
      <c r="P54" s="98"/>
      <c r="Q54" s="98"/>
      <c r="R54" s="98"/>
      <c r="S54" s="98"/>
      <c r="T54" s="98"/>
      <c r="U54" s="98"/>
    </row>
    <row r="55" spans="2:32" ht="14.4">
      <c r="C55" s="26" t="s">
        <v>107</v>
      </c>
      <c r="D55" s="130">
        <v>2552420</v>
      </c>
      <c r="E55" s="130">
        <v>346188</v>
      </c>
      <c r="F55" s="130">
        <v>258498.06617693813</v>
      </c>
      <c r="G55" s="130"/>
      <c r="H55" s="364"/>
      <c r="I55" s="70"/>
      <c r="O55" s="98"/>
      <c r="P55" s="98"/>
      <c r="Q55" s="98"/>
      <c r="R55" s="98"/>
      <c r="S55" s="98"/>
      <c r="T55" s="98"/>
      <c r="U55" s="98"/>
    </row>
    <row r="56" spans="2:32" ht="14.4">
      <c r="C56" s="26" t="s">
        <v>108</v>
      </c>
      <c r="D56" s="130">
        <v>2400267</v>
      </c>
      <c r="E56" s="130">
        <v>306158</v>
      </c>
      <c r="F56" s="130">
        <v>210090.54150672312</v>
      </c>
      <c r="G56" s="130"/>
      <c r="H56" s="364"/>
      <c r="O56" s="98"/>
      <c r="P56" s="98"/>
      <c r="Q56" s="98"/>
      <c r="R56" s="98"/>
      <c r="S56" s="98"/>
      <c r="T56" s="98"/>
      <c r="U56" s="98"/>
    </row>
    <row r="57" spans="2:32" ht="14.4">
      <c r="C57" s="26" t="s">
        <v>109</v>
      </c>
      <c r="D57" s="130">
        <v>1986349</v>
      </c>
      <c r="E57" s="130">
        <v>124173</v>
      </c>
      <c r="F57" s="130">
        <v>278778.14340608648</v>
      </c>
      <c r="G57" s="130"/>
      <c r="H57" s="364"/>
      <c r="O57" s="98"/>
      <c r="P57" s="98"/>
      <c r="Q57" s="98"/>
      <c r="R57" s="98"/>
      <c r="S57" s="98"/>
      <c r="T57" s="98"/>
      <c r="U57" s="98"/>
    </row>
    <row r="58" spans="2:32" ht="15" customHeight="1">
      <c r="C58" s="100" t="s">
        <v>110</v>
      </c>
      <c r="D58" s="131">
        <v>1886503</v>
      </c>
      <c r="E58" s="131">
        <f>'[8]6.2_BCF'!$G$42</f>
        <v>112642.772</v>
      </c>
      <c r="F58" s="131">
        <v>203164.27696665018</v>
      </c>
      <c r="G58" s="131"/>
      <c r="H58" s="364"/>
      <c r="O58" s="98"/>
      <c r="P58" s="98"/>
      <c r="Q58" s="98"/>
      <c r="R58" s="98"/>
      <c r="S58" s="98"/>
      <c r="T58" s="98"/>
      <c r="U58" s="98"/>
    </row>
    <row r="59" spans="2:32" ht="14.4">
      <c r="C59" s="100" t="s">
        <v>130</v>
      </c>
      <c r="D59" s="319">
        <v>1594730.6738931057</v>
      </c>
      <c r="E59" s="319">
        <v>122017</v>
      </c>
      <c r="F59" s="319">
        <v>225588.52340744235</v>
      </c>
      <c r="G59" s="319"/>
      <c r="H59" s="364"/>
      <c r="O59" s="98"/>
      <c r="P59" s="98"/>
      <c r="Q59" s="98"/>
      <c r="R59" s="98"/>
      <c r="S59" s="98"/>
      <c r="T59" s="98"/>
      <c r="U59" s="98"/>
    </row>
    <row r="60" spans="2:32" ht="15" thickBot="1">
      <c r="C60" s="43" t="s">
        <v>230</v>
      </c>
      <c r="D60" s="319">
        <v>1784260.43</v>
      </c>
      <c r="E60" s="319">
        <v>129361</v>
      </c>
      <c r="F60" s="319">
        <v>209156.92</v>
      </c>
      <c r="H60" s="364"/>
      <c r="O60" s="98"/>
      <c r="P60" s="98"/>
      <c r="Q60" s="98"/>
      <c r="R60" s="98"/>
      <c r="S60" s="98"/>
      <c r="T60" s="98"/>
      <c r="U60" s="98"/>
    </row>
    <row r="61" spans="2:32" ht="15" thickTop="1">
      <c r="C61" s="444" t="s">
        <v>339</v>
      </c>
      <c r="D61" s="445">
        <f>'[2]6.2_BCF'!$G$42</f>
        <v>1543932.8032709553</v>
      </c>
      <c r="E61" s="446">
        <f>'[4]6.2_BCF'!$G$42</f>
        <v>121081.7986954526</v>
      </c>
      <c r="F61" s="445">
        <f>'[3]6.2_BCF'!$G$45</f>
        <v>182801.76067276075</v>
      </c>
      <c r="H61" s="364"/>
      <c r="O61" s="98"/>
      <c r="P61" s="98"/>
      <c r="Q61" s="98"/>
      <c r="R61" s="98"/>
      <c r="S61" s="98"/>
      <c r="T61" s="98"/>
      <c r="U61" s="98"/>
    </row>
    <row r="62" spans="2:32" ht="55.5" customHeight="1">
      <c r="O62" s="98"/>
      <c r="P62" s="98"/>
      <c r="Q62" s="98"/>
      <c r="R62" s="98"/>
      <c r="S62" s="98"/>
      <c r="T62" s="98"/>
      <c r="U62" s="98"/>
    </row>
    <row r="63" spans="2:32">
      <c r="B63" s="673"/>
      <c r="C63" s="673"/>
      <c r="D63" s="673"/>
      <c r="E63" s="673"/>
      <c r="F63" s="673"/>
      <c r="H63" s="1" t="s">
        <v>534</v>
      </c>
      <c r="X63" s="1" t="s">
        <v>538</v>
      </c>
    </row>
    <row r="64" spans="2:32">
      <c r="B64" s="673"/>
      <c r="C64" s="673"/>
      <c r="D64" s="673"/>
      <c r="E64" s="673"/>
      <c r="F64" s="673"/>
      <c r="J64" t="s">
        <v>45</v>
      </c>
      <c r="X64" s="183"/>
      <c r="Y64" s="70"/>
      <c r="Z64" s="70"/>
      <c r="AA64" s="70"/>
      <c r="AB64" s="70"/>
      <c r="AC64" s="665"/>
      <c r="AD64" s="665"/>
      <c r="AE64" s="665"/>
      <c r="AF64" s="665"/>
    </row>
    <row r="65" spans="2:32" ht="14.4">
      <c r="B65" s="673"/>
      <c r="C65" s="673"/>
      <c r="D65" s="673"/>
      <c r="E65" s="673"/>
      <c r="F65" s="673"/>
      <c r="G65" s="364"/>
      <c r="I65" s="364"/>
      <c r="J65" s="364"/>
      <c r="K65" s="364"/>
      <c r="L65" s="364"/>
      <c r="M65" s="364"/>
      <c r="N65" s="364"/>
      <c r="O65" s="364"/>
      <c r="X65" s="183"/>
      <c r="Y65" s="668">
        <v>2014</v>
      </c>
      <c r="Z65" s="669">
        <v>2015</v>
      </c>
      <c r="AA65" s="669">
        <v>2016</v>
      </c>
      <c r="AB65" s="669">
        <v>2017</v>
      </c>
      <c r="AC65" s="669">
        <v>2018</v>
      </c>
      <c r="AD65" s="669">
        <v>2019</v>
      </c>
      <c r="AE65" s="669">
        <v>2020</v>
      </c>
      <c r="AF65" s="669">
        <v>2021</v>
      </c>
    </row>
    <row r="66" spans="2:32" ht="14.4">
      <c r="B66" s="673"/>
      <c r="C66" s="673"/>
      <c r="D66" s="673"/>
      <c r="E66" s="673"/>
      <c r="F66" s="673"/>
      <c r="G66" s="364"/>
      <c r="I66" s="364"/>
      <c r="J66" s="364"/>
      <c r="K66" s="364"/>
      <c r="L66" s="364"/>
      <c r="M66" s="364"/>
      <c r="N66" s="364"/>
      <c r="O66" s="364"/>
      <c r="Y66" s="788" t="s">
        <v>523</v>
      </c>
      <c r="Z66" s="789"/>
      <c r="AA66" s="789"/>
      <c r="AB66" s="789"/>
      <c r="AC66" s="789"/>
      <c r="AD66" s="789"/>
      <c r="AE66" s="789"/>
      <c r="AF66" s="790"/>
    </row>
    <row r="67" spans="2:32">
      <c r="B67" s="673"/>
      <c r="C67" s="673"/>
      <c r="D67" s="673"/>
      <c r="E67" s="673"/>
      <c r="F67" s="673"/>
      <c r="G67" s="364"/>
      <c r="I67" s="364"/>
      <c r="J67" s="364"/>
      <c r="K67" s="364"/>
      <c r="L67" s="364"/>
      <c r="M67" s="364"/>
      <c r="N67" s="364"/>
      <c r="O67" s="364"/>
      <c r="X67" s="70" t="s">
        <v>1</v>
      </c>
      <c r="Y67" s="670">
        <v>0</v>
      </c>
      <c r="Z67" s="670">
        <v>0</v>
      </c>
      <c r="AA67" s="670">
        <v>3.6737901700355016</v>
      </c>
      <c r="AB67" s="670">
        <v>3.5967214300160761</v>
      </c>
      <c r="AC67" s="670">
        <v>0</v>
      </c>
      <c r="AD67" s="670">
        <v>0.84104791003326795</v>
      </c>
      <c r="AE67" s="670">
        <v>1.6396501627136135</v>
      </c>
      <c r="AF67" s="670">
        <v>0</v>
      </c>
    </row>
    <row r="68" spans="2:32">
      <c r="B68" s="673"/>
      <c r="C68" s="673"/>
      <c r="D68" s="673"/>
      <c r="E68" s="673"/>
      <c r="F68" s="673"/>
      <c r="G68" s="364"/>
      <c r="I68" s="364"/>
      <c r="J68" s="364"/>
      <c r="K68" s="364"/>
      <c r="L68" s="364"/>
      <c r="M68" s="364"/>
      <c r="N68" s="364"/>
      <c r="O68" s="364"/>
      <c r="X68" s="454" t="s">
        <v>167</v>
      </c>
      <c r="Y68" s="670">
        <v>0</v>
      </c>
      <c r="Z68" s="670">
        <v>1.8329468480695179</v>
      </c>
      <c r="AA68" s="670">
        <v>0</v>
      </c>
      <c r="AB68" s="670">
        <v>0</v>
      </c>
      <c r="AC68" s="670">
        <v>0</v>
      </c>
      <c r="AD68" s="670">
        <v>0</v>
      </c>
      <c r="AE68" s="670">
        <v>1.6395733456230603</v>
      </c>
      <c r="AF68" s="670">
        <v>0.46297692133914903</v>
      </c>
    </row>
    <row r="69" spans="2:32">
      <c r="B69" s="673"/>
      <c r="C69" s="673"/>
      <c r="D69" s="673"/>
      <c r="E69" s="673"/>
      <c r="F69" s="673"/>
      <c r="G69" s="364"/>
      <c r="I69" s="364"/>
      <c r="J69" s="364"/>
      <c r="K69" s="364"/>
      <c r="L69" s="364"/>
      <c r="M69" s="364"/>
      <c r="N69" s="364"/>
      <c r="O69" s="364"/>
      <c r="X69" s="665" t="s">
        <v>50</v>
      </c>
      <c r="Y69" s="670">
        <v>0</v>
      </c>
      <c r="Z69" s="670">
        <v>0</v>
      </c>
      <c r="AA69" s="670">
        <v>0</v>
      </c>
      <c r="AB69" s="670">
        <v>0</v>
      </c>
      <c r="AC69" s="670">
        <v>4.4172760671595759</v>
      </c>
      <c r="AD69" s="670">
        <v>1.104319016789894</v>
      </c>
      <c r="AE69" s="670">
        <v>2.2086380335797879</v>
      </c>
      <c r="AF69" s="670">
        <v>0</v>
      </c>
    </row>
    <row r="70" spans="2:32">
      <c r="B70" s="673"/>
      <c r="C70" s="673"/>
      <c r="D70" s="673"/>
      <c r="E70" s="673"/>
      <c r="F70" s="673"/>
      <c r="G70" s="364"/>
      <c r="I70" s="364"/>
      <c r="J70" s="364"/>
      <c r="K70" s="364"/>
      <c r="L70" s="364"/>
      <c r="M70" s="364"/>
      <c r="N70" s="364"/>
      <c r="O70" s="364"/>
    </row>
    <row r="71" spans="2:32">
      <c r="B71" s="673"/>
      <c r="C71" s="673"/>
      <c r="D71" s="673"/>
      <c r="E71" s="673"/>
      <c r="F71" s="673"/>
      <c r="G71" s="364"/>
      <c r="I71" s="364"/>
      <c r="J71" s="364"/>
      <c r="K71" s="364"/>
      <c r="L71" s="364"/>
      <c r="M71" s="364"/>
      <c r="N71" s="364"/>
      <c r="O71" s="364"/>
    </row>
    <row r="72" spans="2:32">
      <c r="B72" s="673"/>
      <c r="C72" s="673"/>
      <c r="D72" s="673"/>
      <c r="E72" s="673"/>
      <c r="F72" s="673"/>
      <c r="G72" s="364"/>
      <c r="I72" s="364"/>
      <c r="J72" s="364"/>
      <c r="K72" s="364"/>
      <c r="L72" s="364"/>
      <c r="M72" s="364"/>
      <c r="N72" s="364"/>
      <c r="O72" s="364"/>
    </row>
    <row r="73" spans="2:32">
      <c r="B73" s="673"/>
      <c r="C73" s="673"/>
      <c r="D73" s="673"/>
      <c r="E73" s="673"/>
      <c r="F73" s="673"/>
      <c r="I73" s="364"/>
      <c r="J73" s="364"/>
      <c r="K73" s="364"/>
      <c r="L73" s="364"/>
      <c r="M73" s="364"/>
      <c r="N73" s="364"/>
      <c r="O73" s="364"/>
    </row>
    <row r="74" spans="2:32">
      <c r="B74" s="673"/>
      <c r="C74" s="673"/>
      <c r="D74" s="673"/>
      <c r="E74" s="673"/>
      <c r="F74" s="673"/>
      <c r="I74" s="364"/>
      <c r="J74" s="364" t="s">
        <v>44</v>
      </c>
      <c r="K74" s="364"/>
      <c r="L74" s="364"/>
      <c r="M74" s="364"/>
      <c r="N74" s="364"/>
      <c r="O74" s="364"/>
    </row>
    <row r="78" spans="2:32">
      <c r="S78" s="1" t="s">
        <v>598</v>
      </c>
      <c r="T78" s="674"/>
      <c r="U78" s="674"/>
      <c r="V78" s="674"/>
      <c r="W78" s="674"/>
    </row>
    <row r="79" spans="2:32" ht="13.2" thickBot="1">
      <c r="S79" s="674"/>
      <c r="T79" s="674"/>
      <c r="U79" s="674"/>
      <c r="V79" s="674"/>
      <c r="W79" s="674"/>
    </row>
    <row r="80" spans="2:32" ht="22.95" customHeight="1" thickTop="1">
      <c r="S80" s="701" t="s">
        <v>585</v>
      </c>
      <c r="T80" s="796" t="s">
        <v>587</v>
      </c>
      <c r="U80" s="796"/>
      <c r="V80" s="796"/>
      <c r="W80" s="796"/>
    </row>
    <row r="81" spans="10:35" ht="13.2" thickBot="1">
      <c r="S81" s="702" t="s">
        <v>586</v>
      </c>
      <c r="T81" s="702" t="s">
        <v>167</v>
      </c>
      <c r="U81" s="702" t="s">
        <v>588</v>
      </c>
      <c r="V81" s="702" t="s">
        <v>589</v>
      </c>
      <c r="W81" s="702" t="s">
        <v>590</v>
      </c>
    </row>
    <row r="82" spans="10:35">
      <c r="S82" s="797" t="s">
        <v>591</v>
      </c>
      <c r="T82" s="798">
        <v>24.63</v>
      </c>
      <c r="U82" s="798">
        <v>8.64</v>
      </c>
      <c r="V82" s="798">
        <v>18.04</v>
      </c>
      <c r="W82" s="797">
        <v>51.3</v>
      </c>
      <c r="Z82" s="1" t="s">
        <v>607</v>
      </c>
      <c r="AA82" s="716"/>
      <c r="AB82" s="716"/>
      <c r="AC82" s="70"/>
      <c r="AD82" s="70"/>
      <c r="AE82" s="70"/>
      <c r="AF82" s="716"/>
      <c r="AG82" s="716"/>
      <c r="AH82" s="716"/>
      <c r="AI82" s="716"/>
    </row>
    <row r="83" spans="10:35" ht="14.4">
      <c r="J83" t="s">
        <v>43</v>
      </c>
      <c r="S83" s="794"/>
      <c r="T83" s="792"/>
      <c r="U83" s="792"/>
      <c r="V83" s="792"/>
      <c r="W83" s="794"/>
      <c r="Z83" s="183"/>
      <c r="AA83" s="183"/>
      <c r="AB83" s="668">
        <v>2014</v>
      </c>
      <c r="AC83" s="669">
        <v>2015</v>
      </c>
      <c r="AD83" s="669">
        <v>2016</v>
      </c>
      <c r="AE83" s="669">
        <v>2017</v>
      </c>
      <c r="AF83" s="669">
        <v>2018</v>
      </c>
      <c r="AG83" s="669">
        <v>2019</v>
      </c>
      <c r="AH83" s="669">
        <v>2020</v>
      </c>
      <c r="AI83" s="669">
        <v>2021</v>
      </c>
    </row>
    <row r="84" spans="10:35" ht="14.4">
      <c r="S84" s="795" t="s">
        <v>592</v>
      </c>
      <c r="T84" s="792">
        <v>75.17</v>
      </c>
      <c r="U84" s="792">
        <v>8.89</v>
      </c>
      <c r="V84" s="792">
        <v>12.59</v>
      </c>
      <c r="W84" s="794">
        <v>96.65</v>
      </c>
      <c r="Z84" s="183"/>
      <c r="AA84" s="183"/>
      <c r="AB84" s="788" t="s">
        <v>523</v>
      </c>
      <c r="AC84" s="789"/>
      <c r="AD84" s="789"/>
      <c r="AE84" s="789"/>
      <c r="AF84" s="789"/>
      <c r="AG84" s="789"/>
      <c r="AH84" s="789"/>
      <c r="AI84" s="790"/>
    </row>
    <row r="85" spans="10:35">
      <c r="S85" s="795"/>
      <c r="T85" s="792"/>
      <c r="U85" s="792"/>
      <c r="V85" s="792"/>
      <c r="W85" s="794"/>
      <c r="Z85" s="70" t="s">
        <v>1</v>
      </c>
      <c r="AA85" s="70"/>
      <c r="AB85" s="670">
        <v>-5.1705904255780227E-2</v>
      </c>
      <c r="AC85" s="670">
        <v>-3.4209392301564889E-2</v>
      </c>
      <c r="AD85" s="670">
        <v>0</v>
      </c>
      <c r="AE85" s="670">
        <v>0</v>
      </c>
      <c r="AF85" s="670">
        <v>-2.3798841721905099E-2</v>
      </c>
      <c r="AG85" s="670">
        <v>0</v>
      </c>
      <c r="AH85" s="670">
        <v>0</v>
      </c>
      <c r="AI85" s="670">
        <v>-1.3864704645642413E-2</v>
      </c>
    </row>
    <row r="86" spans="10:35">
      <c r="S86" s="794" t="s">
        <v>593</v>
      </c>
      <c r="T86" s="792">
        <v>10.4</v>
      </c>
      <c r="U86" s="792">
        <v>-0.44</v>
      </c>
      <c r="V86" s="792">
        <v>0.72</v>
      </c>
      <c r="W86" s="794">
        <v>10.68</v>
      </c>
    </row>
    <row r="87" spans="10:35">
      <c r="S87" s="794"/>
      <c r="T87" s="792"/>
      <c r="U87" s="792"/>
      <c r="V87" s="792"/>
      <c r="W87" s="794"/>
    </row>
    <row r="88" spans="10:35">
      <c r="S88" s="794" t="s">
        <v>594</v>
      </c>
      <c r="T88" s="792">
        <v>3.94</v>
      </c>
      <c r="U88" s="792">
        <v>7.73</v>
      </c>
      <c r="V88" s="792">
        <v>9.75</v>
      </c>
      <c r="W88" s="794">
        <v>21.42</v>
      </c>
    </row>
    <row r="89" spans="10:35">
      <c r="S89" s="794"/>
      <c r="T89" s="792"/>
      <c r="U89" s="792"/>
      <c r="V89" s="792"/>
      <c r="W89" s="794"/>
    </row>
    <row r="90" spans="10:35" ht="21" customHeight="1">
      <c r="S90" s="794" t="s">
        <v>595</v>
      </c>
      <c r="T90" s="794" t="s">
        <v>596</v>
      </c>
      <c r="U90" s="794" t="s">
        <v>596</v>
      </c>
      <c r="V90" s="792">
        <v>-0.12</v>
      </c>
      <c r="W90" s="792">
        <v>-0.12</v>
      </c>
    </row>
    <row r="91" spans="10:35">
      <c r="S91" s="794"/>
      <c r="T91" s="794"/>
      <c r="U91" s="794"/>
      <c r="V91" s="792"/>
      <c r="W91" s="792"/>
    </row>
    <row r="92" spans="10:35">
      <c r="S92" s="791" t="s">
        <v>597</v>
      </c>
      <c r="T92" s="792">
        <v>114.14</v>
      </c>
      <c r="U92" s="792">
        <v>24.82</v>
      </c>
      <c r="V92" s="792">
        <v>40.97</v>
      </c>
      <c r="W92" s="793">
        <v>179.93</v>
      </c>
    </row>
    <row r="93" spans="10:35">
      <c r="J93" t="s">
        <v>42</v>
      </c>
      <c r="S93" s="791"/>
      <c r="T93" s="792"/>
      <c r="U93" s="792"/>
      <c r="V93" s="792"/>
      <c r="W93" s="793"/>
    </row>
    <row r="94" spans="10:35" ht="13.2" thickBot="1">
      <c r="S94" s="703"/>
      <c r="T94" s="703"/>
      <c r="U94" s="703"/>
      <c r="V94" s="703"/>
      <c r="W94" s="703"/>
    </row>
    <row r="95" spans="10:35" ht="13.2" thickTop="1">
      <c r="S95" s="674"/>
      <c r="T95" s="674"/>
      <c r="U95" s="674"/>
      <c r="V95" s="674"/>
      <c r="W95" s="674"/>
    </row>
    <row r="96" spans="10:35">
      <c r="S96" s="677" t="s">
        <v>599</v>
      </c>
      <c r="T96" s="674"/>
      <c r="U96" s="674"/>
      <c r="V96" s="674"/>
      <c r="W96" s="674"/>
    </row>
    <row r="104" spans="10:10">
      <c r="J104" t="s">
        <v>41</v>
      </c>
    </row>
    <row r="115" spans="10:10">
      <c r="J115" t="s">
        <v>40</v>
      </c>
    </row>
    <row r="124" spans="10:10">
      <c r="J124" t="s">
        <v>39</v>
      </c>
    </row>
    <row r="135" spans="10:10">
      <c r="J135" t="s">
        <v>38</v>
      </c>
    </row>
  </sheetData>
  <mergeCells count="55">
    <mergeCell ref="D21:E21"/>
    <mergeCell ref="H21:I21"/>
    <mergeCell ref="C15:H15"/>
    <mergeCell ref="F21:G21"/>
    <mergeCell ref="I6:I8"/>
    <mergeCell ref="C11:H11"/>
    <mergeCell ref="I12:I14"/>
    <mergeCell ref="AA5:AH5"/>
    <mergeCell ref="AA32:AH32"/>
    <mergeCell ref="AA23:AH23"/>
    <mergeCell ref="Y66:AF66"/>
    <mergeCell ref="H5:I5"/>
    <mergeCell ref="J21:K21"/>
    <mergeCell ref="L21:M21"/>
    <mergeCell ref="P21:Q21"/>
    <mergeCell ref="W26:W27"/>
    <mergeCell ref="R21:S21"/>
    <mergeCell ref="N21:O21"/>
    <mergeCell ref="X26:X27"/>
    <mergeCell ref="T26:T27"/>
    <mergeCell ref="U26:U27"/>
    <mergeCell ref="V26:V27"/>
    <mergeCell ref="S26:S27"/>
    <mergeCell ref="T80:W80"/>
    <mergeCell ref="S82:S83"/>
    <mergeCell ref="T82:T83"/>
    <mergeCell ref="U82:U83"/>
    <mergeCell ref="V82:V83"/>
    <mergeCell ref="W82:W83"/>
    <mergeCell ref="S84:S85"/>
    <mergeCell ref="T84:T85"/>
    <mergeCell ref="U84:U85"/>
    <mergeCell ref="V84:V85"/>
    <mergeCell ref="W84:W85"/>
    <mergeCell ref="S86:S87"/>
    <mergeCell ref="T86:T87"/>
    <mergeCell ref="U86:U87"/>
    <mergeCell ref="V86:V87"/>
    <mergeCell ref="W86:W87"/>
    <mergeCell ref="AB84:AI84"/>
    <mergeCell ref="S92:S93"/>
    <mergeCell ref="T92:T93"/>
    <mergeCell ref="U92:U93"/>
    <mergeCell ref="V92:V93"/>
    <mergeCell ref="W92:W93"/>
    <mergeCell ref="S90:S91"/>
    <mergeCell ref="T90:T91"/>
    <mergeCell ref="U90:U91"/>
    <mergeCell ref="V90:V91"/>
    <mergeCell ref="W90:W91"/>
    <mergeCell ref="S88:S89"/>
    <mergeCell ref="T88:T89"/>
    <mergeCell ref="U88:U89"/>
    <mergeCell ref="V88:V89"/>
    <mergeCell ref="W88:W89"/>
  </mergeCells>
  <phoneticPr fontId="80"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autoPageBreaks="0"/>
  </sheetPr>
  <dimension ref="B3:U104"/>
  <sheetViews>
    <sheetView topLeftCell="A17" zoomScale="52" zoomScaleNormal="98" workbookViewId="0">
      <selection activeCell="E94" sqref="E94:E95"/>
    </sheetView>
  </sheetViews>
  <sheetFormatPr defaultColWidth="9" defaultRowHeight="12.6"/>
  <cols>
    <col min="1" max="2" width="9" style="98"/>
    <col min="3" max="3" width="13.6328125" style="98" bestFit="1" customWidth="1"/>
    <col min="4" max="5" width="11.81640625" style="98" bestFit="1" customWidth="1"/>
    <col min="6" max="16384" width="9" style="98"/>
  </cols>
  <sheetData>
    <row r="3" spans="2:21">
      <c r="R3" s="23" t="s">
        <v>541</v>
      </c>
    </row>
    <row r="4" spans="2:21">
      <c r="B4" s="23" t="s">
        <v>540</v>
      </c>
    </row>
    <row r="5" spans="2:21">
      <c r="S5" s="161" t="s">
        <v>167</v>
      </c>
      <c r="T5" s="161"/>
      <c r="U5" s="161"/>
    </row>
    <row r="6" spans="2:21">
      <c r="C6" s="161" t="s">
        <v>1</v>
      </c>
      <c r="D6" s="161" t="s">
        <v>50</v>
      </c>
      <c r="E6" s="161" t="s">
        <v>167</v>
      </c>
      <c r="F6" s="161"/>
      <c r="R6" s="162" t="s">
        <v>106</v>
      </c>
      <c r="S6" s="115">
        <v>7.4089999999999998</v>
      </c>
      <c r="T6" s="115"/>
    </row>
    <row r="7" spans="2:21">
      <c r="B7" s="162" t="s">
        <v>110</v>
      </c>
      <c r="C7" s="115">
        <f>'Incentives - tables'!E6</f>
        <v>8.3000000000000007</v>
      </c>
      <c r="D7" s="115">
        <f>'Incentives - tables'!E7</f>
        <v>8</v>
      </c>
      <c r="E7" s="115">
        <f>'Incentives - tables'!E8</f>
        <v>7.883</v>
      </c>
      <c r="F7" s="115"/>
      <c r="R7" s="162" t="s">
        <v>107</v>
      </c>
      <c r="S7" s="115">
        <v>7.4009999999999998</v>
      </c>
      <c r="T7" s="115"/>
    </row>
    <row r="8" spans="2:21">
      <c r="B8" s="162" t="s">
        <v>130</v>
      </c>
      <c r="C8" s="115">
        <f>'Incentives - tables'!F6</f>
        <v>8.5</v>
      </c>
      <c r="D8" s="115">
        <f>'Incentives - tables'!F7</f>
        <v>8.1999999999999993</v>
      </c>
      <c r="E8" s="115">
        <f>'Incentives - tables'!F8</f>
        <v>7.9189999999999996</v>
      </c>
      <c r="F8" s="115"/>
      <c r="R8" s="162" t="s">
        <v>108</v>
      </c>
      <c r="S8" s="115">
        <v>7.5380000000000003</v>
      </c>
      <c r="T8" s="114"/>
    </row>
    <row r="9" spans="2:21">
      <c r="B9" s="162" t="s">
        <v>230</v>
      </c>
      <c r="C9" s="115">
        <f>'Incentives - tables'!G6</f>
        <v>8.4</v>
      </c>
      <c r="D9" s="115">
        <f>'Incentives - tables'!G7</f>
        <v>8.4</v>
      </c>
      <c r="E9" s="115">
        <f>'Incentives - tables'!G8</f>
        <v>8.6370000000000005</v>
      </c>
      <c r="F9" s="115"/>
      <c r="R9" s="162" t="s">
        <v>109</v>
      </c>
      <c r="S9" s="115">
        <f>'Incentives - tables'!D16</f>
        <v>7.41</v>
      </c>
      <c r="T9" s="114"/>
    </row>
    <row r="10" spans="2:21">
      <c r="B10" s="162" t="s">
        <v>339</v>
      </c>
      <c r="C10" s="115">
        <f>'Incentives - tables'!H6</f>
        <v>8.6</v>
      </c>
      <c r="D10" s="115">
        <f>'Incentives - tables'!H7</f>
        <v>8.1999999999999993</v>
      </c>
      <c r="E10" s="115">
        <f>'Incentives - tables'!H8</f>
        <v>8.8539999999999992</v>
      </c>
      <c r="F10" s="115"/>
      <c r="R10" s="162" t="s">
        <v>110</v>
      </c>
      <c r="S10" s="115">
        <f>'Incentives - tables'!E16</f>
        <v>7.7430000000000003</v>
      </c>
      <c r="T10" s="114"/>
    </row>
    <row r="11" spans="2:21">
      <c r="B11" s="162" t="s">
        <v>114</v>
      </c>
      <c r="C11" s="98">
        <v>7.4</v>
      </c>
      <c r="D11" s="98">
        <v>7.4</v>
      </c>
      <c r="E11" s="98">
        <v>7.4</v>
      </c>
      <c r="F11" s="115"/>
      <c r="R11" s="162" t="s">
        <v>130</v>
      </c>
      <c r="S11" s="115">
        <f>'Incentives - tables'!F16</f>
        <v>7.9240000000000004</v>
      </c>
      <c r="T11" s="115"/>
    </row>
    <row r="12" spans="2:21">
      <c r="F12" s="115"/>
      <c r="R12" s="162" t="s">
        <v>230</v>
      </c>
      <c r="S12" s="115">
        <f>'Incentives - tables'!G16</f>
        <v>8.2110000000000003</v>
      </c>
    </row>
    <row r="13" spans="2:21">
      <c r="B13" s="162" t="s">
        <v>237</v>
      </c>
      <c r="C13" s="114">
        <f>AVERAGE(C7:C10)</f>
        <v>8.4500000000000011</v>
      </c>
      <c r="D13" s="114">
        <f>AVERAGE(D7:D10)</f>
        <v>8.1999999999999993</v>
      </c>
      <c r="E13" s="114">
        <f>AVERAGE(E7:E10)</f>
        <v>8.3232499999999998</v>
      </c>
      <c r="R13" s="162" t="s">
        <v>339</v>
      </c>
      <c r="S13" s="38">
        <f>'Incentives - tables'!H16</f>
        <v>8.3849999999999998</v>
      </c>
    </row>
    <row r="14" spans="2:21">
      <c r="R14" s="364"/>
      <c r="S14" s="364"/>
    </row>
    <row r="15" spans="2:21">
      <c r="R15" s="162" t="s">
        <v>114</v>
      </c>
      <c r="S15" s="98">
        <v>6.9</v>
      </c>
    </row>
    <row r="16" spans="2:21">
      <c r="R16" s="162" t="s">
        <v>238</v>
      </c>
      <c r="S16" s="115">
        <f>AVERAGE(S6:S13)</f>
        <v>7.7526249999999992</v>
      </c>
    </row>
    <row r="17" spans="2:5" ht="13.2">
      <c r="B17" s="164"/>
    </row>
    <row r="19" spans="2:5">
      <c r="B19" s="1"/>
    </row>
    <row r="25" spans="2:5">
      <c r="B25" s="23" t="s">
        <v>539</v>
      </c>
    </row>
    <row r="26" spans="2:5">
      <c r="C26" s="161" t="s">
        <v>1</v>
      </c>
      <c r="D26" s="161" t="s">
        <v>167</v>
      </c>
      <c r="E26" s="161" t="s">
        <v>50</v>
      </c>
    </row>
    <row r="27" spans="2:5">
      <c r="B27" s="162" t="s">
        <v>106</v>
      </c>
      <c r="C27" s="98">
        <f>'Incentives - tables'!D23</f>
        <v>42.2</v>
      </c>
      <c r="D27" s="98">
        <f>'Incentives - tables'!D24</f>
        <v>135</v>
      </c>
      <c r="E27" s="98">
        <f>'Incentives - tables'!D25</f>
        <v>35.6</v>
      </c>
    </row>
    <row r="28" spans="2:5">
      <c r="B28" s="162" t="s">
        <v>107</v>
      </c>
      <c r="C28" s="147">
        <f>'Incentives - tables'!F23</f>
        <v>2.8</v>
      </c>
      <c r="D28" s="98">
        <f>'Incentives - tables'!F24</f>
        <v>8.6999999999999993</v>
      </c>
      <c r="E28" s="98">
        <f>'Incentives - tables'!F25</f>
        <v>106.1</v>
      </c>
    </row>
    <row r="29" spans="2:5">
      <c r="B29" s="162" t="s">
        <v>108</v>
      </c>
      <c r="C29" s="147">
        <f>'Incentives - tables'!H23</f>
        <v>13.9</v>
      </c>
      <c r="D29" s="98">
        <f>'Incentives - tables'!H24</f>
        <v>4.5</v>
      </c>
      <c r="E29" s="98">
        <f>'Incentives - tables'!H25</f>
        <v>0</v>
      </c>
    </row>
    <row r="30" spans="2:5">
      <c r="B30" s="162" t="s">
        <v>109</v>
      </c>
      <c r="C30" s="147">
        <f>'Incentives - tables'!J23</f>
        <v>10.3</v>
      </c>
      <c r="D30" s="98">
        <f>'Incentives - tables'!J24</f>
        <v>6.8</v>
      </c>
      <c r="E30" s="98">
        <f>'Incentives - tables'!J25</f>
        <v>4.4000000000000004</v>
      </c>
    </row>
    <row r="31" spans="2:5">
      <c r="B31" s="162" t="s">
        <v>110</v>
      </c>
      <c r="C31" s="147">
        <f>'Incentives - tables'!L23</f>
        <v>3</v>
      </c>
      <c r="D31" s="98">
        <f>'Incentives - tables'!L24</f>
        <v>39.700000000000003</v>
      </c>
      <c r="E31" s="98">
        <f>'Incentives - tables'!L25</f>
        <v>24.3</v>
      </c>
    </row>
    <row r="32" spans="2:5">
      <c r="B32" s="162" t="s">
        <v>130</v>
      </c>
      <c r="C32" s="147">
        <f>'Incentives - tables'!N23</f>
        <v>39.1</v>
      </c>
      <c r="D32" s="98">
        <f>'Incentives - tables'!N24</f>
        <v>12</v>
      </c>
      <c r="E32" s="98">
        <f>'Incentives - tables'!N25</f>
        <v>0</v>
      </c>
    </row>
    <row r="33" spans="2:19">
      <c r="B33" s="162" t="s">
        <v>230</v>
      </c>
      <c r="C33" s="147">
        <f>'Incentives - tables'!P23</f>
        <v>2</v>
      </c>
      <c r="D33" s="98">
        <f>'Incentives - tables'!P24</f>
        <v>54.4</v>
      </c>
      <c r="E33" s="98">
        <f>'Incentives - tables'!P25</f>
        <v>1.2</v>
      </c>
    </row>
    <row r="34" spans="2:19">
      <c r="B34" s="162" t="s">
        <v>339</v>
      </c>
      <c r="C34" s="147">
        <f>'Incentives - tables'!R23</f>
        <v>47.98</v>
      </c>
      <c r="D34" s="364">
        <f>'Incentives - tables'!R24</f>
        <v>0</v>
      </c>
      <c r="E34" s="364">
        <f>'Incentives - tables'!R25</f>
        <v>0</v>
      </c>
    </row>
    <row r="35" spans="2:19">
      <c r="B35" s="162"/>
    </row>
    <row r="36" spans="2:19">
      <c r="B36" s="162" t="s">
        <v>237</v>
      </c>
      <c r="C36" s="147">
        <f>AVERAGE(C27:C34)</f>
        <v>20.16</v>
      </c>
      <c r="D36" s="147">
        <f>AVERAGE(D27:D34)</f>
        <v>32.637499999999996</v>
      </c>
      <c r="E36" s="147">
        <f>AVERAGE(E27:E34)</f>
        <v>21.45</v>
      </c>
    </row>
    <row r="38" spans="2:19">
      <c r="I38" s="677" t="s">
        <v>318</v>
      </c>
    </row>
    <row r="39" spans="2:19">
      <c r="C39" s="98" t="s">
        <v>168</v>
      </c>
    </row>
    <row r="40" spans="2:19">
      <c r="C40" s="98" t="s">
        <v>169</v>
      </c>
    </row>
    <row r="41" spans="2:19">
      <c r="C41" s="98" t="s">
        <v>170</v>
      </c>
    </row>
    <row r="45" spans="2:19">
      <c r="J45" s="677" t="s">
        <v>316</v>
      </c>
    </row>
    <row r="46" spans="2:19">
      <c r="S46" s="677" t="s">
        <v>317</v>
      </c>
    </row>
    <row r="49" spans="2:10" ht="15">
      <c r="B49" s="23" t="s">
        <v>542</v>
      </c>
    </row>
    <row r="51" spans="2:10">
      <c r="B51" s="162"/>
      <c r="C51" s="161" t="s">
        <v>1</v>
      </c>
      <c r="D51" s="161" t="s">
        <v>50</v>
      </c>
      <c r="E51" s="161"/>
      <c r="G51" s="161" t="s">
        <v>49</v>
      </c>
    </row>
    <row r="52" spans="2:10">
      <c r="B52" s="162" t="str">
        <f>B27</f>
        <v>2013-14</v>
      </c>
      <c r="C52" s="98">
        <f>-'Incentives - tables'!V32</f>
        <v>139.00307279999981</v>
      </c>
      <c r="D52" s="98">
        <f>-'Incentives - tables'!W32</f>
        <v>184.57</v>
      </c>
      <c r="F52" s="162" t="s">
        <v>106</v>
      </c>
      <c r="G52" s="98">
        <f>-'Incentives - tables'!U32</f>
        <v>-1942.8587925000011</v>
      </c>
    </row>
    <row r="53" spans="2:10">
      <c r="B53" s="162" t="s">
        <v>107</v>
      </c>
      <c r="C53" s="288">
        <f>-'Incentives - tables'!V33</f>
        <v>34.980372799999714</v>
      </c>
      <c r="D53" s="288">
        <f>-'Incentives - tables'!W33</f>
        <v>166.1</v>
      </c>
      <c r="F53" s="162" t="s">
        <v>107</v>
      </c>
      <c r="G53" s="288">
        <f>-'Incentives - tables'!U33</f>
        <v>-2614.0326850000001</v>
      </c>
    </row>
    <row r="54" spans="2:10">
      <c r="B54" s="162" t="s">
        <v>108</v>
      </c>
      <c r="C54" s="288">
        <f>-'Incentives - tables'!V34</f>
        <v>-46.397827200000165</v>
      </c>
      <c r="D54" s="288">
        <f>-'Incentives - tables'!W34</f>
        <v>48.574000000000012</v>
      </c>
      <c r="F54" s="162" t="s">
        <v>108</v>
      </c>
      <c r="G54" s="288">
        <f>-'Incentives - tables'!U34</f>
        <v>-2557.9516900000035</v>
      </c>
    </row>
    <row r="55" spans="2:10">
      <c r="B55" s="162" t="s">
        <v>109</v>
      </c>
      <c r="C55" s="288">
        <f>-'Incentives - tables'!V35</f>
        <v>-205.0589222000001</v>
      </c>
      <c r="D55" s="288">
        <f>-'Incentives - tables'!W35</f>
        <v>7.9000000000007731E-2</v>
      </c>
      <c r="F55" s="162" t="s">
        <v>109</v>
      </c>
      <c r="G55" s="288">
        <f>-'Incentives - tables'!U35</f>
        <v>-1353.4162200000028</v>
      </c>
    </row>
    <row r="56" spans="2:10">
      <c r="B56" s="162" t="s">
        <v>110</v>
      </c>
      <c r="C56" s="288">
        <f>-'Incentives - tables'!V36</f>
        <v>-213.58500720000029</v>
      </c>
      <c r="D56" s="288">
        <f>-'Incentives - tables'!W36</f>
        <v>-13.31475000000006</v>
      </c>
      <c r="F56" s="162" t="s">
        <v>110</v>
      </c>
      <c r="G56" s="288">
        <f>-'Incentives - tables'!U36</f>
        <v>-2843.6260675000012</v>
      </c>
    </row>
    <row r="57" spans="2:10">
      <c r="B57" s="162" t="s">
        <v>130</v>
      </c>
      <c r="C57" s="288">
        <f>-'Incentives - tables'!V37</f>
        <v>-10.772957200000292</v>
      </c>
      <c r="D57" s="288">
        <f>-'Incentives - tables'!W37</f>
        <v>-5.0717500000000086</v>
      </c>
      <c r="F57" s="162" t="s">
        <v>130</v>
      </c>
      <c r="G57" s="288">
        <f>-'Incentives - tables'!U37</f>
        <v>-204.24755250000089</v>
      </c>
    </row>
    <row r="58" spans="2:10">
      <c r="B58" s="162" t="s">
        <v>230</v>
      </c>
      <c r="C58" s="288">
        <f>-'Incentives - tables'!V38</f>
        <v>-359.48165720000043</v>
      </c>
      <c r="D58" s="288">
        <f>-'Incentives - tables'!W38</f>
        <v>45.938249999999982</v>
      </c>
      <c r="F58" s="162" t="s">
        <v>230</v>
      </c>
      <c r="G58" s="364">
        <f>-'Incentives - tables'!U38</f>
        <v>27.378893750001225</v>
      </c>
    </row>
    <row r="59" spans="2:10">
      <c r="B59" s="162" t="s">
        <v>339</v>
      </c>
      <c r="C59" s="364">
        <f>-'Incentives - tables'!V39</f>
        <v>-132.96519920000037</v>
      </c>
      <c r="D59" s="364">
        <f>-'Incentives - tables'!W39</f>
        <v>85.288250000000062</v>
      </c>
      <c r="F59" s="162" t="s">
        <v>339</v>
      </c>
      <c r="G59" s="364">
        <f>-'Incentives - tables'!U39</f>
        <v>-696.27862999999707</v>
      </c>
    </row>
    <row r="60" spans="2:10">
      <c r="F60" s="162"/>
      <c r="G60" s="162"/>
      <c r="H60" s="162"/>
      <c r="I60" s="162"/>
      <c r="J60" s="162"/>
    </row>
    <row r="62" spans="2:10">
      <c r="E62" s="162"/>
    </row>
    <row r="68" spans="2:5" ht="15">
      <c r="B68" s="23" t="s">
        <v>543</v>
      </c>
    </row>
    <row r="70" spans="2:5">
      <c r="C70" s="161" t="s">
        <v>49</v>
      </c>
      <c r="D70" s="161" t="s">
        <v>50</v>
      </c>
      <c r="E70" s="161" t="s">
        <v>1</v>
      </c>
    </row>
    <row r="71" spans="2:5">
      <c r="B71" s="162" t="s">
        <v>107</v>
      </c>
      <c r="C71" s="163">
        <f>'Incentives - tables'!D55</f>
        <v>2552420</v>
      </c>
      <c r="D71" s="163">
        <f>'Incentives - tables'!E55</f>
        <v>346188</v>
      </c>
      <c r="E71" s="163">
        <f>'Incentives - tables'!F55</f>
        <v>258498.06617693813</v>
      </c>
    </row>
    <row r="72" spans="2:5">
      <c r="B72" s="162" t="s">
        <v>108</v>
      </c>
      <c r="C72" s="163">
        <f>'Incentives - tables'!D56</f>
        <v>2400267</v>
      </c>
      <c r="D72" s="163">
        <f>'Incentives - tables'!E56</f>
        <v>306158</v>
      </c>
      <c r="E72" s="163">
        <f>'Incentives - tables'!F56</f>
        <v>210090.54150672312</v>
      </c>
    </row>
    <row r="73" spans="2:5">
      <c r="B73" s="162" t="s">
        <v>109</v>
      </c>
      <c r="C73" s="163">
        <f>'Incentives - tables'!D57</f>
        <v>1986349</v>
      </c>
      <c r="D73" s="163">
        <f>'Incentives - tables'!E57</f>
        <v>124173</v>
      </c>
      <c r="E73" s="163">
        <f>'Incentives - tables'!F57</f>
        <v>278778.14340608648</v>
      </c>
    </row>
    <row r="74" spans="2:5">
      <c r="B74" s="162" t="s">
        <v>110</v>
      </c>
      <c r="C74" s="163">
        <f>'Incentives - tables'!D58</f>
        <v>1886503</v>
      </c>
      <c r="D74" s="163">
        <f>'Incentives - tables'!E58</f>
        <v>112642.772</v>
      </c>
      <c r="E74" s="163">
        <f>'Incentives - tables'!F58</f>
        <v>203164.27696665018</v>
      </c>
    </row>
    <row r="75" spans="2:5">
      <c r="B75" s="162" t="s">
        <v>130</v>
      </c>
      <c r="C75" s="163">
        <f>'Incentives - tables'!D59</f>
        <v>1594730.6738931057</v>
      </c>
      <c r="D75" s="163">
        <f>'Incentives - tables'!E59</f>
        <v>122017</v>
      </c>
      <c r="E75" s="163">
        <f>'Incentives - tables'!F59</f>
        <v>225588.52340744235</v>
      </c>
    </row>
    <row r="76" spans="2:5">
      <c r="B76" s="162" t="s">
        <v>230</v>
      </c>
      <c r="C76" s="163">
        <f>'Incentives - tables'!D60</f>
        <v>1784260.43</v>
      </c>
      <c r="D76" s="163">
        <f>'Incentives - tables'!E60</f>
        <v>129361</v>
      </c>
      <c r="E76" s="163">
        <f>'Incentives - tables'!F60</f>
        <v>209156.92</v>
      </c>
    </row>
    <row r="77" spans="2:5">
      <c r="B77" s="162" t="s">
        <v>339</v>
      </c>
      <c r="C77" s="163">
        <f>'Incentives - tables'!D61</f>
        <v>1543932.8032709553</v>
      </c>
      <c r="D77" s="163">
        <f>'Incentives - tables'!E61</f>
        <v>121081.7986954526</v>
      </c>
      <c r="E77" s="163">
        <f>'Incentives - tables'!F61</f>
        <v>182801.76067276075</v>
      </c>
    </row>
    <row r="82" spans="2:18">
      <c r="B82" s="132"/>
      <c r="C82" s="132"/>
      <c r="D82" s="132"/>
      <c r="E82" s="132"/>
      <c r="F82" s="132"/>
      <c r="G82" s="132"/>
    </row>
    <row r="83" spans="2:18">
      <c r="B83" s="132"/>
      <c r="C83" s="132"/>
      <c r="D83" s="132"/>
      <c r="E83" s="132"/>
      <c r="F83" s="132"/>
      <c r="G83" s="132"/>
    </row>
    <row r="84" spans="2:18">
      <c r="B84" s="132"/>
      <c r="C84" s="132"/>
      <c r="D84" s="132"/>
      <c r="E84" s="132"/>
      <c r="F84" s="132"/>
      <c r="G84" s="132"/>
    </row>
    <row r="85" spans="2:18">
      <c r="B85" s="132"/>
      <c r="C85" s="132"/>
      <c r="D85" s="132"/>
      <c r="E85" s="132"/>
      <c r="F85" s="132"/>
      <c r="G85" s="132"/>
    </row>
    <row r="86" spans="2:18">
      <c r="B86" s="191"/>
      <c r="C86" s="132"/>
      <c r="D86" s="132"/>
      <c r="E86" s="132"/>
      <c r="F86" s="132"/>
      <c r="G86" s="132"/>
    </row>
    <row r="87" spans="2:18">
      <c r="B87" s="132"/>
      <c r="C87" s="132"/>
      <c r="D87" s="132"/>
      <c r="E87" s="132"/>
      <c r="F87" s="132"/>
      <c r="G87" s="132"/>
    </row>
    <row r="88" spans="2:18">
      <c r="B88" s="738"/>
      <c r="C88" s="817"/>
      <c r="D88" s="817"/>
      <c r="E88" s="817"/>
      <c r="F88" s="817"/>
      <c r="G88" s="132"/>
    </row>
    <row r="89" spans="2:18">
      <c r="B89" s="738"/>
      <c r="C89" s="738"/>
      <c r="D89" s="738"/>
      <c r="E89" s="738"/>
      <c r="F89" s="738"/>
      <c r="G89" s="132"/>
    </row>
    <row r="90" spans="2:18" ht="43.95" customHeight="1">
      <c r="B90" s="818"/>
      <c r="C90" s="819"/>
      <c r="D90" s="819"/>
      <c r="E90" s="819"/>
      <c r="F90" s="818"/>
      <c r="G90" s="132"/>
    </row>
    <row r="91" spans="2:18">
      <c r="B91" s="818"/>
      <c r="C91" s="819"/>
      <c r="D91" s="819"/>
      <c r="E91" s="819"/>
      <c r="F91" s="818"/>
      <c r="G91" s="132"/>
    </row>
    <row r="92" spans="2:18" ht="32.549999999999997" customHeight="1">
      <c r="B92" s="795"/>
      <c r="C92" s="792"/>
      <c r="D92" s="792"/>
      <c r="E92" s="792"/>
      <c r="F92" s="794"/>
    </row>
    <row r="93" spans="2:18">
      <c r="B93" s="795"/>
      <c r="C93" s="792"/>
      <c r="D93" s="792"/>
      <c r="E93" s="792"/>
      <c r="F93" s="794"/>
      <c r="R93" s="1"/>
    </row>
    <row r="94" spans="2:18" ht="22.05" customHeight="1">
      <c r="B94" s="794"/>
      <c r="C94" s="792"/>
      <c r="D94" s="792"/>
      <c r="E94" s="792"/>
      <c r="F94" s="794"/>
    </row>
    <row r="95" spans="2:18">
      <c r="B95" s="794"/>
      <c r="C95" s="792"/>
      <c r="D95" s="792"/>
      <c r="E95" s="792"/>
      <c r="F95" s="794"/>
    </row>
    <row r="96" spans="2:18" ht="32.549999999999997" customHeight="1">
      <c r="B96" s="794"/>
      <c r="C96" s="792"/>
      <c r="D96" s="792"/>
      <c r="E96" s="792"/>
      <c r="F96" s="794"/>
    </row>
    <row r="97" spans="2:6">
      <c r="B97" s="794"/>
      <c r="C97" s="792"/>
      <c r="D97" s="792"/>
      <c r="E97" s="792"/>
      <c r="F97" s="794"/>
    </row>
    <row r="98" spans="2:6" ht="55.5" customHeight="1">
      <c r="B98" s="794"/>
      <c r="C98" s="794"/>
      <c r="D98" s="794"/>
      <c r="E98" s="792"/>
      <c r="F98" s="792"/>
    </row>
    <row r="99" spans="2:6">
      <c r="B99" s="794"/>
      <c r="C99" s="794"/>
      <c r="D99" s="794"/>
      <c r="E99" s="792"/>
      <c r="F99" s="792"/>
    </row>
    <row r="100" spans="2:6" ht="21" customHeight="1">
      <c r="B100" s="791"/>
      <c r="C100" s="792"/>
      <c r="D100" s="792"/>
      <c r="E100" s="792"/>
      <c r="F100" s="793"/>
    </row>
    <row r="101" spans="2:6">
      <c r="B101" s="791"/>
      <c r="C101" s="792"/>
      <c r="D101" s="792"/>
      <c r="E101" s="792"/>
      <c r="F101" s="793"/>
    </row>
    <row r="102" spans="2:6" ht="13.2" thickBot="1">
      <c r="B102" s="703"/>
      <c r="C102" s="703"/>
      <c r="D102" s="703"/>
      <c r="E102" s="703"/>
      <c r="F102" s="703"/>
    </row>
    <row r="103" spans="2:6" ht="13.2" thickTop="1"/>
    <row r="104" spans="2:6">
      <c r="B104" s="677"/>
    </row>
  </sheetData>
  <mergeCells count="31">
    <mergeCell ref="C88:F88"/>
    <mergeCell ref="B90:B91"/>
    <mergeCell ref="C90:C91"/>
    <mergeCell ref="D90:D91"/>
    <mergeCell ref="E90:E91"/>
    <mergeCell ref="F90:F91"/>
    <mergeCell ref="B94:B95"/>
    <mergeCell ref="C94:C95"/>
    <mergeCell ref="D94:D95"/>
    <mergeCell ref="E94:E95"/>
    <mergeCell ref="F94:F95"/>
    <mergeCell ref="B92:B93"/>
    <mergeCell ref="C92:C93"/>
    <mergeCell ref="D92:D93"/>
    <mergeCell ref="E92:E93"/>
    <mergeCell ref="F92:F93"/>
    <mergeCell ref="B98:B99"/>
    <mergeCell ref="C98:C99"/>
    <mergeCell ref="D98:D99"/>
    <mergeCell ref="E98:E99"/>
    <mergeCell ref="F98:F99"/>
    <mergeCell ref="B96:B97"/>
    <mergeCell ref="C96:C97"/>
    <mergeCell ref="D96:D97"/>
    <mergeCell ref="E96:E97"/>
    <mergeCell ref="F96:F97"/>
    <mergeCell ref="B100:B101"/>
    <mergeCell ref="C100:C101"/>
    <mergeCell ref="D100:D101"/>
    <mergeCell ref="E100:E101"/>
    <mergeCell ref="F100:F101"/>
  </mergeCells>
  <phoneticPr fontId="80" type="noConversion"/>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autoPageBreaks="0"/>
  </sheetPr>
  <dimension ref="A2:L48"/>
  <sheetViews>
    <sheetView topLeftCell="A5" zoomScale="70" zoomScaleNormal="70" workbookViewId="0">
      <selection activeCell="F30" sqref="F30"/>
    </sheetView>
  </sheetViews>
  <sheetFormatPr defaultRowHeight="12.6"/>
  <cols>
    <col min="2" max="2" width="21.81640625" customWidth="1"/>
    <col min="4" max="4" width="10.7265625" customWidth="1"/>
  </cols>
  <sheetData>
    <row r="2" spans="1:12">
      <c r="F2" s="364"/>
    </row>
    <row r="3" spans="1:12">
      <c r="F3" s="364"/>
    </row>
    <row r="4" spans="1:12">
      <c r="B4" s="24" t="s">
        <v>544</v>
      </c>
    </row>
    <row r="5" spans="1:12" ht="13.5" customHeight="1" thickBot="1">
      <c r="B5" s="24"/>
      <c r="J5" s="364"/>
    </row>
    <row r="6" spans="1:12" ht="12.45" customHeight="1">
      <c r="B6" s="820"/>
      <c r="C6" s="433"/>
      <c r="D6" s="434"/>
      <c r="E6" s="434"/>
      <c r="F6" s="438" t="s">
        <v>606</v>
      </c>
      <c r="G6" s="434"/>
      <c r="H6" s="434"/>
      <c r="I6" s="434"/>
      <c r="J6" s="437"/>
    </row>
    <row r="7" spans="1:12" ht="13.95" customHeight="1" thickBot="1">
      <c r="B7" s="821"/>
      <c r="C7" s="435"/>
      <c r="D7" s="436"/>
      <c r="E7" s="436"/>
      <c r="F7" s="439" t="s">
        <v>442</v>
      </c>
      <c r="G7" s="436"/>
      <c r="H7" s="436"/>
      <c r="I7" s="436"/>
      <c r="J7" s="67"/>
    </row>
    <row r="8" spans="1:12" ht="12.45" customHeight="1">
      <c r="B8" s="707" t="s">
        <v>0</v>
      </c>
      <c r="C8" s="709" t="s">
        <v>71</v>
      </c>
      <c r="D8" s="709" t="s">
        <v>72</v>
      </c>
      <c r="E8" s="709" t="s">
        <v>73</v>
      </c>
      <c r="F8" s="32"/>
      <c r="G8" s="32"/>
      <c r="H8" s="32"/>
      <c r="I8" s="32"/>
      <c r="J8" s="32"/>
    </row>
    <row r="9" spans="1:12" ht="13.2" thickBot="1">
      <c r="B9" s="708"/>
      <c r="C9" s="710"/>
      <c r="D9" s="710"/>
      <c r="E9" s="710"/>
      <c r="F9" s="33" t="s">
        <v>74</v>
      </c>
      <c r="G9" s="67" t="s">
        <v>118</v>
      </c>
      <c r="H9" s="67" t="s">
        <v>132</v>
      </c>
      <c r="I9" s="67" t="s">
        <v>323</v>
      </c>
      <c r="J9" s="67" t="s">
        <v>324</v>
      </c>
    </row>
    <row r="10" spans="1:12" ht="13.2" thickBot="1">
      <c r="B10" s="68" t="s">
        <v>49</v>
      </c>
      <c r="C10" s="714">
        <v>6.584635490856007</v>
      </c>
      <c r="D10" s="714">
        <v>7.7626098564228059</v>
      </c>
      <c r="E10" s="714">
        <v>8.5459831291679969</v>
      </c>
      <c r="F10" s="714">
        <v>5.8343466978789786</v>
      </c>
      <c r="G10" s="714">
        <v>4.8850407320740334</v>
      </c>
      <c r="H10" s="714">
        <v>7.7242831213683125</v>
      </c>
      <c r="I10" s="714">
        <v>7.7157548373050684</v>
      </c>
      <c r="J10" s="714">
        <v>7.2201705157511649</v>
      </c>
    </row>
    <row r="11" spans="1:12" ht="13.2" thickBot="1">
      <c r="B11" s="68" t="s">
        <v>1</v>
      </c>
      <c r="C11" s="714">
        <v>0.78120255854814424</v>
      </c>
      <c r="D11" s="714">
        <v>0.80184631937706363</v>
      </c>
      <c r="E11" s="714">
        <v>1.0079711255710593</v>
      </c>
      <c r="F11" s="714">
        <v>1.3331214811064984</v>
      </c>
      <c r="G11" s="714">
        <v>1.402004009079403</v>
      </c>
      <c r="H11" s="714">
        <v>1.3617501071122649</v>
      </c>
      <c r="I11" s="714">
        <v>1.7263672119331666</v>
      </c>
      <c r="J11" s="714">
        <v>1.5143495131226048</v>
      </c>
      <c r="L11" s="288"/>
    </row>
    <row r="12" spans="1:12" ht="13.2" thickBot="1">
      <c r="B12" s="68" t="s">
        <v>50</v>
      </c>
      <c r="C12" s="714">
        <v>1.3854347620853877</v>
      </c>
      <c r="D12" s="714">
        <v>1.6096798117177982</v>
      </c>
      <c r="E12" s="714">
        <v>1.3521310418429504</v>
      </c>
      <c r="F12" s="714">
        <v>1.5130990230147303</v>
      </c>
      <c r="G12" s="714">
        <v>0.84324052281474571</v>
      </c>
      <c r="H12" s="714">
        <v>0.78186197001143631</v>
      </c>
      <c r="I12" s="714">
        <v>0.6346155007258758</v>
      </c>
      <c r="J12" s="714">
        <v>0.70600000000000007</v>
      </c>
    </row>
    <row r="13" spans="1:12" ht="13.5" customHeight="1">
      <c r="C13" s="364"/>
      <c r="D13" s="364"/>
      <c r="E13" s="364"/>
      <c r="F13" s="364"/>
      <c r="G13" s="364"/>
      <c r="H13" s="364"/>
      <c r="I13" s="364"/>
      <c r="J13" s="364"/>
      <c r="K13" s="364"/>
    </row>
    <row r="15" spans="1:12">
      <c r="B15" s="496" t="s">
        <v>454</v>
      </c>
    </row>
    <row r="16" spans="1:12">
      <c r="A16" s="69"/>
      <c r="B16" s="74"/>
      <c r="C16" s="70"/>
      <c r="D16" s="70"/>
      <c r="E16" s="70"/>
    </row>
    <row r="17" spans="1:11">
      <c r="A17" s="69"/>
      <c r="B17" s="75" t="s">
        <v>337</v>
      </c>
    </row>
    <row r="18" spans="1:11">
      <c r="B18" s="135" t="s">
        <v>338</v>
      </c>
      <c r="C18" s="87"/>
      <c r="D18" s="87"/>
      <c r="E18" s="87"/>
    </row>
    <row r="19" spans="1:11" s="288" customFormat="1">
      <c r="B19" s="135" t="s">
        <v>425</v>
      </c>
    </row>
    <row r="20" spans="1:11">
      <c r="B20" s="25" t="s">
        <v>336</v>
      </c>
    </row>
    <row r="21" spans="1:11" ht="12.75" customHeight="1">
      <c r="B21" s="135" t="s">
        <v>443</v>
      </c>
    </row>
    <row r="22" spans="1:11">
      <c r="B22" s="135" t="s">
        <v>424</v>
      </c>
    </row>
    <row r="23" spans="1:11" ht="13.5" customHeight="1"/>
    <row r="24" spans="1:11" ht="12.75" customHeight="1">
      <c r="A24" s="716"/>
      <c r="B24" s="716"/>
      <c r="C24" s="716"/>
      <c r="D24" s="716"/>
      <c r="E24" s="716"/>
      <c r="F24" s="716"/>
      <c r="G24" s="716"/>
      <c r="H24" s="716"/>
      <c r="I24" s="716"/>
      <c r="J24" s="716"/>
    </row>
    <row r="25" spans="1:11" ht="22.95" customHeight="1">
      <c r="A25" s="716"/>
      <c r="B25" s="716"/>
      <c r="C25" s="716"/>
      <c r="D25" s="716"/>
      <c r="E25" s="716"/>
      <c r="F25" s="716"/>
      <c r="G25" s="716"/>
      <c r="H25" s="716"/>
      <c r="I25" s="716"/>
      <c r="J25" s="716"/>
    </row>
    <row r="26" spans="1:11">
      <c r="A26" s="716"/>
      <c r="B26" s="716"/>
      <c r="C26" s="716"/>
      <c r="D26" s="716"/>
      <c r="E26" s="716"/>
      <c r="F26" s="716"/>
      <c r="G26" s="716"/>
      <c r="H26" s="716"/>
      <c r="I26" s="716"/>
      <c r="J26" s="716"/>
      <c r="K26" s="711"/>
    </row>
    <row r="27" spans="1:11">
      <c r="A27" s="716"/>
      <c r="B27" s="716"/>
      <c r="C27" s="716"/>
      <c r="D27" s="716"/>
      <c r="E27" s="716"/>
      <c r="F27" s="716"/>
      <c r="G27" s="716"/>
      <c r="H27" s="716"/>
      <c r="I27" s="716"/>
      <c r="J27" s="716"/>
      <c r="K27" s="711"/>
    </row>
    <row r="28" spans="1:11">
      <c r="A28" s="716"/>
      <c r="B28" s="716"/>
      <c r="C28" s="716"/>
      <c r="D28" s="716"/>
      <c r="E28" s="716"/>
      <c r="F28" s="716"/>
      <c r="G28" s="716"/>
      <c r="H28" s="716"/>
      <c r="I28" s="716"/>
      <c r="J28" s="716"/>
      <c r="K28" s="711"/>
    </row>
    <row r="29" spans="1:11">
      <c r="A29" s="716"/>
      <c r="B29" s="716"/>
      <c r="C29" s="716"/>
      <c r="D29" s="716"/>
      <c r="E29" s="716"/>
      <c r="F29" s="716"/>
      <c r="G29" s="716"/>
      <c r="H29" s="716"/>
      <c r="I29" s="716"/>
      <c r="J29" s="716"/>
      <c r="K29" s="711"/>
    </row>
    <row r="30" spans="1:11" ht="15" customHeight="1">
      <c r="A30" s="716"/>
      <c r="B30" s="716"/>
      <c r="C30" s="716"/>
      <c r="D30" s="716"/>
      <c r="E30" s="716"/>
      <c r="F30" s="716"/>
      <c r="G30" s="716"/>
      <c r="H30" s="716"/>
      <c r="I30" s="716"/>
      <c r="J30" s="716"/>
    </row>
    <row r="34" ht="55.5" customHeight="1"/>
    <row r="41" ht="13.5" customHeight="1"/>
    <row r="48" ht="13.5" customHeight="1"/>
  </sheetData>
  <mergeCells count="1">
    <mergeCell ref="B6:B7"/>
  </mergeCells>
  <phoneticPr fontId="80" type="noConversion"/>
  <hyperlinks>
    <hyperlink ref="B18" r:id="rId1" xr:uid="{6D56758D-F01B-44BC-AB16-69234BE9217A}"/>
    <hyperlink ref="B20" r:id="rId2" xr:uid="{1BCBDCB1-7AB9-413C-B4C3-0A2E347CA02A}"/>
    <hyperlink ref="B19" r:id="rId3" display="https://www.ofgem.gov.uk/publications/network-innovation-competition-2020-funding-decision" xr:uid="{876B2924-D526-43E6-AD79-D8E1A509C5D8}"/>
    <hyperlink ref="B22" r:id="rId4" display="https://www.ofgem.gov.uk/publications/network-innovation-competition-2021-decision" xr:uid="{3378F6A9-D3C1-4113-9915-586FF10323F6}"/>
    <hyperlink ref="B21" r:id="rId5" xr:uid="{AC97C2DC-4B49-470E-AD40-2D8360C0A0E4}"/>
  </hyperlinks>
  <pageMargins left="0.7" right="0.7" top="0.75" bottom="0.75" header="0.3" footer="0.3"/>
  <pageSetup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pageSetUpPr autoPageBreaks="0"/>
  </sheetPr>
  <dimension ref="B1:T53"/>
  <sheetViews>
    <sheetView zoomScale="78" zoomScaleNormal="70" workbookViewId="0">
      <selection activeCell="L43" sqref="L43"/>
    </sheetView>
  </sheetViews>
  <sheetFormatPr defaultRowHeight="12.6"/>
  <cols>
    <col min="3" max="3" width="23.7265625" customWidth="1"/>
    <col min="4" max="4" width="21.26953125" customWidth="1"/>
    <col min="5" max="5" width="11" customWidth="1"/>
    <col min="12" max="12" width="34.36328125" customWidth="1"/>
  </cols>
  <sheetData>
    <row r="1" spans="2:20">
      <c r="B1" s="49"/>
      <c r="C1" s="49"/>
      <c r="E1" s="49"/>
      <c r="F1" s="49"/>
      <c r="G1" s="49"/>
      <c r="H1" s="49"/>
      <c r="I1" s="49"/>
      <c r="J1" s="49"/>
      <c r="K1" s="49"/>
      <c r="L1" s="49"/>
      <c r="M1" s="49"/>
      <c r="N1" s="49"/>
      <c r="O1" s="49"/>
      <c r="P1" s="49"/>
      <c r="Q1" s="49"/>
      <c r="R1" s="49"/>
      <c r="S1" s="49"/>
      <c r="T1" s="49"/>
    </row>
    <row r="2" spans="2:20">
      <c r="B2" s="49"/>
      <c r="C2" s="49"/>
      <c r="D2" s="49"/>
      <c r="E2" s="49"/>
      <c r="F2" s="49"/>
      <c r="G2" s="49"/>
      <c r="H2" s="49"/>
      <c r="I2" s="49"/>
      <c r="J2" s="49"/>
      <c r="K2" s="49"/>
      <c r="L2" s="49"/>
      <c r="M2" s="49"/>
      <c r="N2" s="49"/>
      <c r="O2" s="49"/>
      <c r="P2" s="49"/>
      <c r="Q2" s="49"/>
      <c r="R2" s="49"/>
      <c r="S2" s="49"/>
      <c r="T2" s="49"/>
    </row>
    <row r="3" spans="2:20" ht="14.4">
      <c r="B3" s="49"/>
      <c r="C3" s="41"/>
      <c r="D3" s="42"/>
      <c r="E3" s="42"/>
      <c r="F3" s="42"/>
      <c r="G3" s="42"/>
      <c r="H3" s="42"/>
      <c r="I3" s="49"/>
      <c r="J3" s="49"/>
      <c r="K3" s="49"/>
      <c r="L3" s="49"/>
      <c r="M3" s="49"/>
      <c r="N3" s="49"/>
      <c r="O3" s="49"/>
      <c r="P3" s="49"/>
      <c r="Q3" s="49"/>
      <c r="R3" s="49"/>
      <c r="S3" s="49"/>
      <c r="T3" s="49"/>
    </row>
    <row r="4" spans="2:20" ht="14.4">
      <c r="B4" s="49"/>
      <c r="C4" s="45"/>
      <c r="I4" s="49"/>
      <c r="J4" s="49"/>
      <c r="K4" s="49"/>
      <c r="L4" s="49"/>
      <c r="M4" s="49"/>
      <c r="N4" s="49"/>
      <c r="O4" s="49"/>
      <c r="P4" s="49"/>
      <c r="Q4" s="49"/>
      <c r="R4" s="49"/>
      <c r="S4" s="49"/>
      <c r="T4" s="49"/>
    </row>
    <row r="5" spans="2:20">
      <c r="B5" s="49"/>
      <c r="C5" s="49"/>
      <c r="D5" s="49"/>
      <c r="E5" s="49"/>
      <c r="F5" s="49"/>
      <c r="G5" s="49"/>
      <c r="H5" s="49"/>
      <c r="I5" s="49"/>
      <c r="J5" s="49"/>
      <c r="K5" s="49"/>
      <c r="L5" s="49"/>
      <c r="M5" s="49"/>
      <c r="N5" s="49"/>
      <c r="O5" s="49"/>
      <c r="P5" s="49"/>
      <c r="Q5" s="49"/>
      <c r="R5" s="49"/>
      <c r="S5" s="49"/>
      <c r="T5" s="49"/>
    </row>
    <row r="6" spans="2:20">
      <c r="B6" s="49"/>
      <c r="C6" s="49"/>
      <c r="D6" s="23" t="s">
        <v>605</v>
      </c>
      <c r="E6" s="49"/>
      <c r="F6" s="49"/>
      <c r="G6" s="49"/>
      <c r="H6" s="49"/>
      <c r="I6" s="49"/>
      <c r="J6" s="49"/>
      <c r="K6" s="49"/>
      <c r="L6" s="49"/>
      <c r="M6" s="49"/>
      <c r="N6" s="49"/>
      <c r="O6" s="49"/>
      <c r="P6" s="49"/>
      <c r="Q6" s="49"/>
      <c r="R6" s="49"/>
      <c r="S6" s="49"/>
      <c r="T6" s="49"/>
    </row>
    <row r="7" spans="2:20" ht="13.2" thickBot="1">
      <c r="B7" s="49"/>
      <c r="C7" s="46"/>
      <c r="D7" s="233" t="s">
        <v>197</v>
      </c>
      <c r="E7" s="98"/>
      <c r="F7" s="98"/>
      <c r="G7" s="98"/>
      <c r="H7" s="98"/>
      <c r="I7" s="98"/>
      <c r="J7" s="98"/>
      <c r="K7" s="49"/>
      <c r="L7" s="49"/>
      <c r="M7" s="49"/>
      <c r="N7" s="49"/>
      <c r="O7" s="49"/>
      <c r="P7" s="49"/>
      <c r="Q7" s="49"/>
      <c r="R7" s="49"/>
      <c r="S7" s="49"/>
      <c r="T7" s="49"/>
    </row>
    <row r="8" spans="2:20" ht="13.2" thickBot="1">
      <c r="B8" s="49"/>
      <c r="C8" s="40"/>
      <c r="D8" s="822" t="s">
        <v>198</v>
      </c>
      <c r="E8" s="822"/>
      <c r="F8" s="718">
        <v>42095</v>
      </c>
      <c r="G8" s="719">
        <v>42461</v>
      </c>
      <c r="H8" s="719">
        <v>42826</v>
      </c>
      <c r="I8" s="719">
        <v>43191</v>
      </c>
      <c r="J8" s="720">
        <v>43556</v>
      </c>
      <c r="K8" s="720">
        <v>43922</v>
      </c>
      <c r="L8" s="49"/>
      <c r="M8" s="49"/>
      <c r="N8" s="49"/>
      <c r="O8" s="49"/>
      <c r="P8" s="49"/>
      <c r="Q8" s="49"/>
      <c r="R8" s="49"/>
      <c r="S8" s="49"/>
      <c r="T8" s="49"/>
    </row>
    <row r="9" spans="2:20">
      <c r="B9" s="49"/>
      <c r="C9" s="49"/>
      <c r="D9" s="823" t="s">
        <v>199</v>
      </c>
      <c r="E9" s="824"/>
      <c r="F9" s="729">
        <v>35</v>
      </c>
      <c r="G9" s="721">
        <v>43</v>
      </c>
      <c r="H9" s="721">
        <v>40</v>
      </c>
      <c r="I9" s="721">
        <v>38</v>
      </c>
      <c r="J9" s="721">
        <v>38</v>
      </c>
      <c r="K9" s="721">
        <v>36</v>
      </c>
      <c r="L9" s="49"/>
      <c r="M9" s="49"/>
      <c r="N9" s="49"/>
      <c r="O9" s="49"/>
      <c r="P9" s="49"/>
      <c r="Q9" s="49"/>
      <c r="R9" s="49"/>
      <c r="S9" s="49"/>
      <c r="T9" s="49"/>
    </row>
    <row r="10" spans="2:20">
      <c r="B10" s="49"/>
      <c r="C10" s="49"/>
      <c r="D10" s="722" t="s">
        <v>200</v>
      </c>
      <c r="E10" s="723" t="s">
        <v>201</v>
      </c>
      <c r="F10" s="724"/>
      <c r="G10" s="724"/>
      <c r="H10" s="724"/>
      <c r="I10" s="724"/>
      <c r="J10" s="725"/>
      <c r="K10" s="726"/>
      <c r="L10" s="49"/>
      <c r="M10" s="49"/>
      <c r="N10" s="49"/>
      <c r="O10" s="49"/>
      <c r="P10" s="49"/>
      <c r="Q10" s="49"/>
      <c r="R10" s="49"/>
      <c r="S10" s="49"/>
      <c r="T10" s="49"/>
    </row>
    <row r="11" spans="2:20">
      <c r="B11" s="49"/>
      <c r="C11" s="49"/>
      <c r="D11" s="727" t="s">
        <v>202</v>
      </c>
      <c r="E11" s="728" t="s">
        <v>203</v>
      </c>
      <c r="F11" s="724">
        <v>38.229999999999997</v>
      </c>
      <c r="G11" s="724">
        <v>42.92</v>
      </c>
      <c r="H11" s="724">
        <v>46.21</v>
      </c>
      <c r="I11" s="724">
        <v>44.72</v>
      </c>
      <c r="J11" s="725">
        <v>45.96</v>
      </c>
      <c r="K11" s="725">
        <v>36.119999999999997</v>
      </c>
      <c r="L11" s="49"/>
      <c r="M11" s="49"/>
      <c r="N11" s="49"/>
      <c r="O11" s="49"/>
      <c r="P11" s="49"/>
      <c r="Q11" s="49"/>
      <c r="R11" s="49"/>
      <c r="S11" s="49"/>
      <c r="T11" s="49"/>
    </row>
    <row r="12" spans="2:20">
      <c r="B12" s="49"/>
      <c r="C12" s="49"/>
      <c r="D12" s="727" t="s">
        <v>204</v>
      </c>
      <c r="E12" s="728" t="s">
        <v>205</v>
      </c>
      <c r="F12" s="724">
        <v>35.19</v>
      </c>
      <c r="G12" s="724">
        <v>41.96</v>
      </c>
      <c r="H12" s="724">
        <v>39.64</v>
      </c>
      <c r="I12" s="724">
        <v>39.06</v>
      </c>
      <c r="J12" s="725">
        <v>40.33</v>
      </c>
      <c r="K12" s="725">
        <v>29.55</v>
      </c>
      <c r="L12" s="49"/>
      <c r="M12" s="49"/>
      <c r="N12" s="49"/>
      <c r="O12" s="49"/>
      <c r="P12" s="49"/>
      <c r="Q12" s="49"/>
      <c r="R12" s="49"/>
      <c r="S12" s="49"/>
      <c r="T12" s="49"/>
    </row>
    <row r="13" spans="2:20">
      <c r="B13" s="49"/>
      <c r="C13" s="49"/>
      <c r="D13" s="727" t="s">
        <v>206</v>
      </c>
      <c r="E13" s="728" t="s">
        <v>207</v>
      </c>
      <c r="F13" s="724">
        <v>40.909999999999997</v>
      </c>
      <c r="G13" s="724">
        <v>43.37</v>
      </c>
      <c r="H13" s="724">
        <v>35.25</v>
      </c>
      <c r="I13" s="724">
        <v>38.14</v>
      </c>
      <c r="J13" s="725">
        <v>38.33</v>
      </c>
      <c r="K13" s="725">
        <v>35.840000000000003</v>
      </c>
      <c r="L13" s="49"/>
      <c r="M13" s="49"/>
      <c r="N13" s="49"/>
      <c r="O13" s="49"/>
      <c r="P13" s="49"/>
      <c r="Q13" s="49"/>
      <c r="R13" s="49"/>
      <c r="S13" s="49"/>
      <c r="T13" s="49"/>
    </row>
    <row r="14" spans="2:20">
      <c r="B14" s="49"/>
      <c r="C14" s="49"/>
      <c r="D14" s="727" t="s">
        <v>208</v>
      </c>
      <c r="E14" s="728" t="s">
        <v>209</v>
      </c>
      <c r="F14" s="724">
        <v>39.26</v>
      </c>
      <c r="G14" s="724">
        <v>43.85</v>
      </c>
      <c r="H14" s="724">
        <v>43.1</v>
      </c>
      <c r="I14" s="724">
        <v>37.83</v>
      </c>
      <c r="J14" s="725">
        <v>38.799999999999997</v>
      </c>
      <c r="K14" s="725">
        <v>40.53</v>
      </c>
      <c r="L14" s="49"/>
      <c r="M14" s="49"/>
      <c r="N14" s="49"/>
      <c r="O14" s="49"/>
      <c r="P14" s="49"/>
      <c r="Q14" s="49"/>
      <c r="R14" s="49"/>
      <c r="S14" s="49"/>
      <c r="T14" s="49"/>
    </row>
    <row r="15" spans="2:20">
      <c r="B15" s="49"/>
      <c r="C15" s="49"/>
      <c r="D15" s="727" t="s">
        <v>210</v>
      </c>
      <c r="E15" s="728" t="s">
        <v>211</v>
      </c>
      <c r="F15" s="724">
        <v>37.01</v>
      </c>
      <c r="G15" s="724">
        <v>41.95</v>
      </c>
      <c r="H15" s="724">
        <v>40.9</v>
      </c>
      <c r="I15" s="724">
        <v>41.48</v>
      </c>
      <c r="J15" s="725">
        <v>41.9</v>
      </c>
      <c r="K15" s="725">
        <v>38.71</v>
      </c>
      <c r="L15" s="49"/>
      <c r="M15" s="49"/>
      <c r="N15" s="49"/>
      <c r="O15" s="49"/>
      <c r="P15" s="49"/>
      <c r="Q15" s="49"/>
      <c r="R15" s="49"/>
      <c r="S15" s="49"/>
      <c r="T15" s="49"/>
    </row>
    <row r="16" spans="2:20">
      <c r="B16" s="49"/>
      <c r="C16" s="49"/>
      <c r="D16" s="727" t="s">
        <v>212</v>
      </c>
      <c r="E16" s="728" t="s">
        <v>213</v>
      </c>
      <c r="F16" s="724">
        <v>29.15</v>
      </c>
      <c r="G16" s="724">
        <v>45.08</v>
      </c>
      <c r="H16" s="724">
        <v>38.17</v>
      </c>
      <c r="I16" s="724">
        <v>30.98</v>
      </c>
      <c r="J16" s="725">
        <v>31.31</v>
      </c>
      <c r="K16" s="725">
        <v>34.6</v>
      </c>
      <c r="L16" s="49"/>
      <c r="M16" s="49"/>
      <c r="N16" s="49"/>
      <c r="O16" s="49"/>
      <c r="P16" s="49"/>
      <c r="Q16" s="49"/>
      <c r="R16" s="49"/>
      <c r="S16" s="49"/>
      <c r="T16" s="49"/>
    </row>
    <row r="17" spans="2:20">
      <c r="B17" s="49"/>
      <c r="C17" s="49"/>
      <c r="D17" s="727" t="s">
        <v>214</v>
      </c>
      <c r="E17" s="728" t="s">
        <v>215</v>
      </c>
      <c r="F17" s="724">
        <v>33.31</v>
      </c>
      <c r="G17" s="724">
        <v>38.049999999999997</v>
      </c>
      <c r="H17" s="724">
        <v>37.909999999999997</v>
      </c>
      <c r="I17" s="724">
        <v>36.99</v>
      </c>
      <c r="J17" s="725">
        <v>38.020000000000003</v>
      </c>
      <c r="K17" s="725">
        <v>46.16</v>
      </c>
      <c r="L17" s="49"/>
      <c r="M17" s="49"/>
      <c r="N17" s="49"/>
      <c r="O17" s="49"/>
      <c r="P17" s="49"/>
      <c r="Q17" s="49"/>
      <c r="R17" s="49"/>
      <c r="S17" s="49"/>
      <c r="T17" s="49"/>
    </row>
    <row r="18" spans="2:20">
      <c r="B18" s="49"/>
      <c r="C18" s="49"/>
      <c r="D18" s="727" t="s">
        <v>216</v>
      </c>
      <c r="E18" s="728" t="s">
        <v>217</v>
      </c>
      <c r="F18" s="724">
        <v>40.83</v>
      </c>
      <c r="G18" s="724">
        <v>42.59</v>
      </c>
      <c r="H18" s="724">
        <v>44.61</v>
      </c>
      <c r="I18" s="724">
        <v>44.97</v>
      </c>
      <c r="J18" s="725">
        <v>45.57</v>
      </c>
      <c r="K18" s="725">
        <v>37.22</v>
      </c>
      <c r="L18" s="49"/>
      <c r="M18" s="49"/>
      <c r="N18" s="49"/>
      <c r="O18" s="49"/>
      <c r="P18" s="49"/>
      <c r="Q18" s="49"/>
      <c r="R18" s="49"/>
      <c r="S18" s="49"/>
      <c r="T18" s="49"/>
    </row>
    <row r="19" spans="2:20">
      <c r="B19" s="49"/>
      <c r="C19" s="49"/>
      <c r="D19" s="727" t="s">
        <v>218</v>
      </c>
      <c r="E19" s="728" t="s">
        <v>219</v>
      </c>
      <c r="F19" s="724">
        <v>39.51</v>
      </c>
      <c r="G19" s="724">
        <v>44.31</v>
      </c>
      <c r="H19" s="724">
        <v>47.99</v>
      </c>
      <c r="I19" s="724">
        <v>47.81</v>
      </c>
      <c r="J19" s="725">
        <v>48.14</v>
      </c>
      <c r="K19" s="725">
        <v>46.57</v>
      </c>
      <c r="L19" s="49"/>
      <c r="M19" s="49"/>
      <c r="N19" s="49"/>
      <c r="O19" s="49"/>
      <c r="P19" s="49"/>
      <c r="Q19" s="49"/>
      <c r="R19" s="49"/>
      <c r="S19" s="49"/>
      <c r="T19" s="49"/>
    </row>
    <row r="20" spans="2:20">
      <c r="B20" s="49"/>
      <c r="C20" s="49"/>
      <c r="D20" s="727" t="s">
        <v>220</v>
      </c>
      <c r="E20" s="728" t="s">
        <v>221</v>
      </c>
      <c r="F20" s="724">
        <v>35.39</v>
      </c>
      <c r="G20" s="724">
        <v>42.3</v>
      </c>
      <c r="H20" s="724">
        <v>36.770000000000003</v>
      </c>
      <c r="I20" s="724">
        <v>34.130000000000003</v>
      </c>
      <c r="J20" s="725">
        <v>35.19</v>
      </c>
      <c r="K20" s="725">
        <v>43.79</v>
      </c>
      <c r="L20" s="49"/>
      <c r="M20" s="49"/>
      <c r="N20" s="49"/>
      <c r="O20" s="49"/>
      <c r="P20" s="49"/>
      <c r="Q20" s="49"/>
      <c r="R20" s="49"/>
      <c r="S20" s="49"/>
      <c r="T20" s="49"/>
    </row>
    <row r="21" spans="2:20">
      <c r="B21" s="49"/>
      <c r="C21" s="49"/>
      <c r="D21" s="727" t="s">
        <v>222</v>
      </c>
      <c r="E21" s="728" t="s">
        <v>223</v>
      </c>
      <c r="F21" s="724">
        <v>38.479999999999997</v>
      </c>
      <c r="G21" s="724">
        <v>44.62</v>
      </c>
      <c r="H21" s="724">
        <v>46.68</v>
      </c>
      <c r="I21" s="724">
        <v>45.88</v>
      </c>
      <c r="J21" s="725">
        <v>46.19</v>
      </c>
      <c r="K21" s="725">
        <v>22.59</v>
      </c>
      <c r="L21" s="49"/>
      <c r="M21" s="49"/>
      <c r="N21" s="49"/>
      <c r="O21" s="49"/>
      <c r="P21" s="49"/>
      <c r="Q21" s="49"/>
      <c r="R21" s="49"/>
      <c r="S21" s="49"/>
      <c r="T21" s="49"/>
    </row>
    <row r="22" spans="2:20">
      <c r="B22" s="49"/>
      <c r="C22" s="49"/>
      <c r="D22" s="727" t="s">
        <v>224</v>
      </c>
      <c r="E22" s="728" t="s">
        <v>225</v>
      </c>
      <c r="F22" s="724">
        <v>35.82</v>
      </c>
      <c r="G22" s="724">
        <v>44.24</v>
      </c>
      <c r="H22" s="724">
        <v>38.97</v>
      </c>
      <c r="I22" s="724">
        <v>45.88</v>
      </c>
      <c r="J22" s="725">
        <v>37.32</v>
      </c>
      <c r="K22" s="725">
        <v>37.64</v>
      </c>
      <c r="L22" s="49"/>
      <c r="M22" s="49"/>
      <c r="N22" s="49"/>
      <c r="O22" s="49"/>
      <c r="P22" s="49"/>
      <c r="Q22" s="49"/>
      <c r="R22" s="49"/>
      <c r="S22" s="49"/>
      <c r="T22" s="49"/>
    </row>
    <row r="23" spans="2:20">
      <c r="B23" s="49"/>
      <c r="C23" s="49"/>
      <c r="D23" s="727" t="s">
        <v>226</v>
      </c>
      <c r="E23" s="728" t="s">
        <v>227</v>
      </c>
      <c r="F23" s="724">
        <v>24.43</v>
      </c>
      <c r="G23" s="724">
        <v>41.7</v>
      </c>
      <c r="H23" s="724">
        <v>27.61</v>
      </c>
      <c r="I23" s="724">
        <v>24.87</v>
      </c>
      <c r="J23" s="725">
        <v>24.89</v>
      </c>
      <c r="K23" s="725">
        <v>17.32</v>
      </c>
      <c r="L23" s="234" t="s">
        <v>231</v>
      </c>
      <c r="M23" s="49"/>
      <c r="N23" s="49"/>
      <c r="O23" s="49"/>
      <c r="P23" s="49"/>
      <c r="Q23" s="49"/>
      <c r="R23" s="49"/>
      <c r="S23" s="49"/>
      <c r="T23" s="49"/>
    </row>
    <row r="24" spans="2:20" ht="13.2" thickBot="1">
      <c r="B24" s="49"/>
      <c r="C24" s="49"/>
      <c r="D24" s="730" t="s">
        <v>228</v>
      </c>
      <c r="E24" s="731" t="s">
        <v>229</v>
      </c>
      <c r="F24" s="732">
        <v>23.13</v>
      </c>
      <c r="G24" s="732">
        <v>38.54</v>
      </c>
      <c r="H24" s="732">
        <v>40.03</v>
      </c>
      <c r="I24" s="732">
        <v>21.99</v>
      </c>
      <c r="J24" s="733">
        <v>17.190000000000001</v>
      </c>
      <c r="K24" s="733">
        <v>44.27</v>
      </c>
      <c r="L24" s="235">
        <f>AVERAGE(K11:K24)</f>
        <v>36.493571428571428</v>
      </c>
      <c r="M24" s="49"/>
      <c r="N24" s="49"/>
      <c r="O24" s="49"/>
      <c r="P24" s="49"/>
      <c r="Q24" s="49"/>
      <c r="R24" s="49"/>
      <c r="S24" s="49"/>
      <c r="T24" s="49"/>
    </row>
    <row r="25" spans="2:20">
      <c r="B25" s="49"/>
      <c r="C25" s="49"/>
      <c r="I25" s="49"/>
      <c r="J25" s="49"/>
      <c r="K25" s="49"/>
      <c r="L25" s="49"/>
      <c r="M25" s="49"/>
      <c r="N25" s="49"/>
      <c r="O25" s="49"/>
      <c r="P25" s="49"/>
      <c r="Q25" s="49"/>
      <c r="R25" s="49"/>
      <c r="S25" s="49"/>
      <c r="T25" s="49"/>
    </row>
    <row r="26" spans="2:20">
      <c r="B26" s="49"/>
      <c r="C26" s="49"/>
      <c r="I26" s="49"/>
      <c r="J26" s="49"/>
      <c r="K26" s="49"/>
      <c r="L26" s="49"/>
      <c r="M26" s="49"/>
      <c r="N26" s="49"/>
      <c r="O26" s="49"/>
      <c r="P26" s="49"/>
      <c r="Q26" s="49"/>
      <c r="R26" s="49"/>
      <c r="S26" s="49"/>
      <c r="T26" s="49"/>
    </row>
    <row r="27" spans="2:20">
      <c r="B27" s="49"/>
      <c r="C27" s="49"/>
      <c r="D27" s="23" t="s">
        <v>545</v>
      </c>
      <c r="E27" s="114"/>
      <c r="F27" s="114"/>
      <c r="G27" s="114"/>
      <c r="H27" s="114"/>
      <c r="I27" s="114"/>
      <c r="J27" s="49"/>
      <c r="K27" s="49"/>
      <c r="L27" s="49"/>
      <c r="M27" s="49"/>
      <c r="N27" s="49"/>
      <c r="O27" s="49"/>
      <c r="P27" s="49"/>
      <c r="Q27" s="49"/>
      <c r="R27" s="49"/>
      <c r="S27" s="49"/>
      <c r="T27" s="49"/>
    </row>
    <row r="28" spans="2:20" s="716" customFormat="1" ht="13.2" thickBot="1">
      <c r="B28" s="715"/>
      <c r="C28" s="715"/>
      <c r="D28" s="233" t="s">
        <v>604</v>
      </c>
      <c r="E28" s="114"/>
      <c r="F28" s="114"/>
      <c r="G28" s="114"/>
      <c r="H28" s="114"/>
      <c r="I28" s="114"/>
      <c r="J28" s="715"/>
      <c r="K28" s="715"/>
      <c r="L28" s="715"/>
      <c r="M28" s="715"/>
      <c r="N28" s="715"/>
      <c r="O28" s="715"/>
      <c r="P28" s="715"/>
      <c r="Q28" s="715"/>
      <c r="R28" s="715"/>
      <c r="S28" s="715"/>
      <c r="T28" s="715"/>
    </row>
    <row r="29" spans="2:20" ht="13.2" thickBot="1">
      <c r="B29" s="49"/>
      <c r="C29" s="49"/>
      <c r="D29" s="825" t="s">
        <v>198</v>
      </c>
      <c r="E29" s="825"/>
      <c r="F29" s="718">
        <v>42095</v>
      </c>
      <c r="G29" s="719">
        <v>42461</v>
      </c>
      <c r="H29" s="719">
        <v>42826</v>
      </c>
      <c r="I29" s="719">
        <v>43191</v>
      </c>
      <c r="J29" s="720">
        <v>43556</v>
      </c>
      <c r="K29" s="720">
        <v>43922</v>
      </c>
      <c r="L29" s="49"/>
      <c r="M29" s="49"/>
      <c r="N29" s="49"/>
      <c r="O29" s="49"/>
      <c r="P29" s="49"/>
      <c r="Q29" s="49"/>
      <c r="R29" s="49"/>
      <c r="S29" s="49"/>
      <c r="T29" s="49"/>
    </row>
    <row r="30" spans="2:20">
      <c r="B30" s="49"/>
      <c r="C30" s="49"/>
      <c r="D30" s="826" t="s">
        <v>199</v>
      </c>
      <c r="E30" s="826"/>
      <c r="F30" s="721">
        <v>31</v>
      </c>
      <c r="G30" s="721">
        <v>38</v>
      </c>
      <c r="H30" s="721">
        <v>38</v>
      </c>
      <c r="I30" s="721">
        <v>37</v>
      </c>
      <c r="J30" s="721">
        <v>37</v>
      </c>
      <c r="K30" s="721">
        <v>36</v>
      </c>
      <c r="L30" s="49"/>
      <c r="M30" s="49"/>
      <c r="N30" s="49"/>
      <c r="O30" s="49"/>
      <c r="P30" s="49"/>
      <c r="Q30" s="49"/>
      <c r="R30" s="49"/>
      <c r="S30" s="49"/>
      <c r="T30" s="49"/>
    </row>
    <row r="31" spans="2:20">
      <c r="B31" s="49"/>
      <c r="C31" s="49"/>
      <c r="D31" s="722" t="s">
        <v>200</v>
      </c>
      <c r="E31" s="723" t="s">
        <v>201</v>
      </c>
      <c r="F31" s="724"/>
      <c r="G31" s="724"/>
      <c r="H31" s="724"/>
      <c r="I31" s="724"/>
      <c r="J31" s="725"/>
      <c r="K31" s="726"/>
      <c r="L31" s="49"/>
      <c r="M31" s="49"/>
      <c r="N31" s="49"/>
      <c r="O31" s="49"/>
      <c r="P31" s="49"/>
      <c r="Q31" s="49"/>
      <c r="R31" s="49"/>
      <c r="S31" s="49"/>
      <c r="T31" s="49"/>
    </row>
    <row r="32" spans="2:20">
      <c r="B32" s="49"/>
      <c r="C32" s="49"/>
      <c r="D32" s="727" t="s">
        <v>202</v>
      </c>
      <c r="E32" s="728" t="s">
        <v>203</v>
      </c>
      <c r="F32" s="725">
        <v>33.72</v>
      </c>
      <c r="G32" s="725">
        <v>38.659999999999997</v>
      </c>
      <c r="H32" s="725">
        <v>43.18</v>
      </c>
      <c r="I32" s="725">
        <v>43.07</v>
      </c>
      <c r="J32" s="725">
        <v>45.41</v>
      </c>
      <c r="K32" s="725">
        <v>36.1</v>
      </c>
      <c r="L32" s="49"/>
      <c r="M32" s="49"/>
      <c r="N32" s="49"/>
      <c r="O32" s="49"/>
      <c r="P32" s="49"/>
      <c r="Q32" s="49"/>
      <c r="R32" s="49"/>
      <c r="S32" s="49"/>
      <c r="T32" s="49"/>
    </row>
    <row r="33" spans="2:20">
      <c r="B33" s="49"/>
      <c r="C33" s="49"/>
      <c r="D33" s="727" t="s">
        <v>204</v>
      </c>
      <c r="E33" s="728" t="s">
        <v>205</v>
      </c>
      <c r="F33" s="725">
        <v>31.03</v>
      </c>
      <c r="G33" s="725">
        <v>37.799999999999997</v>
      </c>
      <c r="H33" s="725">
        <v>37.049999999999997</v>
      </c>
      <c r="I33" s="725">
        <v>37.619999999999997</v>
      </c>
      <c r="J33" s="725">
        <v>39.85</v>
      </c>
      <c r="K33" s="725">
        <v>29.5</v>
      </c>
      <c r="L33" s="49"/>
      <c r="M33" s="49"/>
      <c r="N33" s="49"/>
      <c r="O33" s="49"/>
      <c r="P33" s="49"/>
      <c r="Q33" s="49"/>
      <c r="R33" s="49"/>
      <c r="S33" s="49"/>
      <c r="T33" s="49"/>
    </row>
    <row r="34" spans="2:20">
      <c r="B34" s="49"/>
      <c r="C34" s="49"/>
      <c r="D34" s="727" t="s">
        <v>206</v>
      </c>
      <c r="E34" s="728" t="s">
        <v>207</v>
      </c>
      <c r="F34" s="725">
        <v>36.08</v>
      </c>
      <c r="G34" s="725">
        <v>39.07</v>
      </c>
      <c r="H34" s="725">
        <v>32.94</v>
      </c>
      <c r="I34" s="725">
        <v>36.74</v>
      </c>
      <c r="J34" s="725">
        <v>37.869999999999997</v>
      </c>
      <c r="K34" s="725">
        <v>35.799999999999997</v>
      </c>
      <c r="L34" s="49"/>
      <c r="M34" s="49"/>
      <c r="N34" s="49"/>
      <c r="O34" s="49"/>
      <c r="P34" s="49"/>
      <c r="Q34" s="49"/>
      <c r="R34" s="49"/>
      <c r="S34" s="49"/>
      <c r="T34" s="49"/>
    </row>
    <row r="35" spans="2:20">
      <c r="B35" s="49"/>
      <c r="C35" s="49"/>
      <c r="D35" s="727" t="s">
        <v>208</v>
      </c>
      <c r="E35" s="728" t="s">
        <v>209</v>
      </c>
      <c r="F35" s="725">
        <v>34.619999999999997</v>
      </c>
      <c r="G35" s="725">
        <v>39.5</v>
      </c>
      <c r="H35" s="725">
        <v>40.28</v>
      </c>
      <c r="I35" s="725">
        <v>36.44</v>
      </c>
      <c r="J35" s="725">
        <v>38.340000000000003</v>
      </c>
      <c r="K35" s="725">
        <v>40.5</v>
      </c>
      <c r="L35" s="49"/>
      <c r="M35" s="49"/>
      <c r="N35" s="49"/>
      <c r="O35" s="49"/>
      <c r="P35" s="49"/>
      <c r="Q35" s="49"/>
      <c r="R35" s="49"/>
      <c r="S35" s="49"/>
      <c r="T35" s="49"/>
    </row>
    <row r="36" spans="2:20">
      <c r="B36" s="49"/>
      <c r="C36" s="49"/>
      <c r="D36" s="727" t="s">
        <v>210</v>
      </c>
      <c r="E36" s="728" t="s">
        <v>211</v>
      </c>
      <c r="F36" s="725">
        <v>32.64</v>
      </c>
      <c r="G36" s="725">
        <v>37.79</v>
      </c>
      <c r="H36" s="725">
        <v>38.22</v>
      </c>
      <c r="I36" s="725">
        <v>39.950000000000003</v>
      </c>
      <c r="J36" s="725">
        <v>41.4</v>
      </c>
      <c r="K36" s="725">
        <v>38.700000000000003</v>
      </c>
      <c r="L36" s="49"/>
      <c r="M36" s="49"/>
      <c r="N36" s="49"/>
      <c r="O36" s="49"/>
      <c r="P36" s="49"/>
      <c r="Q36" s="49"/>
      <c r="R36" s="49"/>
      <c r="S36" s="49"/>
      <c r="T36" s="49"/>
    </row>
    <row r="37" spans="2:20">
      <c r="B37" s="49"/>
      <c r="C37" s="40"/>
      <c r="D37" s="727" t="s">
        <v>212</v>
      </c>
      <c r="E37" s="728" t="s">
        <v>213</v>
      </c>
      <c r="F37" s="725">
        <v>25.71</v>
      </c>
      <c r="G37" s="725">
        <v>40.61</v>
      </c>
      <c r="H37" s="725">
        <v>35.67</v>
      </c>
      <c r="I37" s="725">
        <v>29.84</v>
      </c>
      <c r="J37" s="725">
        <v>30.93</v>
      </c>
      <c r="K37" s="725">
        <v>34.6</v>
      </c>
      <c r="L37" s="49"/>
      <c r="M37" s="49"/>
      <c r="N37" s="49"/>
      <c r="O37" s="49"/>
      <c r="P37" s="49"/>
      <c r="Q37" s="49"/>
      <c r="R37" s="49"/>
      <c r="S37" s="49"/>
      <c r="T37" s="49"/>
    </row>
    <row r="38" spans="2:20" ht="13.2">
      <c r="B38" s="49"/>
      <c r="C38" s="50"/>
      <c r="D38" s="727" t="s">
        <v>214</v>
      </c>
      <c r="E38" s="728" t="s">
        <v>215</v>
      </c>
      <c r="F38" s="725">
        <v>29.38</v>
      </c>
      <c r="G38" s="725">
        <v>34.28</v>
      </c>
      <c r="H38" s="725">
        <v>35.43</v>
      </c>
      <c r="I38" s="725">
        <v>35.619999999999997</v>
      </c>
      <c r="J38" s="725">
        <v>37.56</v>
      </c>
      <c r="K38" s="725">
        <v>46.2</v>
      </c>
      <c r="L38" s="49"/>
      <c r="M38" s="49"/>
      <c r="N38" s="49"/>
      <c r="O38" s="49"/>
      <c r="P38" s="49"/>
      <c r="Q38" s="49"/>
      <c r="R38" s="49"/>
      <c r="S38" s="49"/>
      <c r="T38" s="49"/>
    </row>
    <row r="39" spans="2:20" ht="14.4">
      <c r="B39" s="49"/>
      <c r="C39" s="47"/>
      <c r="D39" s="727" t="s">
        <v>216</v>
      </c>
      <c r="E39" s="728" t="s">
        <v>217</v>
      </c>
      <c r="F39" s="725">
        <v>36.01</v>
      </c>
      <c r="G39" s="725">
        <v>38.36</v>
      </c>
      <c r="H39" s="725">
        <v>41.69</v>
      </c>
      <c r="I39" s="725">
        <v>43.31</v>
      </c>
      <c r="J39" s="725">
        <v>45.02</v>
      </c>
      <c r="K39" s="725">
        <v>37.200000000000003</v>
      </c>
      <c r="L39" s="49"/>
      <c r="M39" s="49"/>
      <c r="N39" s="49"/>
      <c r="O39" s="49"/>
      <c r="P39" s="49"/>
      <c r="Q39" s="49"/>
      <c r="R39" s="49"/>
      <c r="S39" s="49"/>
      <c r="T39" s="49"/>
    </row>
    <row r="40" spans="2:20" ht="14.4">
      <c r="B40" s="49"/>
      <c r="C40" s="41"/>
      <c r="D40" s="727" t="s">
        <v>218</v>
      </c>
      <c r="E40" s="728" t="s">
        <v>219</v>
      </c>
      <c r="F40" s="725">
        <v>34.85</v>
      </c>
      <c r="G40" s="725">
        <v>39.909999999999997</v>
      </c>
      <c r="H40" s="725">
        <v>44.85</v>
      </c>
      <c r="I40" s="725">
        <v>46.04</v>
      </c>
      <c r="J40" s="725">
        <v>47.57</v>
      </c>
      <c r="K40" s="725">
        <v>46.6</v>
      </c>
      <c r="L40" s="49"/>
      <c r="M40" s="49"/>
      <c r="N40" s="49"/>
      <c r="O40" s="49"/>
      <c r="P40" s="49"/>
      <c r="Q40" s="49"/>
      <c r="R40" s="49"/>
      <c r="S40" s="49"/>
      <c r="T40" s="49"/>
    </row>
    <row r="41" spans="2:20" ht="14.4">
      <c r="B41" s="49"/>
      <c r="C41" s="41"/>
      <c r="D41" s="727" t="s">
        <v>220</v>
      </c>
      <c r="E41" s="728" t="s">
        <v>221</v>
      </c>
      <c r="F41" s="725">
        <v>31.21</v>
      </c>
      <c r="G41" s="725">
        <v>38.1</v>
      </c>
      <c r="H41" s="725">
        <v>34.369999999999997</v>
      </c>
      <c r="I41" s="725">
        <v>32.869999999999997</v>
      </c>
      <c r="J41" s="725">
        <v>34.770000000000003</v>
      </c>
      <c r="K41" s="725">
        <v>43.8</v>
      </c>
      <c r="L41" s="49"/>
      <c r="M41" s="49"/>
      <c r="N41" s="49"/>
      <c r="O41" s="49"/>
      <c r="P41" s="49"/>
      <c r="Q41" s="49"/>
      <c r="R41" s="49"/>
      <c r="S41" s="49"/>
      <c r="T41" s="49"/>
    </row>
    <row r="42" spans="2:20" ht="14.4">
      <c r="B42" s="49"/>
      <c r="C42" s="41"/>
      <c r="D42" s="727" t="s">
        <v>222</v>
      </c>
      <c r="E42" s="728" t="s">
        <v>223</v>
      </c>
      <c r="F42" s="725">
        <v>33.94</v>
      </c>
      <c r="G42" s="725">
        <v>40.200000000000003</v>
      </c>
      <c r="H42" s="725">
        <v>43.63</v>
      </c>
      <c r="I42" s="725">
        <v>44.18</v>
      </c>
      <c r="J42" s="725">
        <v>45.64</v>
      </c>
      <c r="K42" s="725">
        <v>22.6</v>
      </c>
      <c r="L42" s="234" t="s">
        <v>231</v>
      </c>
      <c r="M42" s="49"/>
      <c r="N42" s="49"/>
      <c r="O42" s="49"/>
      <c r="P42" s="49"/>
      <c r="Q42" s="49"/>
      <c r="R42" s="49"/>
      <c r="S42" s="49"/>
      <c r="T42" s="49"/>
    </row>
    <row r="43" spans="2:20" ht="14.4">
      <c r="B43" s="49"/>
      <c r="C43" s="41"/>
      <c r="D43" s="727" t="s">
        <v>224</v>
      </c>
      <c r="E43" s="728" t="s">
        <v>225</v>
      </c>
      <c r="F43" s="725">
        <v>31.59</v>
      </c>
      <c r="G43" s="725">
        <v>39.86</v>
      </c>
      <c r="H43" s="725">
        <v>36.42</v>
      </c>
      <c r="I43" s="725">
        <v>44.18</v>
      </c>
      <c r="J43" s="725">
        <v>36.880000000000003</v>
      </c>
      <c r="K43" s="725">
        <v>37.6</v>
      </c>
      <c r="L43" s="235">
        <f>AVERAGE(K32:K43)</f>
        <v>37.433333333333337</v>
      </c>
      <c r="M43" s="49"/>
      <c r="N43" s="49"/>
      <c r="O43" s="49"/>
      <c r="P43" s="49"/>
      <c r="Q43" s="49"/>
      <c r="R43" s="49"/>
      <c r="S43" s="49"/>
      <c r="T43" s="49"/>
    </row>
    <row r="44" spans="2:20" ht="14.4">
      <c r="B44" s="49"/>
      <c r="C44" s="47"/>
      <c r="D44" s="48"/>
      <c r="E44" s="48"/>
      <c r="F44" s="48"/>
      <c r="G44" s="49"/>
      <c r="H44" s="49"/>
      <c r="I44" s="49"/>
      <c r="J44" s="49"/>
      <c r="K44" s="49"/>
      <c r="L44" s="49"/>
      <c r="M44" s="49"/>
      <c r="N44" s="49"/>
      <c r="O44" s="49"/>
      <c r="P44" s="49"/>
      <c r="Q44" s="49"/>
      <c r="R44" s="49"/>
      <c r="S44" s="49"/>
      <c r="T44" s="49"/>
    </row>
    <row r="45" spans="2:20" ht="14.4">
      <c r="B45" s="49"/>
      <c r="C45" s="41"/>
      <c r="D45" s="44"/>
      <c r="E45" s="43"/>
      <c r="F45" s="43"/>
      <c r="G45" s="49"/>
      <c r="H45" s="49"/>
      <c r="I45" s="49"/>
      <c r="J45" s="49"/>
      <c r="K45" s="49"/>
      <c r="L45" s="49"/>
      <c r="M45" s="49"/>
      <c r="N45" s="49"/>
      <c r="O45" s="49"/>
      <c r="P45" s="49"/>
      <c r="Q45" s="49"/>
      <c r="R45" s="49"/>
      <c r="S45" s="49"/>
      <c r="T45" s="49"/>
    </row>
    <row r="46" spans="2:20" ht="14.4">
      <c r="B46" s="49"/>
      <c r="C46" s="41"/>
      <c r="D46" s="43"/>
      <c r="E46" s="43"/>
      <c r="F46" s="43"/>
      <c r="G46" s="49"/>
      <c r="H46" s="49"/>
      <c r="I46" s="49"/>
      <c r="J46" s="49"/>
      <c r="K46" s="49"/>
      <c r="L46" s="49"/>
      <c r="M46" s="49"/>
      <c r="N46" s="49"/>
      <c r="O46" s="49"/>
      <c r="P46" s="49"/>
      <c r="Q46" s="49"/>
      <c r="R46" s="49"/>
      <c r="S46" s="49"/>
      <c r="T46" s="49"/>
    </row>
    <row r="47" spans="2:20" ht="14.4">
      <c r="B47" s="49"/>
      <c r="C47" s="41"/>
      <c r="D47" t="s">
        <v>325</v>
      </c>
      <c r="E47" s="43"/>
      <c r="F47" s="43"/>
      <c r="G47" s="49"/>
      <c r="H47" s="49"/>
      <c r="I47" s="49"/>
      <c r="J47" s="49"/>
      <c r="K47" s="49"/>
      <c r="L47" s="49"/>
      <c r="M47" s="49"/>
      <c r="N47" s="49"/>
      <c r="O47" s="49"/>
      <c r="P47" s="49"/>
      <c r="Q47" s="49"/>
      <c r="R47" s="49"/>
      <c r="S47" s="49"/>
      <c r="T47" s="49"/>
    </row>
    <row r="48" spans="2:20" ht="14.4">
      <c r="B48" s="49"/>
      <c r="C48" s="41"/>
      <c r="D48" s="43"/>
      <c r="E48" s="43"/>
      <c r="F48" s="43"/>
      <c r="G48" s="49"/>
      <c r="H48" s="49"/>
      <c r="I48" s="49"/>
      <c r="J48" s="49"/>
      <c r="K48" s="49"/>
      <c r="L48" s="49"/>
      <c r="M48" s="49"/>
      <c r="N48" s="49"/>
      <c r="O48" s="49"/>
      <c r="P48" s="49"/>
      <c r="Q48" s="49"/>
      <c r="R48" s="49"/>
      <c r="S48" s="49"/>
      <c r="T48" s="49"/>
    </row>
    <row r="49" spans="2:20" ht="14.4">
      <c r="B49" s="49"/>
      <c r="C49" s="41"/>
      <c r="D49" s="43"/>
      <c r="E49" s="43"/>
      <c r="F49" s="43"/>
      <c r="G49" s="49"/>
      <c r="H49" s="49"/>
      <c r="I49" s="49"/>
      <c r="J49" s="49"/>
      <c r="K49" s="49"/>
      <c r="L49" s="49"/>
      <c r="M49" s="49"/>
      <c r="N49" s="49"/>
      <c r="O49" s="49"/>
      <c r="P49" s="49"/>
      <c r="Q49" s="49"/>
      <c r="R49" s="49"/>
      <c r="S49" s="49"/>
      <c r="T49" s="49"/>
    </row>
    <row r="50" spans="2:20" ht="14.4">
      <c r="B50" s="49"/>
      <c r="C50" s="41"/>
      <c r="E50" s="43"/>
      <c r="F50" s="43"/>
      <c r="G50" s="49"/>
      <c r="H50" s="49"/>
      <c r="I50" s="49"/>
      <c r="J50" s="49"/>
      <c r="K50" s="49"/>
      <c r="L50" s="49"/>
      <c r="M50" s="49"/>
      <c r="N50" s="49"/>
      <c r="O50" s="49"/>
      <c r="P50" s="49"/>
      <c r="Q50" s="49"/>
      <c r="R50" s="49"/>
      <c r="S50" s="49"/>
      <c r="T50" s="49"/>
    </row>
    <row r="51" spans="2:20" ht="14.4">
      <c r="B51" s="49"/>
      <c r="C51" s="47"/>
      <c r="D51" s="43"/>
      <c r="E51" s="43"/>
      <c r="F51" s="43"/>
      <c r="G51" s="49"/>
      <c r="H51" s="49"/>
      <c r="I51" s="49"/>
      <c r="J51" s="49"/>
      <c r="K51" s="49"/>
      <c r="L51" s="49"/>
      <c r="M51" s="49"/>
      <c r="N51" s="49"/>
      <c r="O51" s="49"/>
      <c r="P51" s="49"/>
      <c r="Q51" s="49"/>
      <c r="R51" s="49"/>
      <c r="S51" s="49"/>
      <c r="T51" s="49"/>
    </row>
    <row r="52" spans="2:20" ht="14.4">
      <c r="B52" s="49"/>
      <c r="C52" s="41"/>
      <c r="D52" s="43"/>
      <c r="E52" s="43"/>
      <c r="F52" s="43"/>
      <c r="G52" s="49"/>
      <c r="H52" s="49"/>
      <c r="I52" s="49"/>
      <c r="J52" s="49"/>
      <c r="K52" s="49"/>
      <c r="L52" s="49"/>
      <c r="M52" s="49"/>
      <c r="N52" s="49"/>
      <c r="O52" s="49"/>
      <c r="P52" s="49"/>
      <c r="Q52" s="49"/>
      <c r="R52" s="49"/>
      <c r="S52" s="49"/>
      <c r="T52" s="49"/>
    </row>
    <row r="53" spans="2:20" ht="14.4">
      <c r="B53" s="49"/>
      <c r="C53" s="41"/>
      <c r="D53" s="43"/>
      <c r="E53" s="43"/>
      <c r="F53" s="43"/>
      <c r="G53" s="49"/>
      <c r="H53" s="49"/>
      <c r="I53" s="49"/>
      <c r="J53" s="49"/>
      <c r="K53" s="49"/>
      <c r="L53" s="49"/>
      <c r="M53" s="49"/>
      <c r="N53" s="49"/>
      <c r="O53" s="49"/>
      <c r="P53" s="49"/>
      <c r="Q53" s="49"/>
      <c r="R53" s="49"/>
      <c r="S53" s="49"/>
      <c r="T53" s="49"/>
    </row>
  </sheetData>
  <mergeCells count="4">
    <mergeCell ref="D8:E8"/>
    <mergeCell ref="D9:E9"/>
    <mergeCell ref="D29:E29"/>
    <mergeCell ref="D30:E30"/>
  </mergeCells>
  <phoneticPr fontId="80"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EA83F-5AF2-49D9-8217-F5154D005AFC}">
  <sheetPr>
    <pageSetUpPr autoPageBreaks="0"/>
  </sheetPr>
  <dimension ref="A1:Y116"/>
  <sheetViews>
    <sheetView zoomScale="49" zoomScaleNormal="80" workbookViewId="0">
      <selection activeCell="G18" sqref="G18"/>
    </sheetView>
  </sheetViews>
  <sheetFormatPr defaultColWidth="9" defaultRowHeight="14.4"/>
  <cols>
    <col min="1" max="1" width="9" style="379"/>
    <col min="2" max="2" width="31.7265625" style="379" customWidth="1"/>
    <col min="3" max="3" width="15.7265625" style="379" customWidth="1"/>
    <col min="4" max="4" width="14.6328125" style="379" customWidth="1"/>
    <col min="5" max="5" width="14.26953125" style="379" customWidth="1"/>
    <col min="6" max="6" width="9" style="379"/>
    <col min="7" max="7" width="18.7265625" style="379" customWidth="1"/>
    <col min="8" max="8" width="39.453125" style="379" customWidth="1"/>
    <col min="9" max="12" width="9" style="379"/>
    <col min="13" max="13" width="0.81640625" style="379" customWidth="1"/>
    <col min="14" max="17" width="9" style="379"/>
    <col min="18" max="18" width="1.36328125" style="379" customWidth="1"/>
    <col min="19" max="16384" width="9" style="379"/>
  </cols>
  <sheetData>
    <row r="1" spans="2:25">
      <c r="B1" s="387" t="s">
        <v>410</v>
      </c>
      <c r="Y1" s="380"/>
    </row>
    <row r="2" spans="2:25">
      <c r="E2" s="381"/>
      <c r="Y2" s="380"/>
    </row>
    <row r="3" spans="2:25" ht="24" customHeight="1">
      <c r="H3" s="423" t="s">
        <v>546</v>
      </c>
      <c r="I3" s="829" t="s">
        <v>305</v>
      </c>
      <c r="J3" s="829"/>
      <c r="K3" s="829"/>
      <c r="L3" s="829"/>
      <c r="M3" s="829"/>
      <c r="N3" s="829"/>
      <c r="O3" s="829"/>
      <c r="P3" s="829"/>
      <c r="Q3" s="829"/>
      <c r="R3" s="829"/>
      <c r="S3" s="829"/>
      <c r="T3" s="829"/>
      <c r="U3" s="829"/>
      <c r="V3" s="829"/>
      <c r="W3" s="419"/>
      <c r="X3" s="419"/>
      <c r="Y3" s="380"/>
    </row>
    <row r="4" spans="2:25" ht="31.95" customHeight="1" thickBot="1">
      <c r="H4" s="675"/>
      <c r="I4" s="422" t="s">
        <v>409</v>
      </c>
      <c r="J4" s="422" t="s">
        <v>408</v>
      </c>
      <c r="K4" s="422" t="s">
        <v>407</v>
      </c>
      <c r="L4" s="422" t="s">
        <v>406</v>
      </c>
      <c r="M4" s="422"/>
      <c r="N4" s="422" t="s">
        <v>409</v>
      </c>
      <c r="O4" s="422" t="s">
        <v>408</v>
      </c>
      <c r="P4" s="422" t="s">
        <v>407</v>
      </c>
      <c r="Q4" s="422" t="s">
        <v>406</v>
      </c>
      <c r="R4" s="422"/>
      <c r="S4" s="422" t="s">
        <v>409</v>
      </c>
      <c r="T4" s="422" t="s">
        <v>408</v>
      </c>
      <c r="U4" s="422" t="s">
        <v>407</v>
      </c>
      <c r="V4" s="422" t="s">
        <v>406</v>
      </c>
      <c r="W4" s="421"/>
      <c r="X4" s="419"/>
      <c r="Y4" s="380"/>
    </row>
    <row r="5" spans="2:25" ht="15" thickBot="1">
      <c r="H5" s="379" t="s">
        <v>306</v>
      </c>
      <c r="I5" s="830" t="s">
        <v>75</v>
      </c>
      <c r="J5" s="831"/>
      <c r="K5" s="831"/>
      <c r="L5" s="832"/>
      <c r="M5" s="420"/>
      <c r="N5" s="830" t="s">
        <v>1</v>
      </c>
      <c r="O5" s="831"/>
      <c r="P5" s="831"/>
      <c r="Q5" s="832"/>
      <c r="R5" s="420"/>
      <c r="S5" s="833" t="s">
        <v>50</v>
      </c>
      <c r="T5" s="834"/>
      <c r="U5" s="834"/>
      <c r="V5" s="835"/>
      <c r="W5" s="419"/>
      <c r="X5" s="419"/>
      <c r="Y5" s="380"/>
    </row>
    <row r="6" spans="2:25">
      <c r="H6" s="379" t="s">
        <v>52</v>
      </c>
      <c r="I6" s="417">
        <v>2018</v>
      </c>
      <c r="J6" s="416">
        <v>2019</v>
      </c>
      <c r="K6" s="416">
        <v>2020</v>
      </c>
      <c r="L6" s="415">
        <v>2021</v>
      </c>
      <c r="M6" s="418"/>
      <c r="N6" s="417">
        <v>2018</v>
      </c>
      <c r="O6" s="416">
        <v>2019</v>
      </c>
      <c r="P6" s="416">
        <v>2020</v>
      </c>
      <c r="Q6" s="415">
        <v>2021</v>
      </c>
      <c r="R6" s="418"/>
      <c r="S6" s="417">
        <v>2018</v>
      </c>
      <c r="T6" s="416">
        <v>2019</v>
      </c>
      <c r="U6" s="416">
        <v>2020</v>
      </c>
      <c r="V6" s="415">
        <v>2021</v>
      </c>
      <c r="W6" s="414"/>
      <c r="X6" s="414"/>
      <c r="Y6" s="380"/>
    </row>
    <row r="7" spans="2:25">
      <c r="H7" s="379" t="s">
        <v>307</v>
      </c>
      <c r="I7" s="408">
        <v>7.2834936913310444E-2</v>
      </c>
      <c r="J7" s="404">
        <v>7.2851506960787432E-2</v>
      </c>
      <c r="K7" s="404">
        <v>7.2856229341846948E-2</v>
      </c>
      <c r="L7" s="405">
        <v>7.2859187833153538E-2</v>
      </c>
      <c r="M7" s="406"/>
      <c r="N7" s="407">
        <v>7.9766109337125773E-2</v>
      </c>
      <c r="O7" s="406">
        <v>7.9768873005658769E-2</v>
      </c>
      <c r="P7" s="406">
        <v>7.9721920748207803E-2</v>
      </c>
      <c r="Q7" s="405">
        <v>7.9757716833610354E-2</v>
      </c>
      <c r="R7" s="406"/>
      <c r="S7" s="407">
        <v>7.4384705057886011E-2</v>
      </c>
      <c r="T7" s="406">
        <v>7.4438984162974342E-2</v>
      </c>
      <c r="U7" s="406">
        <v>7.4511077910388968E-2</v>
      </c>
      <c r="V7" s="405">
        <v>7.4553500012126239E-2</v>
      </c>
      <c r="W7" s="404"/>
      <c r="X7" s="396"/>
      <c r="Y7" s="380"/>
    </row>
    <row r="8" spans="2:25">
      <c r="H8" s="379" t="s">
        <v>308</v>
      </c>
      <c r="I8" s="408">
        <v>1.8325000220130616E-2</v>
      </c>
      <c r="J8" s="404">
        <v>1.9403959387716163E-2</v>
      </c>
      <c r="K8" s="404">
        <v>2.0290297929708111E-2</v>
      </c>
      <c r="L8" s="405">
        <v>2.0021129618491978E-2</v>
      </c>
      <c r="M8" s="406"/>
      <c r="N8" s="407">
        <v>3.5634622654694909E-3</v>
      </c>
      <c r="O8" s="406">
        <v>5.048565853257689E-3</v>
      </c>
      <c r="P8" s="406">
        <v>8.8939798883044732E-3</v>
      </c>
      <c r="Q8" s="405">
        <v>9.8104659906219447E-3</v>
      </c>
      <c r="R8" s="406"/>
      <c r="S8" s="407">
        <v>1.5910850614883742E-2</v>
      </c>
      <c r="T8" s="406">
        <v>1.1793981047455973E-2</v>
      </c>
      <c r="U8" s="406">
        <v>8.092202463507326E-3</v>
      </c>
      <c r="V8" s="405">
        <v>1.0753503936685425E-2</v>
      </c>
      <c r="W8" s="404"/>
      <c r="X8" s="396"/>
      <c r="Y8" s="380"/>
    </row>
    <row r="9" spans="2:25">
      <c r="H9" s="379" t="s">
        <v>309</v>
      </c>
      <c r="I9" s="408">
        <v>1.9635809517121465E-3</v>
      </c>
      <c r="J9" s="404">
        <v>2.2809228014581632E-3</v>
      </c>
      <c r="K9" s="404">
        <v>2.091383798175468E-3</v>
      </c>
      <c r="L9" s="405">
        <v>2.2634900742611488E-3</v>
      </c>
      <c r="M9" s="406"/>
      <c r="N9" s="407">
        <v>3.8765730675260259E-3</v>
      </c>
      <c r="O9" s="406">
        <v>4.0823286891733899E-3</v>
      </c>
      <c r="P9" s="406">
        <v>4.3799218994852755E-3</v>
      </c>
      <c r="Q9" s="405">
        <v>4.8787393666927144E-3</v>
      </c>
      <c r="R9" s="406"/>
      <c r="S9" s="407">
        <v>1.5155700562822832E-3</v>
      </c>
      <c r="T9" s="406">
        <v>2.394123489602312E-3</v>
      </c>
      <c r="U9" s="406">
        <v>2.6870777303187781E-3</v>
      </c>
      <c r="V9" s="405">
        <v>3.2754012607728133E-3</v>
      </c>
      <c r="W9" s="404"/>
      <c r="X9" s="396"/>
      <c r="Y9" s="380"/>
    </row>
    <row r="10" spans="2:25">
      <c r="H10" s="379" t="s">
        <v>310</v>
      </c>
      <c r="I10" s="413">
        <f>SUM(I7:I9)</f>
        <v>9.3123518085153206E-2</v>
      </c>
      <c r="J10" s="412">
        <f>SUM(J7:J9)</f>
        <v>9.4536389149961764E-2</v>
      </c>
      <c r="K10" s="412">
        <f>SUM(K7:K9)</f>
        <v>9.5237911069730535E-2</v>
      </c>
      <c r="L10" s="409">
        <f>SUM(L7:L9)</f>
        <v>9.5143807525906662E-2</v>
      </c>
      <c r="M10" s="410"/>
      <c r="N10" s="411">
        <f>SUM(N7:N9)</f>
        <v>8.7206144670121291E-2</v>
      </c>
      <c r="O10" s="410">
        <f>SUM(O7:O9)</f>
        <v>8.8899767548089856E-2</v>
      </c>
      <c r="P10" s="410">
        <f>SUM(P7:P9)</f>
        <v>9.2995822535997544E-2</v>
      </c>
      <c r="Q10" s="409">
        <f>SUM(Q7:Q9)</f>
        <v>9.4446922190925015E-2</v>
      </c>
      <c r="R10" s="410"/>
      <c r="S10" s="411">
        <f>SUM(S7:S9)</f>
        <v>9.1811125729052034E-2</v>
      </c>
      <c r="T10" s="410">
        <f>SUM(T7:T9)</f>
        <v>8.8627088700032636E-2</v>
      </c>
      <c r="U10" s="410">
        <f>SUM(U7:U9)</f>
        <v>8.5290358104215064E-2</v>
      </c>
      <c r="V10" s="409">
        <f>SUM(V7:V9)</f>
        <v>8.8582405209584478E-2</v>
      </c>
      <c r="W10" s="398"/>
      <c r="X10" s="398"/>
      <c r="Y10" s="380"/>
    </row>
    <row r="11" spans="2:25">
      <c r="H11" s="379" t="s">
        <v>194</v>
      </c>
      <c r="I11" s="408">
        <v>1.0942385146689902E-2</v>
      </c>
      <c r="J11" s="404">
        <v>1.0639648694885961E-2</v>
      </c>
      <c r="K11" s="404">
        <v>1.1507125603644731E-2</v>
      </c>
      <c r="L11" s="405">
        <v>1.0605570940181911E-2</v>
      </c>
      <c r="M11" s="406"/>
      <c r="N11" s="407">
        <v>1.6843462882764199E-2</v>
      </c>
      <c r="O11" s="406">
        <v>1.9726744208118357E-2</v>
      </c>
      <c r="P11" s="406">
        <v>1.9557091785461708E-2</v>
      </c>
      <c r="Q11" s="405">
        <v>1.864342594572297E-2</v>
      </c>
      <c r="R11" s="406"/>
      <c r="S11" s="407">
        <v>-1.1434551253278642E-2</v>
      </c>
      <c r="T11" s="406">
        <v>2.6404698348117834E-3</v>
      </c>
      <c r="U11" s="406">
        <v>8.6695616581819387E-3</v>
      </c>
      <c r="V11" s="405">
        <v>5.8701052744955769E-3</v>
      </c>
      <c r="W11" s="404"/>
      <c r="X11" s="396"/>
      <c r="Y11" s="380"/>
    </row>
    <row r="12" spans="2:25" ht="15" thickBot="1">
      <c r="H12" s="379" t="s">
        <v>311</v>
      </c>
      <c r="I12" s="403">
        <f>SUM(I10:I11)</f>
        <v>0.10406590323184312</v>
      </c>
      <c r="J12" s="402">
        <f>SUM(J10:J11)</f>
        <v>0.10517603784484772</v>
      </c>
      <c r="K12" s="402">
        <f>SUM(K10:K11)</f>
        <v>0.10674503667337526</v>
      </c>
      <c r="L12" s="399">
        <f>SUM(L10:L11)</f>
        <v>0.10574937846608858</v>
      </c>
      <c r="M12" s="400"/>
      <c r="N12" s="401">
        <f>SUM(N10:N11)</f>
        <v>0.10404960755288549</v>
      </c>
      <c r="O12" s="400">
        <f>SUM(O10:O11)</f>
        <v>0.10862651175620822</v>
      </c>
      <c r="P12" s="400">
        <f>SUM(P10:P11)</f>
        <v>0.11255291432145925</v>
      </c>
      <c r="Q12" s="399">
        <f>SUM(Q10:Q11)</f>
        <v>0.11309034813664798</v>
      </c>
      <c r="R12" s="400"/>
      <c r="S12" s="401">
        <f>SUM(S10:S11)</f>
        <v>8.0376574475773399E-2</v>
      </c>
      <c r="T12" s="400">
        <f>SUM(T10:T11)</f>
        <v>9.1267558534844417E-2</v>
      </c>
      <c r="U12" s="400">
        <f>SUM(U10:U11)</f>
        <v>9.3959919762397009E-2</v>
      </c>
      <c r="V12" s="399">
        <f>SUM(V10:V11)</f>
        <v>9.4452510484080057E-2</v>
      </c>
      <c r="W12" s="398"/>
      <c r="X12" s="398"/>
      <c r="Y12" s="380"/>
    </row>
    <row r="13" spans="2:25">
      <c r="I13" s="396"/>
      <c r="J13" s="396"/>
      <c r="K13" s="396"/>
      <c r="L13" s="397"/>
      <c r="M13" s="396"/>
      <c r="N13" s="396"/>
      <c r="O13" s="396"/>
      <c r="P13" s="396"/>
      <c r="Q13" s="397"/>
      <c r="R13" s="396"/>
      <c r="S13" s="396"/>
      <c r="T13" s="396"/>
      <c r="U13" s="396"/>
      <c r="V13" s="397"/>
      <c r="W13" s="396"/>
      <c r="X13" s="396"/>
      <c r="Y13" s="380"/>
    </row>
    <row r="14" spans="2:25">
      <c r="H14" s="387" t="s">
        <v>402</v>
      </c>
      <c r="L14" s="395"/>
      <c r="Q14" s="395"/>
      <c r="V14" s="395"/>
      <c r="Y14" s="380"/>
    </row>
    <row r="15" spans="2:25" ht="15" thickBot="1">
      <c r="L15" s="395"/>
      <c r="Q15" s="395"/>
      <c r="V15" s="395"/>
      <c r="Y15" s="380"/>
    </row>
    <row r="16" spans="2:25">
      <c r="H16" s="836"/>
      <c r="I16" s="394"/>
      <c r="J16" s="394"/>
      <c r="K16" s="394"/>
      <c r="L16" s="838" t="s">
        <v>403</v>
      </c>
      <c r="M16" s="394"/>
      <c r="N16" s="394"/>
      <c r="O16" s="394"/>
      <c r="P16" s="394"/>
      <c r="Q16" s="838" t="s">
        <v>405</v>
      </c>
      <c r="R16" s="394"/>
      <c r="S16" s="394"/>
      <c r="T16" s="394"/>
      <c r="U16" s="394"/>
      <c r="V16" s="838" t="s">
        <v>404</v>
      </c>
      <c r="Y16" s="380"/>
    </row>
    <row r="17" spans="1:25">
      <c r="H17" s="837"/>
      <c r="L17" s="839"/>
      <c r="Q17" s="839"/>
      <c r="V17" s="839"/>
      <c r="Y17" s="380"/>
    </row>
    <row r="18" spans="1:25">
      <c r="H18" s="393" t="s">
        <v>193</v>
      </c>
      <c r="L18" s="391">
        <f>L10</f>
        <v>9.5143807525906662E-2</v>
      </c>
      <c r="Q18" s="391">
        <f>Q10</f>
        <v>9.4446922190925015E-2</v>
      </c>
      <c r="V18" s="391">
        <f>V10</f>
        <v>8.8582405209584478E-2</v>
      </c>
      <c r="Y18" s="380"/>
    </row>
    <row r="19" spans="1:25">
      <c r="H19" s="392" t="s">
        <v>194</v>
      </c>
      <c r="L19" s="391">
        <f>L12</f>
        <v>0.10574937846608858</v>
      </c>
      <c r="Q19" s="391">
        <f>Q12</f>
        <v>0.11309034813664798</v>
      </c>
      <c r="V19" s="391">
        <f>V12</f>
        <v>9.4452510484080057E-2</v>
      </c>
      <c r="Y19" s="380"/>
    </row>
    <row r="20" spans="1:25" ht="15" thickBot="1">
      <c r="H20" s="390" t="s">
        <v>195</v>
      </c>
      <c r="I20" s="389"/>
      <c r="J20" s="389"/>
      <c r="K20" s="389"/>
      <c r="L20" s="388">
        <f>L12</f>
        <v>0.10574937846608858</v>
      </c>
      <c r="M20" s="389"/>
      <c r="N20" s="389"/>
      <c r="O20" s="389"/>
      <c r="P20" s="389"/>
      <c r="Q20" s="388">
        <f>Q12</f>
        <v>0.11309034813664798</v>
      </c>
      <c r="R20" s="389"/>
      <c r="S20" s="389"/>
      <c r="T20" s="389"/>
      <c r="U20" s="389"/>
      <c r="V20" s="388">
        <f>V12</f>
        <v>9.4452510484080057E-2</v>
      </c>
      <c r="Y20" s="380"/>
    </row>
    <row r="21" spans="1:25">
      <c r="Y21" s="380"/>
    </row>
    <row r="22" spans="1:25">
      <c r="Y22" s="380"/>
    </row>
    <row r="23" spans="1:25">
      <c r="Y23" s="380"/>
    </row>
    <row r="24" spans="1:25">
      <c r="A24" s="387"/>
      <c r="B24" s="387"/>
      <c r="Y24" s="380"/>
    </row>
    <row r="25" spans="1:25">
      <c r="Y25" s="380"/>
    </row>
    <row r="26" spans="1:25">
      <c r="B26" s="827"/>
      <c r="C26" s="828"/>
      <c r="D26" s="828"/>
      <c r="E26" s="828"/>
      <c r="Y26" s="380"/>
    </row>
    <row r="27" spans="1:25">
      <c r="B27" s="827"/>
      <c r="C27" s="828"/>
      <c r="D27" s="828"/>
      <c r="E27" s="828"/>
      <c r="Y27" s="380"/>
    </row>
    <row r="28" spans="1:25">
      <c r="B28" s="386"/>
      <c r="C28" s="384"/>
      <c r="D28" s="384"/>
      <c r="E28" s="384"/>
      <c r="Y28" s="380"/>
    </row>
    <row r="29" spans="1:25">
      <c r="B29" s="385"/>
      <c r="C29" s="384"/>
      <c r="D29" s="384"/>
      <c r="E29" s="384"/>
      <c r="Y29" s="380"/>
    </row>
    <row r="30" spans="1:25">
      <c r="B30" s="383"/>
      <c r="C30" s="382"/>
      <c r="D30" s="382"/>
      <c r="E30" s="382"/>
      <c r="Y30" s="380"/>
    </row>
    <row r="31" spans="1:25">
      <c r="E31" s="381"/>
      <c r="Y31" s="380"/>
    </row>
    <row r="32" spans="1:25">
      <c r="Y32" s="380"/>
    </row>
    <row r="33" spans="1:25">
      <c r="Y33" s="380"/>
    </row>
    <row r="34" spans="1:25">
      <c r="A34" s="380"/>
      <c r="B34" s="380"/>
      <c r="C34" s="380"/>
      <c r="D34" s="380"/>
      <c r="E34" s="380"/>
      <c r="F34" s="380"/>
      <c r="G34" s="380"/>
      <c r="H34" s="380"/>
      <c r="I34" s="380"/>
      <c r="J34" s="380"/>
      <c r="K34" s="380"/>
      <c r="L34" s="380"/>
      <c r="M34" s="380"/>
      <c r="N34" s="380"/>
      <c r="O34" s="380"/>
      <c r="P34" s="380"/>
      <c r="Q34" s="380"/>
      <c r="R34" s="380"/>
      <c r="S34" s="380"/>
      <c r="T34" s="380"/>
      <c r="U34" s="380"/>
      <c r="V34" s="380"/>
      <c r="W34" s="380"/>
      <c r="X34" s="380"/>
      <c r="Y34" s="380"/>
    </row>
    <row r="49" ht="12.75" customHeight="1"/>
    <row r="55" ht="12.75" customHeight="1"/>
    <row r="67" ht="23.25" customHeight="1"/>
    <row r="74" ht="23.25" customHeight="1"/>
    <row r="81" ht="23.25" customHeight="1"/>
    <row r="110" ht="12.75" customHeight="1"/>
    <row r="116" ht="12.75" customHeight="1"/>
  </sheetData>
  <mergeCells count="12">
    <mergeCell ref="B26:B27"/>
    <mergeCell ref="C26:C27"/>
    <mergeCell ref="D26:D27"/>
    <mergeCell ref="E26:E27"/>
    <mergeCell ref="I3:V3"/>
    <mergeCell ref="I5:L5"/>
    <mergeCell ref="N5:Q5"/>
    <mergeCell ref="S5:V5"/>
    <mergeCell ref="H16:H17"/>
    <mergeCell ref="L16:L17"/>
    <mergeCell ref="Q16:Q17"/>
    <mergeCell ref="V16:V1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9067A-2DFC-4774-85CF-75D0B269A0B1}">
  <sheetPr>
    <tabColor theme="9" tint="0.59999389629810485"/>
    <pageSetUpPr autoPageBreaks="0"/>
  </sheetPr>
  <dimension ref="A1:CS415"/>
  <sheetViews>
    <sheetView topLeftCell="A334" zoomScale="80" zoomScaleNormal="80" workbookViewId="0">
      <selection activeCell="H357" sqref="H357"/>
    </sheetView>
  </sheetViews>
  <sheetFormatPr defaultColWidth="9.26953125" defaultRowHeight="12.6"/>
  <cols>
    <col min="1" max="1" width="22.08984375" style="364" customWidth="1"/>
    <col min="2" max="2" width="46.36328125" style="364" customWidth="1"/>
    <col min="3" max="6" width="11.36328125" style="364" customWidth="1"/>
    <col min="7" max="7" width="12.6328125" style="364" customWidth="1"/>
    <col min="8" max="8" width="11.90625" style="364" customWidth="1"/>
    <col min="9" max="10" width="11.26953125" style="364" customWidth="1"/>
    <col min="11" max="11" width="13.453125" style="364" customWidth="1"/>
    <col min="12" max="12" width="13.6328125" style="364" customWidth="1"/>
    <col min="13" max="13" width="46.453125" style="364" customWidth="1"/>
    <col min="14" max="14" width="30" style="364" customWidth="1"/>
    <col min="15" max="15" width="30.7265625" style="364" customWidth="1"/>
    <col min="16" max="18" width="21.6328125" style="364" customWidth="1"/>
    <col min="19" max="19" width="3.36328125" style="364" customWidth="1"/>
    <col min="20" max="20" width="21" style="364" customWidth="1"/>
    <col min="21" max="21" width="32.6328125" style="364" customWidth="1"/>
    <col min="22" max="22" width="11.6328125" style="364" customWidth="1"/>
    <col min="23" max="23" width="14.81640625" style="364" customWidth="1"/>
    <col min="24" max="24" width="16.7265625" style="364" bestFit="1" customWidth="1"/>
    <col min="25" max="25" width="11.36328125" style="364" customWidth="1"/>
    <col min="26" max="26" width="11" style="364" customWidth="1"/>
    <col min="27" max="27" width="12.26953125" style="364" customWidth="1"/>
    <col min="28" max="28" width="10.6328125" style="364" bestFit="1" customWidth="1"/>
    <col min="29" max="29" width="11.7265625" style="364" customWidth="1"/>
    <col min="30" max="30" width="12.08984375" style="364" customWidth="1"/>
    <col min="31" max="31" width="9" style="364" bestFit="1" customWidth="1"/>
    <col min="32" max="32" width="18.6328125" style="364" customWidth="1"/>
    <col min="33" max="33" width="18.453125" style="364" customWidth="1"/>
    <col min="34" max="34" width="23.6328125" style="364" customWidth="1"/>
    <col min="35" max="35" width="9" style="364" bestFit="1" customWidth="1"/>
    <col min="36" max="36" width="19" style="364" customWidth="1"/>
    <col min="37" max="40" width="9" style="364" bestFit="1" customWidth="1"/>
    <col min="41" max="41" width="9.08984375" style="364" bestFit="1" customWidth="1"/>
    <col min="42" max="42" width="9.453125" style="364" bestFit="1" customWidth="1"/>
    <col min="43" max="43" width="9.08984375" style="364" bestFit="1" customWidth="1"/>
    <col min="44" max="44" width="9" style="364" bestFit="1" customWidth="1"/>
    <col min="45" max="45" width="18.7265625" style="364" bestFit="1" customWidth="1"/>
    <col min="46" max="48" width="9.26953125" style="364"/>
    <col min="49" max="49" width="26.36328125" style="364" customWidth="1"/>
    <col min="50" max="57" width="9" style="364" bestFit="1" customWidth="1"/>
    <col min="58" max="58" width="9.26953125" style="364"/>
    <col min="59" max="59" width="9" style="364" bestFit="1" customWidth="1"/>
    <col min="60" max="60" width="9.26953125" style="364"/>
    <col min="61" max="61" width="15.81640625" style="364" customWidth="1"/>
    <col min="62" max="67" width="9.26953125" style="364"/>
    <col min="68" max="68" width="35.453125" style="364" customWidth="1"/>
    <col min="69" max="69" width="9.81640625" style="364" bestFit="1" customWidth="1"/>
    <col min="70" max="70" width="11.7265625" style="364" bestFit="1" customWidth="1"/>
    <col min="71" max="71" width="11.7265625" style="364" customWidth="1"/>
    <col min="72" max="72" width="10.08984375" style="364" customWidth="1"/>
    <col min="73" max="73" width="11.81640625" style="364" customWidth="1"/>
    <col min="74" max="76" width="9.26953125" style="364"/>
    <col min="77" max="77" width="28.453125" style="364" customWidth="1"/>
    <col min="78" max="78" width="11.26953125" style="364" customWidth="1"/>
    <col min="79" max="79" width="16.7265625" style="364" customWidth="1"/>
    <col min="80" max="80" width="17.81640625" style="364" customWidth="1"/>
    <col min="81" max="81" width="31" style="364" customWidth="1"/>
    <col min="82" max="82" width="12.7265625" style="364" customWidth="1"/>
    <col min="83" max="83" width="13.08984375" style="364" customWidth="1"/>
    <col min="84" max="84" width="12.453125" style="364" customWidth="1"/>
    <col min="85" max="85" width="9.26953125" style="364"/>
    <col min="86" max="86" width="27.26953125" style="364" customWidth="1"/>
    <col min="87" max="88" width="9.26953125" style="364"/>
    <col min="89" max="89" width="13.81640625" style="364" customWidth="1"/>
    <col min="90" max="90" width="9.26953125" style="364"/>
    <col min="91" max="91" width="12.6328125" style="364" customWidth="1"/>
    <col min="92" max="16384" width="9.26953125" style="364"/>
  </cols>
  <sheetData>
    <row r="1" spans="1:97">
      <c r="A1" s="364" t="s">
        <v>515</v>
      </c>
      <c r="H1" s="271" t="s">
        <v>299</v>
      </c>
      <c r="I1" s="274">
        <f>I166*1000</f>
        <v>13216.809579162405</v>
      </c>
      <c r="J1" s="275">
        <f>I165*1000</f>
        <v>9914.0902052150996</v>
      </c>
      <c r="K1" s="276">
        <f>J1-I1</f>
        <v>-3302.7193739473059</v>
      </c>
      <c r="L1" s="277">
        <f>K1/I1</f>
        <v>-0.24988779282667176</v>
      </c>
      <c r="N1" s="1" t="s">
        <v>514</v>
      </c>
      <c r="O1" s="364" t="s">
        <v>399</v>
      </c>
      <c r="P1" s="364" t="s">
        <v>303</v>
      </c>
      <c r="Q1" s="364" t="s">
        <v>513</v>
      </c>
      <c r="R1" s="364" t="s">
        <v>512</v>
      </c>
      <c r="S1" s="227"/>
      <c r="BM1" s="227"/>
      <c r="CS1" s="227"/>
    </row>
    <row r="2" spans="1:97">
      <c r="C2" s="365"/>
      <c r="D2" s="365"/>
      <c r="E2" s="365"/>
      <c r="F2" s="365"/>
      <c r="G2" s="365"/>
      <c r="H2" s="271" t="s">
        <v>300</v>
      </c>
      <c r="I2" s="274">
        <f>I198*1000</f>
        <v>2434.5116835927543</v>
      </c>
      <c r="J2" s="274">
        <f>I197*1000</f>
        <v>2272.3322572437237</v>
      </c>
      <c r="K2" s="276">
        <f>J2-I2</f>
        <v>-162.17942634903056</v>
      </c>
      <c r="L2" s="277">
        <f>K2/I2</f>
        <v>-6.6616819891245169E-2</v>
      </c>
      <c r="N2" s="365">
        <f>SUM(O2:R2)</f>
        <v>-3837.0334138347389</v>
      </c>
      <c r="O2" s="111">
        <f>N19+N36+N53</f>
        <v>-2501.079271883309</v>
      </c>
      <c r="P2" s="658">
        <f>N16+N33+N50</f>
        <v>-1785.2537574660766</v>
      </c>
      <c r="Q2" s="111">
        <f>N22+N39+N56</f>
        <v>232.9894735905641</v>
      </c>
      <c r="R2" s="657">
        <f>N25+N42+N59</f>
        <v>216.31014192408225</v>
      </c>
      <c r="S2" s="227"/>
      <c r="U2" s="1" t="s">
        <v>167</v>
      </c>
      <c r="AH2" s="1" t="s">
        <v>1</v>
      </c>
      <c r="AW2" s="1" t="s">
        <v>50</v>
      </c>
      <c r="BM2" s="227"/>
      <c r="CS2" s="227"/>
    </row>
    <row r="3" spans="1:97" ht="13.2" thickBot="1">
      <c r="B3" s="22" t="s">
        <v>547</v>
      </c>
      <c r="H3" s="271" t="s">
        <v>301</v>
      </c>
      <c r="I3" s="274">
        <f>I230*1000</f>
        <v>3733.2575905720064</v>
      </c>
      <c r="J3" s="274">
        <f>I229*1000</f>
        <v>3361.1229770336026</v>
      </c>
      <c r="K3" s="276">
        <f>J3-I3</f>
        <v>-372.13461353840376</v>
      </c>
      <c r="L3" s="277">
        <f>K3/I3</f>
        <v>-9.9680936691375108E-2</v>
      </c>
      <c r="N3" s="365"/>
      <c r="O3" s="655">
        <f>O2/E10</f>
        <v>0.65182629446630891</v>
      </c>
      <c r="P3" s="656">
        <f>P2/E10</f>
        <v>0.46526927574547505</v>
      </c>
      <c r="Q3" s="655">
        <f>Q2/E10</f>
        <v>-6.0721252191993279E-2</v>
      </c>
      <c r="R3" s="378">
        <f>R2/E10</f>
        <v>-5.6374318019790572E-2</v>
      </c>
      <c r="S3" s="227"/>
      <c r="Y3" s="150" t="s">
        <v>162</v>
      </c>
      <c r="AA3" s="142"/>
      <c r="AN3" s="150" t="s">
        <v>162</v>
      </c>
      <c r="BC3" s="150" t="s">
        <v>162</v>
      </c>
      <c r="BM3" s="227"/>
      <c r="BP3" s="22" t="s">
        <v>580</v>
      </c>
      <c r="BV3" s="150" t="s">
        <v>162</v>
      </c>
      <c r="CS3" s="227"/>
    </row>
    <row r="4" spans="1:97" ht="24" customHeight="1" thickTop="1" thickBot="1">
      <c r="B4" s="35" t="str">
        <f>B70</f>
        <v>£m, 2020-21 prices </v>
      </c>
      <c r="C4" s="876" t="s">
        <v>532</v>
      </c>
      <c r="D4" s="877"/>
      <c r="E4" s="877"/>
      <c r="F4" s="877"/>
      <c r="G4" s="157"/>
      <c r="J4" s="496"/>
      <c r="K4" s="496"/>
      <c r="L4" s="496"/>
      <c r="N4" s="654">
        <f>N2/(L17+L34+L51)</f>
        <v>-0.19794257295283726</v>
      </c>
      <c r="S4" s="227"/>
      <c r="U4" s="364" t="str">
        <f>B4</f>
        <v>£m, 2020-21 prices </v>
      </c>
      <c r="V4" s="109" t="s">
        <v>120</v>
      </c>
      <c r="W4" s="109" t="s">
        <v>120</v>
      </c>
      <c r="X4" s="109" t="s">
        <v>120</v>
      </c>
      <c r="Y4" s="109" t="s">
        <v>120</v>
      </c>
      <c r="Z4" s="109" t="s">
        <v>120</v>
      </c>
      <c r="AA4" s="109" t="s">
        <v>120</v>
      </c>
      <c r="AB4" s="109" t="s">
        <v>120</v>
      </c>
      <c r="AC4" s="109" t="s">
        <v>120</v>
      </c>
      <c r="AH4" s="364" t="str">
        <f>U4</f>
        <v>£m, 2020-21 prices </v>
      </c>
      <c r="AI4" s="109" t="s">
        <v>120</v>
      </c>
      <c r="AJ4" s="109" t="s">
        <v>120</v>
      </c>
      <c r="AK4" s="109" t="s">
        <v>120</v>
      </c>
      <c r="AL4" s="109" t="s">
        <v>120</v>
      </c>
      <c r="AM4" s="109" t="s">
        <v>120</v>
      </c>
      <c r="AN4" s="109" t="s">
        <v>120</v>
      </c>
      <c r="AO4" s="109" t="s">
        <v>120</v>
      </c>
      <c r="AP4" s="109" t="s">
        <v>120</v>
      </c>
      <c r="AW4" s="364" t="str">
        <f>U4</f>
        <v>£m, 2020-21 prices </v>
      </c>
      <c r="AX4" s="109" t="s">
        <v>120</v>
      </c>
      <c r="AY4" s="109" t="s">
        <v>120</v>
      </c>
      <c r="AZ4" s="109" t="s">
        <v>120</v>
      </c>
      <c r="BA4" s="109" t="s">
        <v>120</v>
      </c>
      <c r="BB4" s="109" t="s">
        <v>120</v>
      </c>
      <c r="BC4" s="109" t="s">
        <v>120</v>
      </c>
      <c r="BD4" s="109" t="s">
        <v>120</v>
      </c>
      <c r="BE4" s="109" t="s">
        <v>120</v>
      </c>
      <c r="BM4" s="227"/>
      <c r="BQ4" s="109" t="s">
        <v>120</v>
      </c>
      <c r="BR4" s="109" t="s">
        <v>120</v>
      </c>
      <c r="BS4" s="109" t="s">
        <v>120</v>
      </c>
      <c r="BT4" s="109" t="s">
        <v>120</v>
      </c>
      <c r="BU4" s="109" t="s">
        <v>120</v>
      </c>
      <c r="BV4" s="109" t="s">
        <v>120</v>
      </c>
      <c r="BW4" s="109" t="s">
        <v>120</v>
      </c>
      <c r="BX4" s="109" t="s">
        <v>120</v>
      </c>
      <c r="CS4" s="227"/>
    </row>
    <row r="5" spans="1:97" ht="22.5" customHeight="1" thickBot="1">
      <c r="B5" s="534"/>
      <c r="C5" s="653" t="s">
        <v>2</v>
      </c>
      <c r="D5" s="653" t="s">
        <v>4</v>
      </c>
      <c r="E5" s="878" t="s">
        <v>46</v>
      </c>
      <c r="F5" s="879"/>
      <c r="G5" s="652" t="s">
        <v>312</v>
      </c>
      <c r="H5" s="666" t="s">
        <v>518</v>
      </c>
      <c r="I5" s="533"/>
      <c r="J5" s="496"/>
      <c r="K5" s="496"/>
      <c r="L5" s="496"/>
      <c r="O5" s="126"/>
      <c r="P5" s="533"/>
      <c r="Q5" s="533"/>
      <c r="R5" s="533"/>
      <c r="S5" s="227"/>
      <c r="V5" s="607">
        <v>2014</v>
      </c>
      <c r="W5" s="607">
        <v>2015</v>
      </c>
      <c r="X5" s="607">
        <v>2016</v>
      </c>
      <c r="Y5" s="607">
        <v>2017</v>
      </c>
      <c r="Z5" s="427">
        <v>2018</v>
      </c>
      <c r="AA5" s="427">
        <v>2019</v>
      </c>
      <c r="AB5" s="607">
        <v>2020</v>
      </c>
      <c r="AC5" s="606">
        <v>2021</v>
      </c>
      <c r="AI5" s="607">
        <v>2014</v>
      </c>
      <c r="AJ5" s="607">
        <v>2015</v>
      </c>
      <c r="AK5" s="607">
        <v>2016</v>
      </c>
      <c r="AL5" s="607">
        <v>2017</v>
      </c>
      <c r="AM5" s="427">
        <v>2018</v>
      </c>
      <c r="AN5" s="427">
        <v>2019</v>
      </c>
      <c r="AO5" s="607">
        <v>2020</v>
      </c>
      <c r="AP5" s="606">
        <v>2021</v>
      </c>
      <c r="AX5" s="607">
        <v>2014</v>
      </c>
      <c r="AY5" s="607">
        <v>2015</v>
      </c>
      <c r="AZ5" s="607">
        <v>2016</v>
      </c>
      <c r="BA5" s="607">
        <v>2017</v>
      </c>
      <c r="BB5" s="427">
        <v>2018</v>
      </c>
      <c r="BC5" s="427">
        <v>2019</v>
      </c>
      <c r="BD5" s="607">
        <v>2020</v>
      </c>
      <c r="BE5" s="606">
        <v>2021</v>
      </c>
      <c r="BM5" s="227"/>
      <c r="BQ5" s="607">
        <v>2014</v>
      </c>
      <c r="BR5" s="607">
        <v>2015</v>
      </c>
      <c r="BS5" s="607">
        <v>2016</v>
      </c>
      <c r="BT5" s="607">
        <v>2017</v>
      </c>
      <c r="BU5" s="427">
        <v>2018</v>
      </c>
      <c r="BV5" s="427">
        <v>2019</v>
      </c>
      <c r="BW5" s="607">
        <v>2020</v>
      </c>
      <c r="BX5" s="606">
        <v>2021</v>
      </c>
      <c r="CS5" s="227"/>
    </row>
    <row r="6" spans="1:97" ht="13.2">
      <c r="B6" s="534"/>
      <c r="C6" s="102"/>
      <c r="D6" s="36"/>
      <c r="E6" s="533" t="s">
        <v>47</v>
      </c>
      <c r="F6" s="103" t="s">
        <v>48</v>
      </c>
      <c r="G6" s="103" t="s">
        <v>48</v>
      </c>
      <c r="H6" s="533" t="s">
        <v>47</v>
      </c>
      <c r="I6" s="36"/>
      <c r="J6" s="496"/>
      <c r="K6" s="496"/>
      <c r="L6" s="496"/>
      <c r="Q6" s="651"/>
      <c r="R6" s="651"/>
      <c r="S6" s="227"/>
      <c r="U6" s="602" t="s">
        <v>5</v>
      </c>
      <c r="V6" s="572">
        <f t="shared" ref="V6:AB6" si="0">C29</f>
        <v>1642.4450048483368</v>
      </c>
      <c r="W6" s="572">
        <f t="shared" si="0"/>
        <v>1233.1974840820894</v>
      </c>
      <c r="X6" s="572">
        <f t="shared" si="0"/>
        <v>1324.9888753281225</v>
      </c>
      <c r="Y6" s="572">
        <f t="shared" si="0"/>
        <v>1240.3006043570699</v>
      </c>
      <c r="Z6" s="428">
        <f t="shared" si="0"/>
        <v>1141.7790140150184</v>
      </c>
      <c r="AA6" s="428">
        <f t="shared" si="0"/>
        <v>1096.6345151657902</v>
      </c>
      <c r="AB6" s="572">
        <f t="shared" si="0"/>
        <v>1076.8938876092961</v>
      </c>
      <c r="AC6" s="365">
        <f>K29</f>
        <v>1157.8508198093762</v>
      </c>
      <c r="AH6" s="602" t="s">
        <v>5</v>
      </c>
      <c r="AI6" s="572">
        <f t="shared" ref="AI6:AO6" si="1">C46</f>
        <v>279.77337500052897</v>
      </c>
      <c r="AJ6" s="572">
        <f t="shared" si="1"/>
        <v>320.47272648511466</v>
      </c>
      <c r="AK6" s="572">
        <f t="shared" si="1"/>
        <v>402.87298376250715</v>
      </c>
      <c r="AL6" s="572">
        <f t="shared" si="1"/>
        <v>383.70254107026437</v>
      </c>
      <c r="AM6" s="428">
        <f t="shared" si="1"/>
        <v>255.52675533582692</v>
      </c>
      <c r="AN6" s="428">
        <f t="shared" si="1"/>
        <v>194.88128510250772</v>
      </c>
      <c r="AO6" s="572">
        <f t="shared" si="1"/>
        <v>206.99894754311654</v>
      </c>
      <c r="AP6" s="365">
        <f>K46</f>
        <v>228.10364294385707</v>
      </c>
      <c r="AW6" s="602" t="s">
        <v>5</v>
      </c>
      <c r="AX6" s="572">
        <f t="shared" ref="AX6:BD6" si="2">C63</f>
        <v>203.91025157295437</v>
      </c>
      <c r="AY6" s="572">
        <f t="shared" si="2"/>
        <v>387.95743507014015</v>
      </c>
      <c r="AZ6" s="572">
        <f t="shared" si="2"/>
        <v>594.00476054239562</v>
      </c>
      <c r="BA6" s="572">
        <f t="shared" si="2"/>
        <v>512.42643122999539</v>
      </c>
      <c r="BB6" s="428">
        <f t="shared" si="2"/>
        <v>461.13240923444323</v>
      </c>
      <c r="BC6" s="428">
        <f t="shared" si="2"/>
        <v>358.60218002968503</v>
      </c>
      <c r="BD6" s="572">
        <f t="shared" si="2"/>
        <v>373.24369135398922</v>
      </c>
      <c r="BE6" s="365">
        <f>K63</f>
        <v>469.84581800000007</v>
      </c>
      <c r="BM6" s="227"/>
      <c r="BP6" s="602" t="s">
        <v>5</v>
      </c>
      <c r="BQ6" s="572">
        <f t="shared" ref="BQ6:BX7" si="3">AX6+AI6+V6</f>
        <v>2126.12863142182</v>
      </c>
      <c r="BR6" s="572">
        <f t="shared" si="3"/>
        <v>1941.6276456373444</v>
      </c>
      <c r="BS6" s="572">
        <f t="shared" si="3"/>
        <v>2321.866619633025</v>
      </c>
      <c r="BT6" s="572">
        <f t="shared" si="3"/>
        <v>2136.4295766573296</v>
      </c>
      <c r="BU6" s="428">
        <f t="shared" si="3"/>
        <v>1858.4381785852886</v>
      </c>
      <c r="BV6" s="428">
        <f t="shared" si="3"/>
        <v>1650.117980297983</v>
      </c>
      <c r="BW6" s="572">
        <f t="shared" si="3"/>
        <v>1657.1365265064019</v>
      </c>
      <c r="BX6" s="599">
        <f t="shared" si="3"/>
        <v>1855.8002807532334</v>
      </c>
      <c r="CS6" s="227"/>
    </row>
    <row r="7" spans="1:97" ht="14.4">
      <c r="B7" s="534" t="s">
        <v>517</v>
      </c>
      <c r="C7" s="290">
        <f>L17</f>
        <v>13216.809579162405</v>
      </c>
      <c r="D7" s="695">
        <f>L29</f>
        <v>9914.0902052150996</v>
      </c>
      <c r="E7" s="531">
        <f>D7-C7</f>
        <v>-3302.7193739473059</v>
      </c>
      <c r="F7" s="105">
        <f>E7/C7</f>
        <v>-0.24988779282667176</v>
      </c>
      <c r="G7" s="286">
        <v>0.46889999999999998</v>
      </c>
      <c r="H7" s="21">
        <f>-E7*(1-G7)</f>
        <v>1754.0742595034142</v>
      </c>
      <c r="I7" s="525"/>
      <c r="J7" s="496"/>
      <c r="K7" s="496"/>
      <c r="L7" s="496"/>
      <c r="Q7" s="378"/>
      <c r="R7" s="378"/>
      <c r="S7" s="228"/>
      <c r="U7" s="602" t="s">
        <v>76</v>
      </c>
      <c r="V7" s="600"/>
      <c r="W7" s="600"/>
      <c r="X7" s="600"/>
      <c r="Y7" s="627"/>
      <c r="Z7" s="630"/>
      <c r="AA7" s="630"/>
      <c r="AB7" s="650"/>
      <c r="AC7" s="628"/>
      <c r="AE7" s="147">
        <f>SUM(V6:AC7)</f>
        <v>9914.0902052150996</v>
      </c>
      <c r="AH7" s="602" t="s">
        <v>76</v>
      </c>
      <c r="AI7" s="600"/>
      <c r="AJ7" s="600"/>
      <c r="AK7" s="600"/>
      <c r="AL7" s="627"/>
      <c r="AM7" s="630"/>
      <c r="AN7" s="630"/>
      <c r="AO7" s="627"/>
      <c r="AP7" s="626"/>
      <c r="AR7" s="147">
        <f>SUM(AI6:AP7)</f>
        <v>2272.3322572437237</v>
      </c>
      <c r="AW7" s="602" t="s">
        <v>76</v>
      </c>
      <c r="AX7" s="600"/>
      <c r="AY7" s="600"/>
      <c r="AZ7" s="600"/>
      <c r="BA7" s="627"/>
      <c r="BB7" s="630"/>
      <c r="BC7" s="630"/>
      <c r="BD7" s="627"/>
      <c r="BE7" s="626"/>
      <c r="BG7" s="147">
        <f>SUM(AX6:BE7)</f>
        <v>3361.1229770336031</v>
      </c>
      <c r="BM7" s="227"/>
      <c r="BP7" s="602" t="s">
        <v>76</v>
      </c>
      <c r="BQ7" s="572">
        <f t="shared" si="3"/>
        <v>0</v>
      </c>
      <c r="BR7" s="572">
        <f t="shared" si="3"/>
        <v>0</v>
      </c>
      <c r="BS7" s="572">
        <f t="shared" si="3"/>
        <v>0</v>
      </c>
      <c r="BT7" s="572">
        <f t="shared" si="3"/>
        <v>0</v>
      </c>
      <c r="BU7" s="428">
        <f t="shared" si="3"/>
        <v>0</v>
      </c>
      <c r="BV7" s="428">
        <f t="shared" si="3"/>
        <v>0</v>
      </c>
      <c r="BW7" s="572">
        <f t="shared" si="3"/>
        <v>0</v>
      </c>
      <c r="BX7" s="599">
        <f t="shared" si="3"/>
        <v>0</v>
      </c>
      <c r="BZ7" s="147">
        <f>SUM(BQ6:BX7)</f>
        <v>15547.545439492425</v>
      </c>
      <c r="CS7" s="227"/>
    </row>
    <row r="8" spans="1:97">
      <c r="B8" s="534" t="s">
        <v>558</v>
      </c>
      <c r="C8" s="290">
        <f>L34</f>
        <v>2434.5116835927547</v>
      </c>
      <c r="D8" s="695">
        <f>L46</f>
        <v>2272.3322572437237</v>
      </c>
      <c r="E8" s="531">
        <f>D8-C8</f>
        <v>-162.17942634903102</v>
      </c>
      <c r="F8" s="105">
        <f>E8/C8</f>
        <v>-6.6616819891245349E-2</v>
      </c>
      <c r="G8" s="105">
        <v>0.5</v>
      </c>
      <c r="H8" s="21">
        <f>-E8*(1-G8)</f>
        <v>81.089713174515509</v>
      </c>
      <c r="I8" s="531"/>
      <c r="J8" s="496"/>
      <c r="K8" s="496"/>
      <c r="L8" s="496"/>
      <c r="O8" s="365"/>
      <c r="P8" s="531"/>
      <c r="Q8" s="531"/>
      <c r="R8" s="531"/>
      <c r="S8" s="228"/>
      <c r="U8" s="600" t="s">
        <v>491</v>
      </c>
      <c r="V8" s="572">
        <f t="shared" ref="V8:AB8" si="4">C17</f>
        <v>2165.1744037247863</v>
      </c>
      <c r="W8" s="572">
        <f t="shared" si="4"/>
        <v>1872.7675529475705</v>
      </c>
      <c r="X8" s="572">
        <f t="shared" si="4"/>
        <v>1549.6723347309264</v>
      </c>
      <c r="Y8" s="572">
        <f t="shared" si="4"/>
        <v>1419.7259377797068</v>
      </c>
      <c r="Z8" s="428">
        <f t="shared" si="4"/>
        <v>1391.6437867787117</v>
      </c>
      <c r="AA8" s="428">
        <f t="shared" si="4"/>
        <v>1659.5012505789448</v>
      </c>
      <c r="AB8" s="572">
        <f t="shared" si="4"/>
        <v>1544.786906699065</v>
      </c>
      <c r="AC8" s="599">
        <f>K17</f>
        <v>1613.5374059226942</v>
      </c>
      <c r="AE8" s="147">
        <f>SUM(V8:AC8)</f>
        <v>13216.809579162405</v>
      </c>
      <c r="AH8" s="600" t="s">
        <v>491</v>
      </c>
      <c r="AI8" s="623">
        <f t="shared" ref="AI8:AO8" si="5">C34</f>
        <v>395.00193164384314</v>
      </c>
      <c r="AJ8" s="623">
        <f t="shared" si="5"/>
        <v>454.37786938340327</v>
      </c>
      <c r="AK8" s="623">
        <f t="shared" si="5"/>
        <v>359.73865774387338</v>
      </c>
      <c r="AL8" s="623">
        <f t="shared" si="5"/>
        <v>260.85420925826674</v>
      </c>
      <c r="AM8" s="624">
        <f t="shared" si="5"/>
        <v>289.69942026647169</v>
      </c>
      <c r="AN8" s="624">
        <f t="shared" si="5"/>
        <v>297.25683051507855</v>
      </c>
      <c r="AO8" s="623">
        <f t="shared" si="5"/>
        <v>248.15450961591392</v>
      </c>
      <c r="AP8" s="622">
        <f>K34</f>
        <v>129.42825516590372</v>
      </c>
      <c r="AR8" s="147">
        <f>SUM(AI8:AP8)</f>
        <v>2434.5116835927547</v>
      </c>
      <c r="AW8" s="600" t="s">
        <v>491</v>
      </c>
      <c r="AX8" s="623">
        <f t="shared" ref="AX8:BD8" si="6">C51</f>
        <v>274.0561571000726</v>
      </c>
      <c r="AY8" s="623">
        <f t="shared" si="6"/>
        <v>480.50328618495047</v>
      </c>
      <c r="AZ8" s="623">
        <f t="shared" si="6"/>
        <v>910.18120429569535</v>
      </c>
      <c r="BA8" s="623">
        <f t="shared" si="6"/>
        <v>742.74071261450501</v>
      </c>
      <c r="BB8" s="624">
        <f t="shared" si="6"/>
        <v>437.72505369870703</v>
      </c>
      <c r="BC8" s="624">
        <f t="shared" si="6"/>
        <v>237.99745946486667</v>
      </c>
      <c r="BD8" s="623">
        <f t="shared" si="6"/>
        <v>274.89496948366929</v>
      </c>
      <c r="BE8" s="622">
        <f>K51</f>
        <v>375.1587477295397</v>
      </c>
      <c r="BG8" s="147">
        <f>SUM(AX8:BE8)</f>
        <v>3733.2575905720059</v>
      </c>
      <c r="BI8" s="147"/>
      <c r="BM8" s="227"/>
      <c r="BP8" s="600" t="s">
        <v>491</v>
      </c>
      <c r="BQ8" s="572">
        <f t="shared" ref="BQ8:BX8" si="7">AX8+AI8+V8</f>
        <v>2834.2324924687018</v>
      </c>
      <c r="BR8" s="572">
        <f t="shared" si="7"/>
        <v>2807.6487085159242</v>
      </c>
      <c r="BS8" s="572">
        <f t="shared" si="7"/>
        <v>2819.5921967704953</v>
      </c>
      <c r="BT8" s="572">
        <f t="shared" si="7"/>
        <v>2423.3208596524782</v>
      </c>
      <c r="BU8" s="428">
        <f t="shared" si="7"/>
        <v>2119.0682607438903</v>
      </c>
      <c r="BV8" s="428">
        <f t="shared" si="7"/>
        <v>2194.7555405588901</v>
      </c>
      <c r="BW8" s="572">
        <f t="shared" si="7"/>
        <v>2067.8363857986483</v>
      </c>
      <c r="BX8" s="599">
        <f t="shared" si="7"/>
        <v>2118.1244088181375</v>
      </c>
      <c r="BZ8" s="147">
        <f>SUM(BQ8:BX8)</f>
        <v>19384.578853327166</v>
      </c>
      <c r="CC8" s="147"/>
      <c r="CS8" s="227"/>
    </row>
    <row r="9" spans="1:97" ht="13.2" thickBot="1">
      <c r="B9" s="534" t="s">
        <v>555</v>
      </c>
      <c r="C9" s="290">
        <f>L51</f>
        <v>3733.2575905720059</v>
      </c>
      <c r="D9" s="717">
        <f>L63</f>
        <v>3361.1229770336031</v>
      </c>
      <c r="E9" s="531">
        <f>D9-C9</f>
        <v>-372.13461353840285</v>
      </c>
      <c r="F9" s="105">
        <f>E9/C9</f>
        <v>-9.9680936691374886E-2</v>
      </c>
      <c r="G9" s="105">
        <v>0.5</v>
      </c>
      <c r="H9" s="21">
        <f>-E9*(1-G9)</f>
        <v>186.06730676920142</v>
      </c>
      <c r="I9" s="531"/>
      <c r="J9" s="687"/>
      <c r="K9" s="496"/>
      <c r="L9" s="496"/>
      <c r="P9" s="531"/>
      <c r="Q9" s="531"/>
      <c r="R9" s="531"/>
      <c r="S9" s="228"/>
      <c r="BM9" s="227"/>
      <c r="CS9" s="227"/>
    </row>
    <row r="10" spans="1:97" ht="13.2" thickBot="1">
      <c r="B10" s="101" t="s">
        <v>3</v>
      </c>
      <c r="C10" s="696">
        <f>SUM(C7:C9)</f>
        <v>19384.578853327166</v>
      </c>
      <c r="D10" s="697">
        <f>SUM(D7:D9)</f>
        <v>15547.545439492427</v>
      </c>
      <c r="E10" s="698">
        <f>D10-C10</f>
        <v>-3837.0334138347389</v>
      </c>
      <c r="F10" s="699">
        <f>E10/C10</f>
        <v>-0.19794257295283726</v>
      </c>
      <c r="G10" s="699"/>
      <c r="H10" s="700">
        <f>SUM(H7:H9)</f>
        <v>2021.2312794471311</v>
      </c>
      <c r="I10" s="649"/>
      <c r="J10" s="496"/>
      <c r="K10" s="496"/>
      <c r="L10" s="496"/>
      <c r="P10" s="649"/>
      <c r="Q10" s="649"/>
      <c r="R10" s="649"/>
      <c r="S10" s="227"/>
      <c r="U10" s="22" t="s">
        <v>511</v>
      </c>
      <c r="AH10" s="22" t="s">
        <v>510</v>
      </c>
      <c r="AW10" s="22" t="s">
        <v>509</v>
      </c>
      <c r="BD10" s="1" t="s">
        <v>152</v>
      </c>
      <c r="BM10" s="227"/>
      <c r="BX10" s="1" t="s">
        <v>152</v>
      </c>
      <c r="CS10" s="227"/>
    </row>
    <row r="11" spans="1:97" ht="13.2" thickTop="1">
      <c r="B11" s="76" t="s">
        <v>571</v>
      </c>
      <c r="D11" s="136"/>
      <c r="E11" s="136"/>
      <c r="F11" s="136"/>
      <c r="H11" s="269"/>
      <c r="J11" s="496"/>
      <c r="K11" s="496"/>
      <c r="L11" s="496"/>
      <c r="M11" s="365"/>
      <c r="P11" s="648"/>
      <c r="Q11" s="648"/>
      <c r="R11" s="648"/>
      <c r="S11" s="228"/>
      <c r="BD11" s="364" t="s">
        <v>165</v>
      </c>
      <c r="BM11" s="227"/>
      <c r="BX11" s="364" t="s">
        <v>165</v>
      </c>
      <c r="CS11" s="227"/>
    </row>
    <row r="12" spans="1:97" ht="13.2" thickBot="1">
      <c r="O12" s="645" t="s">
        <v>453</v>
      </c>
      <c r="P12" s="644">
        <f>'[10]Universal data'!$C$55</f>
        <v>1.0121283228163858</v>
      </c>
      <c r="S12" s="228"/>
      <c r="BD12" s="364" t="s">
        <v>233</v>
      </c>
      <c r="BM12" s="227"/>
      <c r="BX12" s="364" t="s">
        <v>315</v>
      </c>
      <c r="CS12" s="227"/>
    </row>
    <row r="13" spans="1:97" ht="16.2">
      <c r="B13" s="167"/>
      <c r="C13" s="647" t="s">
        <v>71</v>
      </c>
      <c r="D13" s="647" t="s">
        <v>72</v>
      </c>
      <c r="E13" s="647" t="s">
        <v>73</v>
      </c>
      <c r="F13" s="647" t="s">
        <v>74</v>
      </c>
      <c r="G13" s="647" t="s">
        <v>118</v>
      </c>
      <c r="H13" s="647" t="s">
        <v>132</v>
      </c>
      <c r="I13" s="647" t="s">
        <v>323</v>
      </c>
      <c r="J13" s="647"/>
      <c r="K13" s="646" t="s">
        <v>324</v>
      </c>
      <c r="L13" s="301"/>
      <c r="O13" s="645" t="s">
        <v>508</v>
      </c>
      <c r="P13" s="644">
        <f>'[11]Universal data'!$C$55</f>
        <v>1.0258870204865376</v>
      </c>
      <c r="S13" s="228"/>
      <c r="BM13" s="227"/>
      <c r="BX13" s="364" t="s">
        <v>234</v>
      </c>
      <c r="CS13" s="227"/>
    </row>
    <row r="14" spans="1:97" ht="16.8" thickBot="1">
      <c r="B14" s="169" t="s">
        <v>49</v>
      </c>
      <c r="C14" s="643" t="s">
        <v>120</v>
      </c>
      <c r="D14" s="643" t="s">
        <v>120</v>
      </c>
      <c r="E14" s="643" t="s">
        <v>120</v>
      </c>
      <c r="F14" s="643" t="s">
        <v>120</v>
      </c>
      <c r="G14" s="643" t="s">
        <v>120</v>
      </c>
      <c r="H14" s="643" t="s">
        <v>120</v>
      </c>
      <c r="I14" s="643" t="s">
        <v>120</v>
      </c>
      <c r="J14" s="643"/>
      <c r="K14" s="642" t="s">
        <v>120</v>
      </c>
      <c r="L14" s="302"/>
      <c r="M14" s="109"/>
      <c r="O14" s="1" t="s">
        <v>456</v>
      </c>
      <c r="S14" s="227"/>
      <c r="T14" s="362"/>
      <c r="BM14" s="227"/>
      <c r="CS14" s="227"/>
    </row>
    <row r="15" spans="1:97" ht="15.6">
      <c r="A15" s="364" t="str">
        <f>A32</f>
        <v>source T2.4 RRP21</v>
      </c>
      <c r="B15" s="170"/>
      <c r="C15" s="615">
        <v>2014</v>
      </c>
      <c r="D15" s="615">
        <v>2015</v>
      </c>
      <c r="E15" s="615">
        <v>2016</v>
      </c>
      <c r="F15" s="615">
        <v>2017</v>
      </c>
      <c r="G15" s="615">
        <v>2018</v>
      </c>
      <c r="H15" s="615">
        <v>2019</v>
      </c>
      <c r="I15" s="615">
        <v>2020</v>
      </c>
      <c r="J15" s="615"/>
      <c r="K15" s="143">
        <v>2021</v>
      </c>
      <c r="L15" s="303" t="s">
        <v>51</v>
      </c>
      <c r="M15" s="110"/>
      <c r="O15" s="316" t="s">
        <v>167</v>
      </c>
      <c r="P15" s="317" t="s">
        <v>507</v>
      </c>
      <c r="Q15" s="317" t="s">
        <v>401</v>
      </c>
      <c r="R15" s="317" t="s">
        <v>506</v>
      </c>
      <c r="S15" s="229"/>
      <c r="T15" s="366"/>
      <c r="BM15" s="227"/>
      <c r="CS15" s="227"/>
    </row>
    <row r="16" spans="1:97" ht="15.6">
      <c r="A16" s="614" t="s">
        <v>496</v>
      </c>
      <c r="B16" s="171" t="s">
        <v>135</v>
      </c>
      <c r="C16" s="111">
        <f>C17*'[12]Universal data'!$C$55</f>
        <v>1588.1201358961571</v>
      </c>
      <c r="D16" s="111">
        <f>D17*'[12]Universal data'!$C$55</f>
        <v>1373.6444766631625</v>
      </c>
      <c r="E16" s="111">
        <f>E17*'[12]Universal data'!$C$55</f>
        <v>1136.6594000897019</v>
      </c>
      <c r="F16" s="111">
        <f>F17*'[12]Universal data'!$C$55</f>
        <v>1041.3458358657927</v>
      </c>
      <c r="G16" s="111">
        <f>G17*'[12]Universal data'!$C$55</f>
        <v>1020.7480358053291</v>
      </c>
      <c r="H16" s="111">
        <f>H17*'[12]Universal data'!$C$55</f>
        <v>1217.2171198104886</v>
      </c>
      <c r="I16" s="111">
        <f>I17*'[12]Universal data'!$C$55</f>
        <v>1133.0760182537983</v>
      </c>
      <c r="J16" s="111"/>
      <c r="K16" s="597">
        <f>K17*'[12]Universal data'!$C$55</f>
        <v>1183.5033888998432</v>
      </c>
      <c r="L16" s="307">
        <f>SUM(C16:K16)</f>
        <v>9694.3144112842747</v>
      </c>
      <c r="M16" s="112"/>
      <c r="N16" s="641">
        <f>L25-L19</f>
        <v>-1142.3447840509943</v>
      </c>
      <c r="O16" s="370" t="s">
        <v>505</v>
      </c>
      <c r="P16" s="358">
        <f>('[13]2.4_Totex'!$M$49*$P$13)*$P$12</f>
        <v>13540.226857505977</v>
      </c>
      <c r="Q16" s="358">
        <f>'[11]2.4_Totex'!$M$49*$P$12</f>
        <v>13076.646697183269</v>
      </c>
      <c r="R16" s="358">
        <f>'[10]2.4_Totex'!$M$49</f>
        <v>13216.809579162404</v>
      </c>
      <c r="S16" s="229"/>
      <c r="T16" s="576"/>
      <c r="BM16" s="227"/>
      <c r="CS16" s="227"/>
    </row>
    <row r="17" spans="1:97" ht="15.6">
      <c r="A17" s="135" t="s">
        <v>504</v>
      </c>
      <c r="B17" s="172" t="s">
        <v>447</v>
      </c>
      <c r="C17" s="613">
        <f>C22+C23</f>
        <v>2165.1744037247863</v>
      </c>
      <c r="D17" s="613">
        <f>D22+D23</f>
        <v>1872.7675529475705</v>
      </c>
      <c r="E17" s="613">
        <f t="shared" ref="E17:I17" si="8">E22+E23</f>
        <v>1549.6723347309264</v>
      </c>
      <c r="F17" s="613">
        <f t="shared" si="8"/>
        <v>1419.7259377797068</v>
      </c>
      <c r="G17" s="613">
        <f t="shared" si="8"/>
        <v>1391.6437867787117</v>
      </c>
      <c r="H17" s="613">
        <f t="shared" si="8"/>
        <v>1659.5012505789448</v>
      </c>
      <c r="I17" s="613">
        <f t="shared" si="8"/>
        <v>1544.786906699065</v>
      </c>
      <c r="J17" s="613"/>
      <c r="K17" s="166">
        <f>K22+K23</f>
        <v>1613.5374059226942</v>
      </c>
      <c r="L17" s="304">
        <f>SUM(C17:K17)</f>
        <v>13216.809579162405</v>
      </c>
      <c r="M17" s="688"/>
      <c r="N17" s="604">
        <f>N16/L19</f>
        <v>-0.25488445495917905</v>
      </c>
      <c r="O17" s="355" t="s">
        <v>395</v>
      </c>
      <c r="P17" s="356">
        <f>('[14]8-year TO forecasts'!K19*$P$13)*$P$12</f>
        <v>4794.424073905634</v>
      </c>
      <c r="Q17" s="356">
        <f>('[15]8-year TO forecast'!$K$19*$P$12)</f>
        <v>4332.8064598995134</v>
      </c>
      <c r="R17" s="356">
        <f>'[10]2.4_Totex'!$M$36</f>
        <v>4481.8142567146606</v>
      </c>
      <c r="S17" s="230"/>
      <c r="T17" s="576"/>
      <c r="BM17" s="227"/>
      <c r="CS17" s="227"/>
    </row>
    <row r="18" spans="1:97" ht="15.6">
      <c r="B18" s="171"/>
      <c r="C18" s="111"/>
      <c r="D18" s="111"/>
      <c r="E18" s="111"/>
      <c r="F18" s="111"/>
      <c r="G18" s="111"/>
      <c r="H18" s="111"/>
      <c r="I18" s="111"/>
      <c r="J18" s="111"/>
      <c r="K18" s="597"/>
      <c r="L18" s="307"/>
      <c r="M18" s="112"/>
      <c r="N18" s="639"/>
      <c r="O18" s="355" t="s">
        <v>396</v>
      </c>
      <c r="P18" s="356">
        <f>('[14]8-year TO forecasts'!K20*$P$13)*$P$12</f>
        <v>6312.723510381401</v>
      </c>
      <c r="Q18" s="356">
        <f>'[15]8-year TO forecast'!$K$20*$P$12</f>
        <v>6310.7609640648143</v>
      </c>
      <c r="R18" s="356">
        <f>'[10]2.4_Totex'!$M$37+'[10]2.4_Totex'!$M$38</f>
        <v>6301.9160492288029</v>
      </c>
      <c r="S18" s="227"/>
      <c r="T18" s="576"/>
      <c r="BM18" s="227"/>
      <c r="CS18" s="227"/>
    </row>
    <row r="19" spans="1:97" ht="15.6">
      <c r="B19" s="171" t="s">
        <v>448</v>
      </c>
      <c r="C19" s="111">
        <f>'[2]2.4_Totex'!E36</f>
        <v>1189.3152747401161</v>
      </c>
      <c r="D19" s="111">
        <f>'[2]2.4_Totex'!F36</f>
        <v>889.21724286216727</v>
      </c>
      <c r="E19" s="111">
        <f>'[2]2.4_Totex'!G36</f>
        <v>586.02231647638951</v>
      </c>
      <c r="F19" s="111">
        <f>'[2]2.4_Totex'!H36</f>
        <v>419.78957084223532</v>
      </c>
      <c r="G19" s="111">
        <f>'[2]2.4_Totex'!I36</f>
        <v>185.8855697449749</v>
      </c>
      <c r="H19" s="111">
        <f>'[2]2.4_Totex'!J36</f>
        <v>326.26299753237748</v>
      </c>
      <c r="I19" s="111">
        <f>'[2]2.4_Totex'!K36</f>
        <v>334.7100678892196</v>
      </c>
      <c r="J19" s="111"/>
      <c r="K19" s="597">
        <f>'[2]2.4_Totex'!L36</f>
        <v>550.61121662718051</v>
      </c>
      <c r="L19" s="307">
        <f>SUM(C19:K19)</f>
        <v>4481.8142567146606</v>
      </c>
      <c r="M19" s="318" t="s">
        <v>522</v>
      </c>
      <c r="N19" s="537">
        <f>L26-L20</f>
        <v>-2506.2442655134869</v>
      </c>
      <c r="O19" s="355" t="s">
        <v>385</v>
      </c>
      <c r="P19" s="356">
        <f>('[14]8-year TO forecasts'!K21*$P$13)*$P$12</f>
        <v>201.44816138313791</v>
      </c>
      <c r="Q19" s="356">
        <f>'[15]8-year TO forecast'!$K$21*$P$12</f>
        <v>201.44816138313794</v>
      </c>
      <c r="R19" s="356">
        <f>'[10]2.4_Totex'!$M$39</f>
        <v>201.44816138313794</v>
      </c>
      <c r="S19" s="227"/>
      <c r="T19" s="576"/>
      <c r="BM19" s="227"/>
      <c r="CS19" s="227"/>
    </row>
    <row r="20" spans="1:97" ht="15.6">
      <c r="B20" s="171" t="s">
        <v>449</v>
      </c>
      <c r="C20" s="111">
        <f>SUM('[2]2.4_Totex'!E37:E38)</f>
        <v>674.70190093007977</v>
      </c>
      <c r="D20" s="111">
        <f>SUM('[2]2.4_Totex'!F37:F38)</f>
        <v>677.49731358615941</v>
      </c>
      <c r="E20" s="111">
        <f>SUM('[2]2.4_Totex'!G37:G38)</f>
        <v>657.97636258369937</v>
      </c>
      <c r="F20" s="111">
        <f>SUM('[2]2.4_Totex'!H37:H38)</f>
        <v>693.57395412605115</v>
      </c>
      <c r="G20" s="111">
        <f>SUM('[2]2.4_Totex'!I37:I38)</f>
        <v>899.03783184160102</v>
      </c>
      <c r="H20" s="111">
        <f>SUM('[2]2.4_Totex'!J37:J38)</f>
        <v>1035.2197911115582</v>
      </c>
      <c r="I20" s="111">
        <f>SUM('[2]2.4_Totex'!K37:K38)</f>
        <v>905.16900291266927</v>
      </c>
      <c r="J20" s="111"/>
      <c r="K20" s="597">
        <f>SUM('[2]2.4_Totex'!L37:L38)</f>
        <v>758.7398921369853</v>
      </c>
      <c r="L20" s="307">
        <f>SUM(C20:K20)</f>
        <v>6301.9160492288038</v>
      </c>
      <c r="M20" s="318" t="s">
        <v>522</v>
      </c>
      <c r="N20" s="200">
        <f>N19/L20</f>
        <v>-0.39769559701135471</v>
      </c>
      <c r="O20" s="355" t="s">
        <v>382</v>
      </c>
      <c r="P20" s="356">
        <f>('[14]8-year TO forecasts'!K22*$P$13)*$P$12</f>
        <v>2231.6311118358035</v>
      </c>
      <c r="Q20" s="356">
        <f>'[15]8-year TO forecast'!$K$22*$P$12</f>
        <v>2231.6311118358035</v>
      </c>
      <c r="R20" s="356">
        <f>'[10]2.4_Totex'!$M$47</f>
        <v>464.58213768213528</v>
      </c>
      <c r="S20" s="227"/>
      <c r="T20" s="576"/>
      <c r="BM20" s="227"/>
      <c r="CS20" s="227"/>
    </row>
    <row r="21" spans="1:97" ht="15.6">
      <c r="B21" s="171" t="s">
        <v>450</v>
      </c>
      <c r="C21" s="111">
        <f>'[10]2.4_Totex'!E39</f>
        <v>38.858740570510584</v>
      </c>
      <c r="D21" s="111">
        <f>'[10]2.4_Totex'!F39</f>
        <v>38.028410585932555</v>
      </c>
      <c r="E21" s="111">
        <f>'[10]2.4_Totex'!G39</f>
        <v>27.489221341170094</v>
      </c>
      <c r="F21" s="111">
        <f>'[10]2.4_Totex'!H39</f>
        <v>25.472951646327541</v>
      </c>
      <c r="G21" s="111">
        <f>'[10]2.4_Totex'!I39</f>
        <v>23.60984259604605</v>
      </c>
      <c r="H21" s="111">
        <f>'[10]2.4_Totex'!J39</f>
        <v>13.81390417440968</v>
      </c>
      <c r="I21" s="111">
        <f>'[10]2.4_Totex'!K39</f>
        <v>17.873384656719672</v>
      </c>
      <c r="J21" s="111"/>
      <c r="K21" s="597">
        <f>'[10]2.4_Totex'!$L$39</f>
        <v>16.301705812021755</v>
      </c>
      <c r="L21" s="307">
        <f>SUM(C21:K21)</f>
        <v>201.44816138313794</v>
      </c>
      <c r="N21" s="639"/>
      <c r="O21" s="170"/>
      <c r="P21" s="354"/>
      <c r="Q21" s="354"/>
      <c r="R21" s="354"/>
      <c r="S21" s="227"/>
      <c r="T21" s="576"/>
      <c r="BM21" s="227"/>
      <c r="CS21" s="227"/>
    </row>
    <row r="22" spans="1:97" ht="15.6">
      <c r="B22" s="173" t="s">
        <v>451</v>
      </c>
      <c r="C22" s="608">
        <f>'[2]2.4_Totex'!E48</f>
        <v>262.29848748407954</v>
      </c>
      <c r="D22" s="608">
        <f>'[2]2.4_Totex'!F48</f>
        <v>268.02458591331134</v>
      </c>
      <c r="E22" s="608">
        <f>'[2]2.4_Totex'!G48</f>
        <v>278.18443432966757</v>
      </c>
      <c r="F22" s="608">
        <f>'[2]2.4_Totex'!H48</f>
        <v>280.88946116509271</v>
      </c>
      <c r="G22" s="608">
        <f>'[2]2.4_Totex'!I48</f>
        <v>283.11054259608983</v>
      </c>
      <c r="H22" s="608">
        <f>'[2]2.4_Totex'!J48</f>
        <v>284.20455776059947</v>
      </c>
      <c r="I22" s="608">
        <f>'[2]2.4_Totex'!K48</f>
        <v>287.03445124045629</v>
      </c>
      <c r="J22" s="608"/>
      <c r="K22" s="165">
        <v>287.88459134650645</v>
      </c>
      <c r="L22" s="305">
        <f>SUM(C22:K22)</f>
        <v>2231.631111835803</v>
      </c>
      <c r="M22" s="112"/>
      <c r="N22" s="605">
        <f>L27-L21</f>
        <v>206.21314489117518</v>
      </c>
      <c r="O22" s="371" t="s">
        <v>383</v>
      </c>
      <c r="P22" s="372">
        <f>('[14]8-year TO forecasts'!K25*$P$13)*$P$12</f>
        <v>3557.2700137830957</v>
      </c>
      <c r="Q22" s="372">
        <f>'[15]8-year TO forecast'!$K$25*$P$12</f>
        <v>3322.597791139367</v>
      </c>
      <c r="R22" s="372">
        <f>'[10]2.4_Totex'!$M$9</f>
        <v>3339.4694726636662</v>
      </c>
      <c r="S22" s="227"/>
      <c r="T22" s="576"/>
      <c r="BM22" s="227"/>
      <c r="CF22" s="867"/>
      <c r="CG22" s="868"/>
      <c r="CH22" s="640"/>
      <c r="CI22" s="640"/>
      <c r="CS22" s="227"/>
    </row>
    <row r="23" spans="1:97" ht="15.6">
      <c r="B23" s="173" t="s">
        <v>452</v>
      </c>
      <c r="C23" s="608">
        <f t="shared" ref="C23:I23" si="9">SUM(C19:C21)</f>
        <v>1902.8759162407066</v>
      </c>
      <c r="D23" s="608">
        <f t="shared" si="9"/>
        <v>1604.7429670342592</v>
      </c>
      <c r="E23" s="608">
        <f t="shared" si="9"/>
        <v>1271.4879004012589</v>
      </c>
      <c r="F23" s="608">
        <f t="shared" si="9"/>
        <v>1138.8364766146142</v>
      </c>
      <c r="G23" s="608">
        <f t="shared" si="9"/>
        <v>1108.533244182622</v>
      </c>
      <c r="H23" s="608">
        <f t="shared" si="9"/>
        <v>1375.2966928183453</v>
      </c>
      <c r="I23" s="608">
        <f t="shared" si="9"/>
        <v>1257.7524554586087</v>
      </c>
      <c r="J23" s="608"/>
      <c r="K23" s="165">
        <f>SUM(K19:K21)</f>
        <v>1325.6528145761877</v>
      </c>
      <c r="L23" s="305">
        <f>SUM(C23:K23)</f>
        <v>10985.178467326603</v>
      </c>
      <c r="M23" s="112"/>
      <c r="N23" s="200">
        <f>N22/L21</f>
        <v>1.0236536460562409</v>
      </c>
      <c r="O23" s="371" t="s">
        <v>384</v>
      </c>
      <c r="P23" s="372">
        <f>('[14]8-year TO forecasts'!K26*$P$13)*$P$12</f>
        <v>4305.5283511009075</v>
      </c>
      <c r="Q23" s="372">
        <f>'[15]8-year TO forecast'!$K$26*$P$12</f>
        <v>4096.4576619568379</v>
      </c>
      <c r="R23" s="372">
        <f>'[10]2.4_Totex'!$M$10+'[10]2.4_Totex'!$M$11</f>
        <v>3795.6717837153174</v>
      </c>
      <c r="S23" s="228"/>
      <c r="T23" s="576"/>
      <c r="BM23" s="227"/>
      <c r="BX23" s="136" t="s">
        <v>516</v>
      </c>
      <c r="CF23" s="867"/>
      <c r="CG23" s="868"/>
      <c r="CH23" s="640"/>
      <c r="CI23" s="640"/>
      <c r="CS23" s="227"/>
    </row>
    <row r="24" spans="1:97" ht="16.2" customHeight="1">
      <c r="B24" s="171"/>
      <c r="C24" s="111"/>
      <c r="D24" s="111"/>
      <c r="E24" s="111"/>
      <c r="F24" s="111"/>
      <c r="G24" s="111"/>
      <c r="H24" s="111"/>
      <c r="I24" s="111"/>
      <c r="J24" s="111"/>
      <c r="K24" s="597"/>
      <c r="L24" s="307"/>
      <c r="M24" s="112"/>
      <c r="N24" s="639"/>
      <c r="O24" s="371" t="s">
        <v>386</v>
      </c>
      <c r="P24" s="372">
        <f>('[14]8-year TO forecasts'!K27*$P$13)*$P$12</f>
        <v>371.21291307502645</v>
      </c>
      <c r="Q24" s="372">
        <f>'[15]8-year TO forecast'!$K$27*$P$12</f>
        <v>392.84505584766509</v>
      </c>
      <c r="R24" s="372">
        <f>'[10]2.4_Totex'!$M$12</f>
        <v>407.66130627431312</v>
      </c>
      <c r="S24" s="228"/>
      <c r="T24" s="576"/>
      <c r="BM24" s="227"/>
      <c r="CF24" s="869"/>
      <c r="CG24" s="634"/>
      <c r="CH24" s="634"/>
      <c r="CI24" s="634"/>
      <c r="CS24" s="227"/>
    </row>
    <row r="25" spans="1:97" ht="15.6">
      <c r="B25" s="598" t="s">
        <v>494</v>
      </c>
      <c r="C25" s="111">
        <f>'[2]2.4_Totex'!E9</f>
        <v>773.45194729274999</v>
      </c>
      <c r="D25" s="111">
        <f>'[2]2.4_Totex'!F9</f>
        <v>595.66909739701578</v>
      </c>
      <c r="E25" s="111">
        <f>'[2]2.4_Totex'!G9</f>
        <v>544.38351148463551</v>
      </c>
      <c r="F25" s="111">
        <f>'[2]2.4_Totex'!H9</f>
        <v>406.63484327768799</v>
      </c>
      <c r="G25" s="111">
        <f>'[2]2.4_Totex'!I9</f>
        <v>274.6772202916776</v>
      </c>
      <c r="H25" s="111">
        <f>'[2]2.4_Totex'!J9</f>
        <v>246.16480304406699</v>
      </c>
      <c r="I25" s="111">
        <f>'[2]2.4_Totex'!K9</f>
        <v>182.36117959572201</v>
      </c>
      <c r="J25" s="111"/>
      <c r="K25" s="597">
        <f>'[10]2.4_Totex'!$L$9</f>
        <v>316.1268702801101</v>
      </c>
      <c r="L25" s="307">
        <f>SUM(C25:K25)</f>
        <v>3339.4694726636662</v>
      </c>
      <c r="M25" s="237" t="s">
        <v>236</v>
      </c>
      <c r="N25" s="605">
        <f>L28-L22</f>
        <v>139.65653072600026</v>
      </c>
      <c r="O25" s="371" t="s">
        <v>387</v>
      </c>
      <c r="P25" s="372">
        <f>('[14]8-year TO forecasts'!K28*$P$13)*$P$12</f>
        <v>2402.8046571221948</v>
      </c>
      <c r="Q25" s="372">
        <f>'[15]8-year TO forecast'!$K$28*$P$12</f>
        <v>2391.9722598593785</v>
      </c>
      <c r="R25" s="372">
        <f>'[10]2.4_Totex'!$M$22</f>
        <v>2371.2876425618042</v>
      </c>
      <c r="S25" s="228"/>
      <c r="T25" s="576"/>
      <c r="BM25" s="227"/>
      <c r="CF25" s="869"/>
      <c r="CG25" s="634"/>
      <c r="CH25" s="634"/>
      <c r="CI25" s="634"/>
      <c r="CS25" s="227"/>
    </row>
    <row r="26" spans="1:97" ht="36.450000000000003" customHeight="1">
      <c r="B26" s="598" t="s">
        <v>493</v>
      </c>
      <c r="C26" s="111">
        <f>SUM('[2]2.4_Totex'!E10:E11)</f>
        <v>546.9650441170312</v>
      </c>
      <c r="D26" s="111">
        <f>SUM('[2]2.4_Totex'!F10:F11)</f>
        <v>296.94577552962045</v>
      </c>
      <c r="E26" s="111">
        <f>SUM('[2]2.4_Totex'!G10:G11)</f>
        <v>424.88318220628514</v>
      </c>
      <c r="F26" s="111">
        <f>SUM('[2]2.4_Totex'!H10:H11)</f>
        <v>490.6355548688349</v>
      </c>
      <c r="G26" s="111">
        <f>SUM('[2]2.4_Totex'!I10:I11)</f>
        <v>529.41985990743922</v>
      </c>
      <c r="H26" s="111">
        <f>SUM('[2]2.4_Totex'!J10:J11)</f>
        <v>481.79221507994282</v>
      </c>
      <c r="I26" s="111">
        <f>SUM('[2]2.4_Totex'!K10:K11)</f>
        <v>524.3825945061634</v>
      </c>
      <c r="J26" s="111"/>
      <c r="K26" s="597">
        <f>'[10]2.4_Totex'!$L$10+'[10]2.4_Totex'!$L$11</f>
        <v>500.64755749999995</v>
      </c>
      <c r="L26" s="307">
        <f>SUM(C26:K26)</f>
        <v>3795.6717837153169</v>
      </c>
      <c r="M26" s="237" t="s">
        <v>236</v>
      </c>
      <c r="N26" s="604">
        <f>-N25/L22</f>
        <v>-6.2580473083257399E-2</v>
      </c>
      <c r="O26" s="603"/>
      <c r="P26" s="312" t="str">
        <f>P15</f>
        <v>RRP19: 8 year forecast</v>
      </c>
      <c r="Q26" s="312" t="str">
        <f>Q15</f>
        <v>RRP20: 8 year forecast</v>
      </c>
      <c r="R26" s="312" t="str">
        <f>R15</f>
        <v>RRP21: 8 year</v>
      </c>
      <c r="S26" s="228"/>
      <c r="T26" s="576"/>
      <c r="BM26" s="227"/>
      <c r="CF26" s="840"/>
      <c r="CG26" s="634"/>
      <c r="CH26" s="634"/>
      <c r="CI26" s="634"/>
      <c r="CS26" s="227"/>
    </row>
    <row r="27" spans="1:97" ht="16.2" thickBot="1">
      <c r="B27" s="598" t="s">
        <v>492</v>
      </c>
      <c r="C27" s="111">
        <f>'[2]2.4_Totex'!E12</f>
        <v>41.452391457981456</v>
      </c>
      <c r="D27" s="111">
        <f>'[2]2.4_Totex'!F12</f>
        <v>33.039334955346106</v>
      </c>
      <c r="E27" s="111">
        <f>'[2]2.4_Totex'!G12</f>
        <v>42.786849197202201</v>
      </c>
      <c r="F27" s="111">
        <f>'[2]2.4_Totex'!H12</f>
        <v>55.939131092205201</v>
      </c>
      <c r="G27" s="111">
        <f>'[2]2.4_Totex'!I12</f>
        <v>41.901573233946579</v>
      </c>
      <c r="H27" s="111">
        <f>'[2]2.4_Totex'!J12</f>
        <v>54.145212421433065</v>
      </c>
      <c r="I27" s="111">
        <f>'[2]2.4_Totex'!K12</f>
        <v>65.164054450959185</v>
      </c>
      <c r="J27" s="111"/>
      <c r="K27" s="597">
        <f>'[10]2.4_Totex'!$L$12</f>
        <v>73.232759465239255</v>
      </c>
      <c r="L27" s="307">
        <f>SUM(C27:K27)</f>
        <v>407.66130627431312</v>
      </c>
      <c r="M27" s="237" t="s">
        <v>236</v>
      </c>
      <c r="N27" s="638"/>
      <c r="O27" s="357" t="s">
        <v>503</v>
      </c>
      <c r="P27" s="358">
        <f>'[16]2.4_Totex'!$M$23*P13*P12</f>
        <v>10636.815935081224</v>
      </c>
      <c r="Q27" s="358">
        <f>'[11]2.4_Totex'!$M$23*P12</f>
        <v>10203.872768803247</v>
      </c>
      <c r="R27" s="358">
        <f>'[10]2.4_Totex'!$M$23</f>
        <v>9914.0902052150996</v>
      </c>
      <c r="S27" s="228"/>
      <c r="T27" s="576"/>
      <c r="BM27" s="227"/>
      <c r="BW27" s="150" t="s">
        <v>162</v>
      </c>
      <c r="CF27" s="840"/>
      <c r="CG27" s="634"/>
      <c r="CH27" s="634"/>
      <c r="CI27" s="637"/>
      <c r="CS27" s="227"/>
    </row>
    <row r="28" spans="1:97" ht="16.2" thickBot="1">
      <c r="A28" s="365"/>
      <c r="B28" s="598" t="s">
        <v>490</v>
      </c>
      <c r="C28" s="111">
        <f>'[2]2.4_Totex'!E22</f>
        <v>280.57562198057406</v>
      </c>
      <c r="D28" s="111">
        <f>'[2]2.4_Totex'!F22</f>
        <v>307.54327620010707</v>
      </c>
      <c r="E28" s="111">
        <f>'[2]2.4_Totex'!G22</f>
        <v>312.9353324399998</v>
      </c>
      <c r="F28" s="111">
        <f>'[2]2.4_Totex'!H22</f>
        <v>287.09107511834173</v>
      </c>
      <c r="G28" s="111">
        <f>'[2]2.4_Totex'!I22</f>
        <v>295.78036058195505</v>
      </c>
      <c r="H28" s="111">
        <f>'[2]2.4_Totex'!J22</f>
        <v>314.53228462034724</v>
      </c>
      <c r="I28" s="111">
        <f>'[2]2.4_Totex'!K22</f>
        <v>304.98605905645161</v>
      </c>
      <c r="J28" s="111"/>
      <c r="K28" s="597">
        <f>'[10]2.4_Totex'!$L$22</f>
        <v>267.8436325640269</v>
      </c>
      <c r="L28" s="307">
        <f>SUM(C28:K28)</f>
        <v>2371.2876425618033</v>
      </c>
      <c r="M28" s="237"/>
      <c r="N28" s="636"/>
      <c r="O28" s="170"/>
      <c r="P28" s="596">
        <f>P27-P16</f>
        <v>-2903.4109224247532</v>
      </c>
      <c r="Q28" s="596">
        <f>Q27-Q16</f>
        <v>-2872.773928380022</v>
      </c>
      <c r="R28" s="596">
        <f>R27-R16</f>
        <v>-3302.7193739473041</v>
      </c>
      <c r="S28" s="228"/>
      <c r="T28" s="576"/>
      <c r="AW28" s="1" t="s">
        <v>50</v>
      </c>
      <c r="BM28" s="227"/>
      <c r="BP28" s="22" t="s">
        <v>581</v>
      </c>
      <c r="CF28" s="840"/>
      <c r="CG28" s="634"/>
      <c r="CH28" s="634"/>
      <c r="CI28" s="634"/>
      <c r="CS28" s="227"/>
    </row>
    <row r="29" spans="1:97" ht="16.2" thickBot="1">
      <c r="B29" s="174" t="s">
        <v>489</v>
      </c>
      <c r="C29" s="175">
        <f t="shared" ref="C29:I29" si="10">SUM(C25:C28)</f>
        <v>1642.4450048483368</v>
      </c>
      <c r="D29" s="175">
        <f t="shared" si="10"/>
        <v>1233.1974840820894</v>
      </c>
      <c r="E29" s="175">
        <f t="shared" si="10"/>
        <v>1324.9888753281225</v>
      </c>
      <c r="F29" s="175">
        <f t="shared" si="10"/>
        <v>1240.3006043570699</v>
      </c>
      <c r="G29" s="175">
        <f t="shared" si="10"/>
        <v>1141.7790140150184</v>
      </c>
      <c r="H29" s="175">
        <f t="shared" si="10"/>
        <v>1096.6345151657902</v>
      </c>
      <c r="I29" s="175">
        <f t="shared" si="10"/>
        <v>1076.8938876092961</v>
      </c>
      <c r="J29" s="175"/>
      <c r="K29" s="325">
        <f>SUM(K25:K28)</f>
        <v>1157.8508198093762</v>
      </c>
      <c r="L29" s="176">
        <f>SUM(C29:K29)</f>
        <v>9914.0902052150996</v>
      </c>
      <c r="M29" s="361">
        <f>(L29-L17)/L17</f>
        <v>-0.24988779282667176</v>
      </c>
      <c r="N29" s="635"/>
      <c r="O29" s="360" t="s">
        <v>393</v>
      </c>
      <c r="P29" s="367">
        <f>(P27-P16)/P16</f>
        <v>-0.21442852863393921</v>
      </c>
      <c r="Q29" s="367">
        <f>(Q27-Q16)/Q16</f>
        <v>-0.21968735524519617</v>
      </c>
      <c r="R29" s="367">
        <f>(R27-R16)/R16</f>
        <v>-0.24988779282667165</v>
      </c>
      <c r="S29" s="228"/>
      <c r="T29" s="576"/>
      <c r="BC29" s="150" t="s">
        <v>162</v>
      </c>
      <c r="BM29" s="227"/>
      <c r="BZ29" s="147">
        <f>SUM(BQ32:BX33)</f>
        <v>15547.545439492425</v>
      </c>
      <c r="CF29" s="840"/>
      <c r="CG29" s="634"/>
      <c r="CH29" s="634"/>
      <c r="CI29" s="634"/>
      <c r="CS29" s="227"/>
    </row>
    <row r="30" spans="1:97" ht="13.2" thickBot="1">
      <c r="C30" s="111"/>
      <c r="D30" s="111"/>
      <c r="E30" s="111"/>
      <c r="F30" s="111"/>
      <c r="G30" s="111"/>
      <c r="H30" s="111"/>
      <c r="I30" s="111"/>
      <c r="J30" s="111"/>
      <c r="K30" s="111"/>
      <c r="L30" s="111"/>
      <c r="M30" s="616"/>
      <c r="N30" s="111"/>
      <c r="O30" s="167"/>
      <c r="P30" s="633"/>
      <c r="Q30" s="633"/>
      <c r="R30" s="633"/>
      <c r="S30" s="228"/>
      <c r="T30" s="576"/>
      <c r="AW30" s="364" t="str">
        <f>U37</f>
        <v>£m, 2020-21 prices </v>
      </c>
      <c r="AX30" s="109" t="s">
        <v>120</v>
      </c>
      <c r="AY30" s="109" t="s">
        <v>120</v>
      </c>
      <c r="AZ30" s="109" t="s">
        <v>120</v>
      </c>
      <c r="BA30" s="109" t="s">
        <v>120</v>
      </c>
      <c r="BB30" s="109" t="s">
        <v>120</v>
      </c>
      <c r="BC30" s="109" t="s">
        <v>120</v>
      </c>
      <c r="BD30" s="109" t="s">
        <v>120</v>
      </c>
      <c r="BE30" s="109" t="s">
        <v>120</v>
      </c>
      <c r="BM30" s="227"/>
      <c r="BQ30" s="109" t="s">
        <v>120</v>
      </c>
      <c r="BR30" s="109" t="s">
        <v>120</v>
      </c>
      <c r="BS30" s="109" t="s">
        <v>120</v>
      </c>
      <c r="BT30" s="109" t="s">
        <v>120</v>
      </c>
      <c r="BU30" s="109" t="s">
        <v>120</v>
      </c>
      <c r="BV30" s="109" t="s">
        <v>120</v>
      </c>
      <c r="BW30" s="109" t="s">
        <v>120</v>
      </c>
      <c r="BX30" s="109" t="s">
        <v>120</v>
      </c>
      <c r="BZ30" s="147">
        <f>SUM(BQ34:BX34)</f>
        <v>19319.846671947929</v>
      </c>
      <c r="CS30" s="227"/>
    </row>
    <row r="31" spans="1:97" ht="16.2">
      <c r="B31" s="177" t="s">
        <v>1</v>
      </c>
      <c r="C31" s="618" t="s">
        <v>120</v>
      </c>
      <c r="D31" s="618" t="s">
        <v>120</v>
      </c>
      <c r="E31" s="618" t="s">
        <v>120</v>
      </c>
      <c r="F31" s="618" t="s">
        <v>120</v>
      </c>
      <c r="G31" s="618" t="s">
        <v>120</v>
      </c>
      <c r="H31" s="618" t="s">
        <v>120</v>
      </c>
      <c r="I31" s="618" t="str">
        <f>I14</f>
        <v>ACTUAL</v>
      </c>
      <c r="J31" s="618"/>
      <c r="K31" s="617" t="str">
        <f>K14</f>
        <v>ACTUAL</v>
      </c>
      <c r="L31" s="306"/>
      <c r="M31" s="616"/>
      <c r="N31" s="111"/>
      <c r="O31" s="170"/>
      <c r="P31" s="314"/>
      <c r="Q31" s="314"/>
      <c r="R31" s="314"/>
      <c r="S31" s="228"/>
      <c r="T31" s="576"/>
      <c r="AX31" s="607">
        <v>2014</v>
      </c>
      <c r="AY31" s="607">
        <v>2015</v>
      </c>
      <c r="AZ31" s="607">
        <v>2016</v>
      </c>
      <c r="BA31" s="607">
        <v>2017</v>
      </c>
      <c r="BB31" s="427">
        <v>2018</v>
      </c>
      <c r="BC31" s="427">
        <v>2019</v>
      </c>
      <c r="BD31" s="607">
        <v>2020</v>
      </c>
      <c r="BE31" s="606">
        <v>2021</v>
      </c>
      <c r="BM31" s="227"/>
      <c r="BQ31" s="607">
        <v>2014</v>
      </c>
      <c r="BR31" s="607">
        <v>2015</v>
      </c>
      <c r="BS31" s="607">
        <v>2016</v>
      </c>
      <c r="BT31" s="607">
        <v>2017</v>
      </c>
      <c r="BU31" s="427">
        <v>2018</v>
      </c>
      <c r="BV31" s="427">
        <v>2019</v>
      </c>
      <c r="BW31" s="607">
        <v>2020</v>
      </c>
      <c r="BX31" s="606">
        <v>2021</v>
      </c>
      <c r="BZ31" s="147"/>
      <c r="CS31" s="227"/>
    </row>
    <row r="32" spans="1:97" ht="15.6">
      <c r="A32" s="364" t="s">
        <v>417</v>
      </c>
      <c r="B32" s="170"/>
      <c r="C32" s="615">
        <v>2014</v>
      </c>
      <c r="D32" s="615">
        <v>2015</v>
      </c>
      <c r="E32" s="615">
        <v>2016</v>
      </c>
      <c r="F32" s="615">
        <v>2017</v>
      </c>
      <c r="G32" s="615">
        <v>2018</v>
      </c>
      <c r="H32" s="615">
        <v>2019</v>
      </c>
      <c r="I32" s="615">
        <v>2020</v>
      </c>
      <c r="J32" s="615"/>
      <c r="K32" s="143">
        <v>2021</v>
      </c>
      <c r="L32" s="307" t="s">
        <v>51</v>
      </c>
      <c r="M32" s="601"/>
      <c r="N32" s="112"/>
      <c r="O32" s="311" t="s">
        <v>1</v>
      </c>
      <c r="P32" s="312" t="str">
        <f>P15</f>
        <v>RRP19: 8 year forecast</v>
      </c>
      <c r="Q32" s="312" t="str">
        <f>Q15</f>
        <v>RRP20: 8 year forecast</v>
      </c>
      <c r="R32" s="312" t="str">
        <f>R15</f>
        <v>RRP21: 8 year</v>
      </c>
      <c r="S32" s="228"/>
      <c r="T32" s="576"/>
      <c r="AW32" s="602" t="s">
        <v>5</v>
      </c>
      <c r="AX32" s="572">
        <f t="shared" ref="AX32:BE32" si="11">AX6</f>
        <v>203.91025157295437</v>
      </c>
      <c r="AY32" s="572">
        <f t="shared" si="11"/>
        <v>387.95743507014015</v>
      </c>
      <c r="AZ32" s="572">
        <f t="shared" si="11"/>
        <v>594.00476054239562</v>
      </c>
      <c r="BA32" s="572">
        <f t="shared" si="11"/>
        <v>512.42643122999539</v>
      </c>
      <c r="BB32" s="428">
        <f t="shared" si="11"/>
        <v>461.13240923444323</v>
      </c>
      <c r="BC32" s="428">
        <f t="shared" si="11"/>
        <v>358.60218002968503</v>
      </c>
      <c r="BD32" s="572">
        <f t="shared" si="11"/>
        <v>373.24369135398922</v>
      </c>
      <c r="BE32" s="632">
        <f t="shared" si="11"/>
        <v>469.84581800000007</v>
      </c>
      <c r="BM32" s="227"/>
      <c r="BP32" s="602" t="s">
        <v>5</v>
      </c>
      <c r="BQ32" s="572">
        <f t="shared" ref="BQ32:BW32" si="12">V6+AI6+AX32</f>
        <v>2126.12863142182</v>
      </c>
      <c r="BR32" s="572">
        <f t="shared" si="12"/>
        <v>1941.6276456373444</v>
      </c>
      <c r="BS32" s="572">
        <f t="shared" si="12"/>
        <v>2321.866619633025</v>
      </c>
      <c r="BT32" s="572">
        <f t="shared" si="12"/>
        <v>2136.4295766573296</v>
      </c>
      <c r="BU32" s="428">
        <f t="shared" si="12"/>
        <v>1858.4381785852886</v>
      </c>
      <c r="BV32" s="428">
        <f t="shared" si="12"/>
        <v>1650.117980297983</v>
      </c>
      <c r="BW32" s="572">
        <f t="shared" si="12"/>
        <v>1657.1365265064019</v>
      </c>
      <c r="BX32" s="599">
        <f>BE32+AC39+AP39</f>
        <v>1855.8002807532332</v>
      </c>
      <c r="BZ32" s="185"/>
      <c r="CS32" s="227"/>
    </row>
    <row r="33" spans="1:97" ht="15.6">
      <c r="A33" s="614" t="s">
        <v>496</v>
      </c>
      <c r="B33" s="171" t="s">
        <v>135</v>
      </c>
      <c r="C33" s="111">
        <f>C34*'[12]Universal data'!$C$55</f>
        <v>289.72747889606109</v>
      </c>
      <c r="D33" s="111">
        <f>D34*'[12]Universal data'!$C$55</f>
        <v>333.27876148544175</v>
      </c>
      <c r="E33" s="111">
        <f>E34*'[12]Universal data'!$C$55</f>
        <v>263.8624422311986</v>
      </c>
      <c r="F33" s="111">
        <f>F34*'[12]Universal data'!$C$55</f>
        <v>191.33231094162721</v>
      </c>
      <c r="G33" s="111">
        <f>G34*'[12]Universal data'!$C$55</f>
        <v>212.48980308059609</v>
      </c>
      <c r="H33" s="111">
        <f>H34*'[12]Universal data'!$C$55</f>
        <v>218.0330403230063</v>
      </c>
      <c r="I33" s="111">
        <f>I34*'[12]Universal data'!$C$55</f>
        <v>182.01728824084282</v>
      </c>
      <c r="J33" s="111"/>
      <c r="K33" s="597">
        <f>K34*'[12]Universal data'!$C$55</f>
        <v>94.93351566934767</v>
      </c>
      <c r="L33" s="307">
        <f>SUM(C33:K33)</f>
        <v>1785.6746408681215</v>
      </c>
      <c r="M33" s="601"/>
      <c r="N33" s="631">
        <f>L42-L36</f>
        <v>-149.64271568834533</v>
      </c>
      <c r="O33" s="370" t="str">
        <f>O16</f>
        <v xml:space="preserve">TOTEX allowance (£m) </v>
      </c>
      <c r="P33" s="358">
        <f>('[17]2.4_Totex'!$M$49*P13)*P12</f>
        <v>2452.8151479278472</v>
      </c>
      <c r="Q33" s="358">
        <f>'[18]2.4_Totex'!$M$49*P12</f>
        <v>2496.5230212963679</v>
      </c>
      <c r="R33" s="358">
        <f>'[3]2.4_Totex'!$M$49</f>
        <v>2434.5116835927543</v>
      </c>
      <c r="S33" s="228"/>
      <c r="T33" s="576"/>
      <c r="AW33" s="602" t="s">
        <v>76</v>
      </c>
      <c r="AX33" s="600"/>
      <c r="AY33" s="600"/>
      <c r="AZ33" s="600"/>
      <c r="BA33" s="627"/>
      <c r="BB33" s="630"/>
      <c r="BC33" s="630"/>
      <c r="BD33" s="627"/>
      <c r="BE33" s="626"/>
      <c r="BG33" s="147">
        <f>SUM(AX32:BE33)</f>
        <v>3361.1229770336031</v>
      </c>
      <c r="BH33" s="147"/>
      <c r="BM33" s="227"/>
      <c r="BP33" s="602" t="s">
        <v>76</v>
      </c>
      <c r="BQ33" s="572">
        <f t="shared" ref="BQ33:BV33" si="13">AX33+V40+AI40</f>
        <v>0</v>
      </c>
      <c r="BR33" s="572">
        <f t="shared" si="13"/>
        <v>0</v>
      </c>
      <c r="BS33" s="572">
        <f t="shared" si="13"/>
        <v>0</v>
      </c>
      <c r="BT33" s="572">
        <f t="shared" si="13"/>
        <v>0</v>
      </c>
      <c r="BU33" s="428">
        <f t="shared" si="13"/>
        <v>0</v>
      </c>
      <c r="BV33" s="428">
        <f t="shared" si="13"/>
        <v>0</v>
      </c>
      <c r="BW33" s="572">
        <f>AB7+AO7+BD33</f>
        <v>0</v>
      </c>
      <c r="BX33" s="599">
        <f>AC7+AP7+BE33</f>
        <v>0</v>
      </c>
      <c r="CS33" s="227"/>
    </row>
    <row r="34" spans="1:97" ht="15.6">
      <c r="A34" s="135" t="s">
        <v>502</v>
      </c>
      <c r="B34" s="172" t="s">
        <v>447</v>
      </c>
      <c r="C34" s="613">
        <f>SUM(C39:C40)</f>
        <v>395.00193164384314</v>
      </c>
      <c r="D34" s="613">
        <f t="shared" ref="D34:I34" si="14">SUM(D39:D40)</f>
        <v>454.37786938340327</v>
      </c>
      <c r="E34" s="613">
        <f t="shared" si="14"/>
        <v>359.73865774387338</v>
      </c>
      <c r="F34" s="613">
        <f t="shared" si="14"/>
        <v>260.85420925826674</v>
      </c>
      <c r="G34" s="613">
        <f t="shared" si="14"/>
        <v>289.69942026647169</v>
      </c>
      <c r="H34" s="613">
        <f t="shared" si="14"/>
        <v>297.25683051507855</v>
      </c>
      <c r="I34" s="613">
        <f t="shared" si="14"/>
        <v>248.15450961591392</v>
      </c>
      <c r="J34" s="613"/>
      <c r="K34" s="166">
        <f>SUM(K39:K40)</f>
        <v>129.42825516590372</v>
      </c>
      <c r="L34" s="304">
        <f>SUM(C34:K34)</f>
        <v>2434.5116835927547</v>
      </c>
      <c r="M34" s="601"/>
      <c r="N34" s="620">
        <f>N33/L36</f>
        <v>-0.11193743015545209</v>
      </c>
      <c r="O34" s="374" t="s">
        <v>389</v>
      </c>
      <c r="P34" s="356">
        <f>('[14]8-year TO forecasts'!K36*$P$13)*P12</f>
        <v>1334.2892680765863</v>
      </c>
      <c r="Q34" s="356">
        <f>'[15]8-year TO forecast'!$K$36*$P$12</f>
        <v>1398.7528192526815</v>
      </c>
      <c r="R34" s="356">
        <f>'[3]2.4_Totex'!$M$36</f>
        <v>1336.8425153278074</v>
      </c>
      <c r="S34" s="228"/>
      <c r="T34" s="576"/>
      <c r="AW34" s="600" t="s">
        <v>491</v>
      </c>
      <c r="AX34" s="623">
        <f t="shared" ref="AX34:BC34" si="15">AX8</f>
        <v>274.0561571000726</v>
      </c>
      <c r="AY34" s="623">
        <f t="shared" si="15"/>
        <v>480.50328618495047</v>
      </c>
      <c r="AZ34" s="623">
        <f t="shared" si="15"/>
        <v>910.18120429569535</v>
      </c>
      <c r="BA34" s="623">
        <f t="shared" si="15"/>
        <v>742.74071261450501</v>
      </c>
      <c r="BB34" s="623">
        <f t="shared" si="15"/>
        <v>437.72505369870703</v>
      </c>
      <c r="BC34" s="624">
        <f t="shared" si="15"/>
        <v>237.99745946486667</v>
      </c>
      <c r="BD34" s="623">
        <f>BD8+BD52</f>
        <v>242.52887879404943</v>
      </c>
      <c r="BE34" s="622">
        <f>BE8+BE52</f>
        <v>342.79265703991985</v>
      </c>
      <c r="BG34" s="147">
        <f>SUM(AX34:BE34)</f>
        <v>3668.5254091927663</v>
      </c>
      <c r="BH34" s="147"/>
      <c r="BI34" s="147"/>
      <c r="BM34" s="227"/>
      <c r="BP34" s="600" t="s">
        <v>491</v>
      </c>
      <c r="BQ34" s="572">
        <f t="shared" ref="BQ34:BV34" si="16">V8+AI8+AX34</f>
        <v>2834.2324924687018</v>
      </c>
      <c r="BR34" s="572">
        <f t="shared" si="16"/>
        <v>2807.6487085159242</v>
      </c>
      <c r="BS34" s="572">
        <f t="shared" si="16"/>
        <v>2819.5921967704953</v>
      </c>
      <c r="BT34" s="572">
        <f t="shared" si="16"/>
        <v>2423.3208596524787</v>
      </c>
      <c r="BU34" s="428">
        <f t="shared" si="16"/>
        <v>2119.0682607438903</v>
      </c>
      <c r="BV34" s="428">
        <f t="shared" si="16"/>
        <v>2194.7555405588901</v>
      </c>
      <c r="BW34" s="572">
        <f>AB8+AO8+BD34</f>
        <v>2035.4702951090283</v>
      </c>
      <c r="BX34" s="599">
        <f>AC8+AP8+BE34</f>
        <v>2085.7583181285177</v>
      </c>
      <c r="CS34" s="227"/>
    </row>
    <row r="35" spans="1:97" ht="15.6">
      <c r="B35" s="171"/>
      <c r="C35" s="111"/>
      <c r="D35" s="111"/>
      <c r="E35" s="111"/>
      <c r="F35" s="111"/>
      <c r="G35" s="111"/>
      <c r="H35" s="111"/>
      <c r="I35" s="111"/>
      <c r="J35" s="111"/>
      <c r="K35" s="597"/>
      <c r="L35" s="307"/>
      <c r="M35" s="601"/>
      <c r="N35" s="240"/>
      <c r="O35" s="355" t="s">
        <v>388</v>
      </c>
      <c r="P35" s="356">
        <f>('[14]8-year TO forecasts'!K37*$P$13)*P12</f>
        <v>894.0696086849016</v>
      </c>
      <c r="Q35" s="356">
        <f>'[15]8-year TO forecast'!$K$37*$P$12</f>
        <v>877.55115955000133</v>
      </c>
      <c r="R35" s="356">
        <f>'[3]2.4_Totex'!$M$37+'[3]2.4_Totex'!$M$38</f>
        <v>877.55115955000133</v>
      </c>
      <c r="S35" s="228"/>
      <c r="T35" s="576"/>
      <c r="U35" s="1" t="s">
        <v>167</v>
      </c>
      <c r="AH35" s="1" t="s">
        <v>1</v>
      </c>
      <c r="BG35" s="147"/>
      <c r="BM35" s="227"/>
      <c r="CS35" s="227"/>
    </row>
    <row r="36" spans="1:97" ht="27" customHeight="1">
      <c r="B36" s="171" t="s">
        <v>448</v>
      </c>
      <c r="C36" s="111">
        <f>'[3]2.4_Totex'!E36</f>
        <v>278.9725945795596</v>
      </c>
      <c r="D36" s="111">
        <f>'[3]2.4_Totex'!F36</f>
        <v>335.34936725117825</v>
      </c>
      <c r="E36" s="111">
        <f>'[3]2.4_Totex'!G36</f>
        <v>237.99102695620937</v>
      </c>
      <c r="F36" s="111">
        <f>'[3]2.4_Totex'!H36</f>
        <v>121.36795491098215</v>
      </c>
      <c r="G36" s="111">
        <f>'[3]2.4_Totex'!I36</f>
        <v>137.97086470381316</v>
      </c>
      <c r="H36" s="111">
        <f>'[3]2.4_Totex'!J36</f>
        <v>146.91023716365572</v>
      </c>
      <c r="I36" s="111">
        <f>'[3]2.4_Totex'!K36</f>
        <v>85.65990350340951</v>
      </c>
      <c r="J36" s="111"/>
      <c r="K36" s="597">
        <f>'[3]2.4_Totex'!$L$36</f>
        <v>-7.3794337410002768</v>
      </c>
      <c r="L36" s="307">
        <f>SUM(C36:K36)</f>
        <v>1336.8425153278074</v>
      </c>
      <c r="M36" s="601"/>
      <c r="N36" s="621">
        <f>L43-L37</f>
        <v>-101.31866151368615</v>
      </c>
      <c r="O36" s="355" t="s">
        <v>385</v>
      </c>
      <c r="P36" s="356">
        <f>('[14]8-year TO forecasts'!K38*$P$13)*P12</f>
        <v>9.8161690381323883</v>
      </c>
      <c r="Q36" s="356">
        <f>'[15]8-year TO forecast'!$K$38*$P$12</f>
        <v>9.8161690381323883</v>
      </c>
      <c r="R36" s="356">
        <f>'[3]2.4_Totex'!$M$39</f>
        <v>9.8161690381323883</v>
      </c>
      <c r="S36" s="228"/>
      <c r="T36" s="576"/>
      <c r="Y36" s="150" t="s">
        <v>162</v>
      </c>
      <c r="AN36" s="150" t="s">
        <v>162</v>
      </c>
      <c r="AW36" s="287" t="s">
        <v>501</v>
      </c>
      <c r="BM36" s="227"/>
      <c r="BX36" s="1" t="s">
        <v>152</v>
      </c>
      <c r="CS36" s="227"/>
    </row>
    <row r="37" spans="1:97" ht="15.6">
      <c r="B37" s="171" t="s">
        <v>449</v>
      </c>
      <c r="C37" s="111">
        <f>'[3]2.4_Totex'!E37+'[3]2.4_Totex'!E38</f>
        <v>91.079907425697002</v>
      </c>
      <c r="D37" s="111">
        <f>'[3]2.4_Totex'!F37+'[3]2.4_Totex'!F38</f>
        <v>93.942736812553349</v>
      </c>
      <c r="E37" s="111">
        <f>'[3]2.4_Totex'!G37+'[3]2.4_Totex'!G38</f>
        <v>96.116522743651672</v>
      </c>
      <c r="F37" s="111">
        <f>'[3]2.4_Totex'!H37+'[3]2.4_Totex'!H38</f>
        <v>111.53743972482431</v>
      </c>
      <c r="G37" s="111">
        <f>'[3]2.4_Totex'!I37+'[3]2.4_Totex'!I38</f>
        <v>123.50706957802785</v>
      </c>
      <c r="H37" s="111">
        <f>'[3]2.4_Totex'!J37+'[3]2.4_Totex'!J38</f>
        <v>122.53411441004771</v>
      </c>
      <c r="I37" s="111">
        <f>'[3]2.4_Totex'!K37+'[3]2.4_Totex'!K38</f>
        <v>132.05099213439678</v>
      </c>
      <c r="J37" s="111"/>
      <c r="K37" s="597">
        <f>'[3]2.4_Totex'!$L$37+'[3]2.4_Totex'!$L$38</f>
        <v>106.7823767208026</v>
      </c>
      <c r="L37" s="307">
        <f>SUM(C37:K37)</f>
        <v>877.55115955000122</v>
      </c>
      <c r="M37" s="601"/>
      <c r="N37" s="620">
        <f>N36/L37</f>
        <v>-0.11545613086038342</v>
      </c>
      <c r="O37" s="355" t="s">
        <v>382</v>
      </c>
      <c r="P37" s="356">
        <f>('[14]8-year TO forecasts'!K39*$P$13)*P12</f>
        <v>214.64010212822717</v>
      </c>
      <c r="Q37" s="356">
        <f>'[15]8-year TO forecast'!$K$39*$P$12</f>
        <v>210.40287345555294</v>
      </c>
      <c r="R37" s="356">
        <f>'[3]2.4_Totex'!$M$48</f>
        <v>210.30183967681313</v>
      </c>
      <c r="S37" s="228"/>
      <c r="T37" s="576"/>
      <c r="U37" s="364" t="str">
        <f>U4</f>
        <v>£m, 2020-21 prices </v>
      </c>
      <c r="V37" s="109" t="s">
        <v>120</v>
      </c>
      <c r="W37" s="109" t="s">
        <v>120</v>
      </c>
      <c r="X37" s="109" t="s">
        <v>120</v>
      </c>
      <c r="Y37" s="109" t="s">
        <v>120</v>
      </c>
      <c r="Z37" s="109" t="s">
        <v>120</v>
      </c>
      <c r="AA37" s="109" t="s">
        <v>120</v>
      </c>
      <c r="AB37" s="109" t="s">
        <v>120</v>
      </c>
      <c r="AC37" s="109" t="s">
        <v>120</v>
      </c>
      <c r="AD37" s="109"/>
      <c r="AE37" s="109"/>
      <c r="AH37" s="364" t="str">
        <f>U37</f>
        <v>£m, 2020-21 prices </v>
      </c>
      <c r="AI37" s="109" t="s">
        <v>120</v>
      </c>
      <c r="AJ37" s="109" t="s">
        <v>120</v>
      </c>
      <c r="AK37" s="109" t="s">
        <v>120</v>
      </c>
      <c r="AL37" s="109" t="s">
        <v>120</v>
      </c>
      <c r="AM37" s="109" t="s">
        <v>120</v>
      </c>
      <c r="AN37" s="109" t="s">
        <v>120</v>
      </c>
      <c r="AO37" s="109" t="s">
        <v>120</v>
      </c>
      <c r="AP37" s="109" t="s">
        <v>120</v>
      </c>
      <c r="BM37" s="227"/>
      <c r="BX37" s="364" t="s">
        <v>165</v>
      </c>
      <c r="CS37" s="227"/>
    </row>
    <row r="38" spans="1:97" ht="15.6">
      <c r="B38" s="171" t="s">
        <v>450</v>
      </c>
      <c r="C38" s="111">
        <f>'[3]2.4_Totex'!E39</f>
        <v>1.2270211297665488</v>
      </c>
      <c r="D38" s="111">
        <f>'[3]2.4_Totex'!F39</f>
        <v>1.2270211297665488</v>
      </c>
      <c r="E38" s="111">
        <f>'[3]2.4_Totex'!G39</f>
        <v>1.2270211297665488</v>
      </c>
      <c r="F38" s="111">
        <f>'[3]2.4_Totex'!H39</f>
        <v>1.2270211297665488</v>
      </c>
      <c r="G38" s="111">
        <f>'[3]2.4_Totex'!I39</f>
        <v>1.2270211297665488</v>
      </c>
      <c r="H38" s="111">
        <f>'[3]2.4_Totex'!J39</f>
        <v>1.2270211297665488</v>
      </c>
      <c r="I38" s="111">
        <f>'[3]2.4_Totex'!K39</f>
        <v>1.2270211297665488</v>
      </c>
      <c r="J38" s="111"/>
      <c r="K38" s="597">
        <f>'[3]2.4_Totex'!$L$39</f>
        <v>1.2270211297665488</v>
      </c>
      <c r="L38" s="307">
        <f>SUM(C38:K38)</f>
        <v>9.8161690381323883</v>
      </c>
      <c r="M38" s="601"/>
      <c r="N38" s="240"/>
      <c r="O38" s="603"/>
      <c r="P38" s="354"/>
      <c r="Q38" s="354"/>
      <c r="R38" s="354"/>
      <c r="S38" s="228"/>
      <c r="T38" s="576"/>
      <c r="V38" s="607">
        <v>2014</v>
      </c>
      <c r="W38" s="607">
        <v>2015</v>
      </c>
      <c r="X38" s="607">
        <v>2016</v>
      </c>
      <c r="Y38" s="607">
        <v>2017</v>
      </c>
      <c r="Z38" s="427">
        <v>2018</v>
      </c>
      <c r="AA38" s="427">
        <v>2019</v>
      </c>
      <c r="AB38" s="607">
        <v>2020</v>
      </c>
      <c r="AC38" s="606">
        <v>2021</v>
      </c>
      <c r="AI38" s="607">
        <v>2014</v>
      </c>
      <c r="AJ38" s="607">
        <v>2015</v>
      </c>
      <c r="AK38" s="607">
        <v>2016</v>
      </c>
      <c r="AL38" s="607">
        <v>2017</v>
      </c>
      <c r="AM38" s="427">
        <v>2018</v>
      </c>
      <c r="AN38" s="427">
        <v>2019</v>
      </c>
      <c r="AO38" s="607">
        <v>2020</v>
      </c>
      <c r="AP38" s="606">
        <v>2021</v>
      </c>
      <c r="BM38" s="227"/>
      <c r="BX38" s="364" t="s">
        <v>314</v>
      </c>
      <c r="CS38" s="227"/>
    </row>
    <row r="39" spans="1:97" ht="15.6">
      <c r="B39" s="173" t="s">
        <v>451</v>
      </c>
      <c r="C39" s="608">
        <v>23.722408508819939</v>
      </c>
      <c r="D39" s="608">
        <v>23.858744189905114</v>
      </c>
      <c r="E39" s="608">
        <v>24.404086914245806</v>
      </c>
      <c r="F39" s="608">
        <v>26.721793492693731</v>
      </c>
      <c r="G39" s="608">
        <v>26.994464854864077</v>
      </c>
      <c r="H39" s="608">
        <v>26.58545781160856</v>
      </c>
      <c r="I39" s="608">
        <v>29.216592848341094</v>
      </c>
      <c r="J39" s="608"/>
      <c r="K39" s="165">
        <v>28.798291056334829</v>
      </c>
      <c r="L39" s="305">
        <f>SUM(C39:K39)</f>
        <v>210.30183967681313</v>
      </c>
      <c r="M39" s="601"/>
      <c r="N39" s="621">
        <f>L44-L38</f>
        <v>6.7957172254566185</v>
      </c>
      <c r="O39" s="371" t="s">
        <v>383</v>
      </c>
      <c r="P39" s="372">
        <f>('[14]8-year TO forecasts'!K42*$P$13)*P12</f>
        <v>1273.6533427599109</v>
      </c>
      <c r="Q39" s="372">
        <f>'[15]8-year TO forecast'!$K$42*$P$12</f>
        <v>1238.1824846994816</v>
      </c>
      <c r="R39" s="372">
        <f>'[3]2.4_Totex'!$M$9</f>
        <v>1187.1997996394621</v>
      </c>
      <c r="S39" s="228"/>
      <c r="T39" s="576"/>
      <c r="U39" s="363" t="s">
        <v>5</v>
      </c>
      <c r="V39" s="572">
        <f t="shared" ref="V39:AC39" si="17">V6</f>
        <v>1642.4450048483368</v>
      </c>
      <c r="W39" s="572">
        <f t="shared" si="17"/>
        <v>1233.1974840820894</v>
      </c>
      <c r="X39" s="572">
        <f t="shared" si="17"/>
        <v>1324.9888753281225</v>
      </c>
      <c r="Y39" s="572">
        <f t="shared" si="17"/>
        <v>1240.3006043570699</v>
      </c>
      <c r="Z39" s="428">
        <f t="shared" si="17"/>
        <v>1141.7790140150184</v>
      </c>
      <c r="AA39" s="428">
        <f t="shared" si="17"/>
        <v>1096.6345151657902</v>
      </c>
      <c r="AB39" s="572">
        <f t="shared" si="17"/>
        <v>1076.8938876092961</v>
      </c>
      <c r="AC39" s="365">
        <f t="shared" si="17"/>
        <v>1157.8508198093762</v>
      </c>
      <c r="AH39" s="602" t="s">
        <v>5</v>
      </c>
      <c r="AI39" s="572">
        <f t="shared" ref="AI39:AP39" si="18">AI6</f>
        <v>279.77337500052897</v>
      </c>
      <c r="AJ39" s="572">
        <f t="shared" si="18"/>
        <v>320.47272648511466</v>
      </c>
      <c r="AK39" s="572">
        <f t="shared" si="18"/>
        <v>402.87298376250715</v>
      </c>
      <c r="AL39" s="572">
        <f t="shared" si="18"/>
        <v>383.70254107026437</v>
      </c>
      <c r="AM39" s="572">
        <f t="shared" si="18"/>
        <v>255.52675533582692</v>
      </c>
      <c r="AN39" s="428">
        <f t="shared" si="18"/>
        <v>194.88128510250772</v>
      </c>
      <c r="AO39" s="572">
        <f t="shared" si="18"/>
        <v>206.99894754311654</v>
      </c>
      <c r="AP39" s="365">
        <f t="shared" si="18"/>
        <v>228.10364294385707</v>
      </c>
      <c r="BM39" s="227"/>
      <c r="BX39" s="364" t="s">
        <v>234</v>
      </c>
      <c r="CS39" s="227"/>
    </row>
    <row r="40" spans="1:97" ht="15.6">
      <c r="B40" s="173" t="s">
        <v>452</v>
      </c>
      <c r="C40" s="608">
        <f t="shared" ref="C40:I40" si="19">SUM(C36:C38)</f>
        <v>371.27952313502317</v>
      </c>
      <c r="D40" s="608">
        <f t="shared" si="19"/>
        <v>430.51912519349816</v>
      </c>
      <c r="E40" s="608">
        <f t="shared" si="19"/>
        <v>335.33457082962758</v>
      </c>
      <c r="F40" s="608">
        <f t="shared" si="19"/>
        <v>234.132415765573</v>
      </c>
      <c r="G40" s="608">
        <f t="shared" si="19"/>
        <v>262.70495541160761</v>
      </c>
      <c r="H40" s="608">
        <f t="shared" si="19"/>
        <v>270.67137270347001</v>
      </c>
      <c r="I40" s="608">
        <f t="shared" si="19"/>
        <v>218.93791676757283</v>
      </c>
      <c r="J40" s="608"/>
      <c r="K40" s="165">
        <f>SUM(K36:K38)</f>
        <v>100.62996410956889</v>
      </c>
      <c r="L40" s="305">
        <f>SUM(C40:K40)</f>
        <v>2224.2098439159413</v>
      </c>
      <c r="M40" s="601"/>
      <c r="N40" s="200">
        <f>N39/L38</f>
        <v>0.69229830894900346</v>
      </c>
      <c r="O40" s="371" t="s">
        <v>384</v>
      </c>
      <c r="P40" s="372">
        <f>('[14]8-year TO forecasts'!K43*$P$13)*P12</f>
        <v>789.81923164065267</v>
      </c>
      <c r="Q40" s="372">
        <f>'[15]8-year TO forecast'!$K$43*$P$12</f>
        <v>798.14529637583075</v>
      </c>
      <c r="R40" s="372">
        <f>'[3]2.4_Totex'!$M$10+'[3]2.4_Totex'!$M$11</f>
        <v>776.23249803631518</v>
      </c>
      <c r="S40" s="228"/>
      <c r="T40" s="576"/>
      <c r="U40" s="363" t="s">
        <v>76</v>
      </c>
      <c r="V40" s="600"/>
      <c r="W40" s="600"/>
      <c r="X40" s="600"/>
      <c r="Y40" s="627"/>
      <c r="Z40" s="630"/>
      <c r="AA40" s="630"/>
      <c r="AB40" s="629"/>
      <c r="AC40" s="628"/>
      <c r="AE40" s="147">
        <f>SUM(V39:AC40)</f>
        <v>9914.0902052150996</v>
      </c>
      <c r="AH40" s="602" t="s">
        <v>76</v>
      </c>
      <c r="AI40" s="600"/>
      <c r="AJ40" s="600"/>
      <c r="AK40" s="600"/>
      <c r="AL40" s="600"/>
      <c r="AM40" s="600"/>
      <c r="AN40" s="602"/>
      <c r="AO40" s="627"/>
      <c r="AP40" s="626"/>
      <c r="AR40" s="147">
        <f>SUM(AI39:AP40)</f>
        <v>2272.3322572437237</v>
      </c>
      <c r="BM40" s="227"/>
      <c r="CS40" s="227"/>
    </row>
    <row r="41" spans="1:97" ht="15.6">
      <c r="B41" s="171"/>
      <c r="C41" s="111"/>
      <c r="D41" s="111"/>
      <c r="E41" s="111"/>
      <c r="F41" s="111"/>
      <c r="G41" s="111"/>
      <c r="H41" s="111"/>
      <c r="I41" s="111"/>
      <c r="J41" s="111"/>
      <c r="K41" s="597"/>
      <c r="L41" s="307"/>
      <c r="M41" s="601"/>
      <c r="N41" s="240"/>
      <c r="O41" s="371" t="s">
        <v>386</v>
      </c>
      <c r="P41" s="372">
        <f>('[14]8-year TO forecasts'!K44*$P$13)*P12</f>
        <v>19.470895756686907</v>
      </c>
      <c r="Q41" s="372">
        <f>'[15]8-year TO forecast'!$K$44*$P$12</f>
        <v>16.608323387121501</v>
      </c>
      <c r="R41" s="372">
        <f>'[3]2.4_Totex'!$M$12</f>
        <v>16.611886263589007</v>
      </c>
      <c r="S41" s="228"/>
      <c r="T41" s="576"/>
      <c r="U41" s="625" t="s">
        <v>491</v>
      </c>
      <c r="V41" s="428">
        <f t="shared" ref="V41:AA41" si="20">V8</f>
        <v>2165.1744037247863</v>
      </c>
      <c r="W41" s="428">
        <f t="shared" si="20"/>
        <v>1872.7675529475705</v>
      </c>
      <c r="X41" s="428">
        <f t="shared" si="20"/>
        <v>1549.6723347309264</v>
      </c>
      <c r="Y41" s="428">
        <f t="shared" si="20"/>
        <v>1419.7259377797068</v>
      </c>
      <c r="Z41" s="428">
        <f t="shared" si="20"/>
        <v>1391.6437867787117</v>
      </c>
      <c r="AA41" s="428">
        <f t="shared" si="20"/>
        <v>1659.5012505789448</v>
      </c>
      <c r="AB41" s="572">
        <f>AB8-AA57</f>
        <v>1871.992541303478</v>
      </c>
      <c r="AC41" s="599">
        <f>AC8-AB57</f>
        <v>1940.7430405271073</v>
      </c>
      <c r="AE41" s="147">
        <f>SUM(V41:AC41)</f>
        <v>13871.220848371233</v>
      </c>
      <c r="AH41" s="600" t="s">
        <v>491</v>
      </c>
      <c r="AI41" s="623">
        <f t="shared" ref="AI41:AP41" si="21">AI8</f>
        <v>395.00193164384314</v>
      </c>
      <c r="AJ41" s="623">
        <f t="shared" si="21"/>
        <v>454.37786938340327</v>
      </c>
      <c r="AK41" s="623">
        <f t="shared" si="21"/>
        <v>359.73865774387338</v>
      </c>
      <c r="AL41" s="623">
        <f t="shared" si="21"/>
        <v>260.85420925826674</v>
      </c>
      <c r="AM41" s="623">
        <f t="shared" si="21"/>
        <v>289.69942026647169</v>
      </c>
      <c r="AN41" s="624">
        <f t="shared" si="21"/>
        <v>297.25683051507855</v>
      </c>
      <c r="AO41" s="623">
        <f t="shared" si="21"/>
        <v>248.15450961591392</v>
      </c>
      <c r="AP41" s="622">
        <f t="shared" si="21"/>
        <v>129.42825516590372</v>
      </c>
      <c r="AR41" s="147">
        <f>SUM(AI41:AP41)</f>
        <v>2434.5116835927547</v>
      </c>
      <c r="BM41" s="227"/>
      <c r="CS41" s="227"/>
    </row>
    <row r="42" spans="1:97" ht="15.6">
      <c r="B42" s="598" t="s">
        <v>494</v>
      </c>
      <c r="C42" s="111">
        <f>'[3]2.4_Totex'!E9</f>
        <v>143.21539390882921</v>
      </c>
      <c r="D42" s="111">
        <f>'[3]2.4_Totex'!F9</f>
        <v>193.94886106786385</v>
      </c>
      <c r="E42" s="111">
        <f>'[3]2.4_Totex'!G9</f>
        <v>301.35422854000143</v>
      </c>
      <c r="F42" s="111">
        <f>'[3]2.4_Totex'!H9</f>
        <v>253.59891111365795</v>
      </c>
      <c r="G42" s="111">
        <f>'[3]2.4_Totex'!I9</f>
        <v>142.6965468227487</v>
      </c>
      <c r="H42" s="111">
        <f>'[3]2.4_Totex'!J9</f>
        <v>64.781520361680464</v>
      </c>
      <c r="I42" s="111">
        <f>'[3]2.4_Totex'!K9</f>
        <v>34.942230759449671</v>
      </c>
      <c r="J42" s="111"/>
      <c r="K42" s="597">
        <f>'[3]2.4_Totex'!$L$9</f>
        <v>52.662107065230821</v>
      </c>
      <c r="L42" s="307">
        <f>SUM(C42:K42)</f>
        <v>1187.1997996394621</v>
      </c>
      <c r="M42" s="601" t="s">
        <v>236</v>
      </c>
      <c r="N42" s="621">
        <f>L45-L39</f>
        <v>81.986233627543982</v>
      </c>
      <c r="O42" s="371" t="s">
        <v>387</v>
      </c>
      <c r="P42" s="372">
        <f>('[14]8-year TO forecasts'!K45*$P$13)*P12</f>
        <v>290.92663062656976</v>
      </c>
      <c r="Q42" s="372">
        <f>'[15]8-year TO forecast'!$K$45*$P$12</f>
        <v>298.39287114783417</v>
      </c>
      <c r="R42" s="372">
        <f>'[3]2.4_Totex'!$M$22</f>
        <v>292.28807330435723</v>
      </c>
      <c r="S42" s="228"/>
      <c r="T42" s="576"/>
      <c r="BM42" s="227"/>
      <c r="CS42" s="227"/>
    </row>
    <row r="43" spans="1:97" ht="15.6">
      <c r="B43" s="598" t="s">
        <v>493</v>
      </c>
      <c r="C43" s="111">
        <f>'[3]2.4_Totex'!E10+'[3]2.4_Totex'!E11</f>
        <v>107.43269597815528</v>
      </c>
      <c r="D43" s="111">
        <f>'[3]2.4_Totex'!F10+'[3]2.4_Totex'!F11</f>
        <v>95.766154143437916</v>
      </c>
      <c r="E43" s="111">
        <f>'[3]2.4_Totex'!G10+'[3]2.4_Totex'!G11</f>
        <v>64.414659065117519</v>
      </c>
      <c r="F43" s="111">
        <f>'[3]2.4_Totex'!H10+'[3]2.4_Totex'!H11</f>
        <v>89.18803960316049</v>
      </c>
      <c r="G43" s="111">
        <f>'[3]2.4_Totex'!I10+'[3]2.4_Totex'!I11</f>
        <v>79.223739101727034</v>
      </c>
      <c r="H43" s="111">
        <f>'[3]2.4_Totex'!J10+'[3]2.4_Totex'!J11</f>
        <v>91.002545979874554</v>
      </c>
      <c r="I43" s="111">
        <f>'[3]2.4_Totex'!K10+'[3]2.4_Totex'!K11</f>
        <v>114.56585292018269</v>
      </c>
      <c r="J43" s="111"/>
      <c r="K43" s="597">
        <f>'[3]2.4_Totex'!$L$10+'[3]2.4_Totex'!$L$11</f>
        <v>134.63881124465968</v>
      </c>
      <c r="L43" s="307">
        <f>SUM(C43:K43)</f>
        <v>776.23249803631506</v>
      </c>
      <c r="M43" s="601" t="s">
        <v>236</v>
      </c>
      <c r="N43" s="620">
        <f>N42/L39</f>
        <v>0.3898502921017642</v>
      </c>
      <c r="O43" s="603"/>
      <c r="P43" s="312" t="str">
        <f>P15</f>
        <v>RRP19: 8 year forecast</v>
      </c>
      <c r="Q43" s="312" t="str">
        <f>Q15</f>
        <v>RRP20: 8 year forecast</v>
      </c>
      <c r="R43" s="312" t="str">
        <f>R15</f>
        <v>RRP21: 8 year</v>
      </c>
      <c r="S43" s="228"/>
      <c r="T43" s="576"/>
      <c r="U43" s="22" t="s">
        <v>500</v>
      </c>
      <c r="AH43" s="22" t="s">
        <v>499</v>
      </c>
      <c r="BM43" s="227"/>
      <c r="BW43" s="1"/>
      <c r="CS43" s="227"/>
    </row>
    <row r="44" spans="1:97" ht="15.6">
      <c r="B44" s="598" t="s">
        <v>492</v>
      </c>
      <c r="C44" s="111">
        <f>'[3]2.4_Totex'!E12</f>
        <v>1.6261509997924044</v>
      </c>
      <c r="D44" s="111">
        <f>'[3]2.4_Totex'!F12</f>
        <v>2.5747016885129224</v>
      </c>
      <c r="E44" s="111">
        <f>'[3]2.4_Totex'!G12</f>
        <v>3.6487199838493676</v>
      </c>
      <c r="F44" s="111">
        <f>'[3]2.4_Totex'!H12</f>
        <v>2.434325684212876</v>
      </c>
      <c r="G44" s="111">
        <f>'[3]2.4_Totex'!I12</f>
        <v>2.8891395618791424</v>
      </c>
      <c r="H44" s="111">
        <f>'[3]2.4_Totex'!J12</f>
        <v>0.83406477825030123</v>
      </c>
      <c r="I44" s="111">
        <f>'[3]2.4_Totex'!K12</f>
        <v>1.1578058687297288</v>
      </c>
      <c r="J44" s="111"/>
      <c r="K44" s="597">
        <f>'[3]2.4_Totex'!$L$12</f>
        <v>1.4469776983622653</v>
      </c>
      <c r="L44" s="307">
        <f>SUM(C44:K44)</f>
        <v>16.611886263589007</v>
      </c>
      <c r="M44" s="601" t="s">
        <v>236</v>
      </c>
      <c r="N44" s="112"/>
      <c r="O44" s="357" t="str">
        <f>O27</f>
        <v>TOTEX expenditure (£m)</v>
      </c>
      <c r="P44" s="358">
        <f>('[17]2.4_Totex'!$M$23*P13)*P12</f>
        <v>2373.8701007838199</v>
      </c>
      <c r="Q44" s="358">
        <f>'[18]2.4_Totex'!$M$23*P12</f>
        <v>2351.3289756102681</v>
      </c>
      <c r="R44" s="358">
        <f>'[3]2.4_Totex'!$M$23</f>
        <v>2272.3322572437232</v>
      </c>
      <c r="S44" s="228"/>
      <c r="T44" s="576"/>
      <c r="AA44" s="1" t="s">
        <v>152</v>
      </c>
      <c r="BM44" s="227"/>
      <c r="CS44" s="227"/>
    </row>
    <row r="45" spans="1:97" ht="16.2" thickBot="1">
      <c r="A45" s="365"/>
      <c r="B45" s="598" t="s">
        <v>490</v>
      </c>
      <c r="C45" s="111">
        <f>'[3]2.4_Totex'!E22</f>
        <v>27.499134113752085</v>
      </c>
      <c r="D45" s="111">
        <f>'[3]2.4_Totex'!F22</f>
        <v>28.183009585299981</v>
      </c>
      <c r="E45" s="111">
        <f>'[3]2.4_Totex'!G22</f>
        <v>33.455376173538795</v>
      </c>
      <c r="F45" s="111">
        <f>'[3]2.4_Totex'!H22</f>
        <v>38.481264669233113</v>
      </c>
      <c r="G45" s="111">
        <f>'[3]2.4_Totex'!I22</f>
        <v>30.717329849472048</v>
      </c>
      <c r="H45" s="111">
        <f>'[3]2.4_Totex'!J22</f>
        <v>38.263153982702399</v>
      </c>
      <c r="I45" s="111">
        <f>'[3]2.4_Totex'!K22</f>
        <v>56.333057994754448</v>
      </c>
      <c r="J45" s="111"/>
      <c r="K45" s="597">
        <f>'[3]2.4_Totex'!$L$22</f>
        <v>39.35574693560428</v>
      </c>
      <c r="L45" s="307">
        <f>SUM(C45:K45)</f>
        <v>292.28807330435711</v>
      </c>
      <c r="M45" s="601"/>
      <c r="N45" s="112"/>
      <c r="O45" s="170"/>
      <c r="P45" s="596">
        <f>P44-P33</f>
        <v>-78.945047144027285</v>
      </c>
      <c r="Q45" s="596">
        <f>Q44-Q33</f>
        <v>-145.1940456860998</v>
      </c>
      <c r="R45" s="596">
        <f>R44-R33</f>
        <v>-162.17942634903102</v>
      </c>
      <c r="S45" s="228"/>
      <c r="T45" s="576"/>
      <c r="AA45" s="364" t="s">
        <v>164</v>
      </c>
      <c r="AO45" s="1" t="s">
        <v>152</v>
      </c>
      <c r="BD45" s="1" t="s">
        <v>152</v>
      </c>
      <c r="BM45" s="227"/>
      <c r="CS45" s="227"/>
    </row>
    <row r="46" spans="1:97" ht="16.2" thickBot="1">
      <c r="B46" s="174" t="s">
        <v>489</v>
      </c>
      <c r="C46" s="175">
        <f t="shared" ref="C46:I46" si="22">SUM(C42:C45)</f>
        <v>279.77337500052897</v>
      </c>
      <c r="D46" s="175">
        <f t="shared" si="22"/>
        <v>320.47272648511466</v>
      </c>
      <c r="E46" s="175">
        <f t="shared" si="22"/>
        <v>402.87298376250715</v>
      </c>
      <c r="F46" s="175">
        <f t="shared" si="22"/>
        <v>383.70254107026437</v>
      </c>
      <c r="G46" s="175">
        <f t="shared" si="22"/>
        <v>255.52675533582692</v>
      </c>
      <c r="H46" s="175">
        <f t="shared" si="22"/>
        <v>194.88128510250772</v>
      </c>
      <c r="I46" s="175">
        <f t="shared" si="22"/>
        <v>206.99894754311654</v>
      </c>
      <c r="J46" s="175"/>
      <c r="K46" s="325">
        <f>SUM(K42:K45)</f>
        <v>228.10364294385707</v>
      </c>
      <c r="L46" s="308">
        <f>SUM(C46:K46)</f>
        <v>2272.3322572437237</v>
      </c>
      <c r="M46" s="595">
        <f>(L46-L34)/L34</f>
        <v>-6.6616819891245349E-2</v>
      </c>
      <c r="N46" s="369"/>
      <c r="O46" s="359" t="s">
        <v>392</v>
      </c>
      <c r="P46" s="367">
        <f>(P44-P33)/P33</f>
        <v>-3.218548581238196E-2</v>
      </c>
      <c r="Q46" s="367">
        <f>(Q44-Q33)/Q33</f>
        <v>-5.815850462724953E-2</v>
      </c>
      <c r="R46" s="367">
        <f>(R44-R33)/R33</f>
        <v>-6.6616819891245363E-2</v>
      </c>
      <c r="S46" s="228"/>
      <c r="T46" s="576"/>
      <c r="AA46" s="364" t="s">
        <v>160</v>
      </c>
      <c r="AO46" s="364" t="s">
        <v>235</v>
      </c>
      <c r="BD46" s="364" t="s">
        <v>165</v>
      </c>
      <c r="BM46" s="227"/>
      <c r="BX46" s="136"/>
      <c r="CS46" s="227"/>
    </row>
    <row r="47" spans="1:97" ht="13.2" thickBot="1">
      <c r="C47" s="111"/>
      <c r="D47" s="111"/>
      <c r="E47" s="111"/>
      <c r="F47" s="111"/>
      <c r="G47" s="111"/>
      <c r="H47" s="111"/>
      <c r="I47" s="111"/>
      <c r="J47" s="111"/>
      <c r="K47" s="111"/>
      <c r="L47" s="111"/>
      <c r="M47" s="619"/>
      <c r="N47" s="111"/>
      <c r="O47" s="310"/>
      <c r="P47" s="168"/>
      <c r="Q47" s="168"/>
      <c r="R47" s="168"/>
      <c r="S47" s="228"/>
      <c r="T47" s="576"/>
      <c r="AA47" s="364" t="s">
        <v>153</v>
      </c>
      <c r="AO47" s="364" t="s">
        <v>166</v>
      </c>
      <c r="BD47" s="364" t="s">
        <v>161</v>
      </c>
      <c r="BM47" s="227"/>
      <c r="BW47" s="151"/>
      <c r="BX47" s="151"/>
      <c r="BY47" s="151"/>
      <c r="CS47" s="227"/>
    </row>
    <row r="48" spans="1:97" ht="16.2">
      <c r="B48" s="177" t="s">
        <v>50</v>
      </c>
      <c r="C48" s="618" t="s">
        <v>120</v>
      </c>
      <c r="D48" s="618" t="s">
        <v>120</v>
      </c>
      <c r="E48" s="618" t="s">
        <v>120</v>
      </c>
      <c r="F48" s="618" t="s">
        <v>120</v>
      </c>
      <c r="G48" s="618" t="s">
        <v>120</v>
      </c>
      <c r="H48" s="618" t="s">
        <v>120</v>
      </c>
      <c r="I48" s="618" t="str">
        <f>I14</f>
        <v>ACTUAL</v>
      </c>
      <c r="J48" s="618"/>
      <c r="K48" s="617" t="str">
        <f>K14</f>
        <v>ACTUAL</v>
      </c>
      <c r="L48" s="306"/>
      <c r="M48" s="616"/>
      <c r="O48" s="170"/>
      <c r="P48" s="314"/>
      <c r="Q48" s="314"/>
      <c r="R48" s="314"/>
      <c r="S48" s="228"/>
      <c r="T48" s="576"/>
      <c r="AA48" s="364" t="s">
        <v>154</v>
      </c>
      <c r="AO48" s="364" t="s">
        <v>498</v>
      </c>
      <c r="BD48" s="364" t="s">
        <v>159</v>
      </c>
      <c r="BM48" s="227"/>
      <c r="BW48" s="151"/>
      <c r="BX48" s="151"/>
      <c r="BY48" s="151"/>
      <c r="CS48" s="227"/>
    </row>
    <row r="49" spans="1:97" ht="16.2" thickBot="1">
      <c r="A49" s="364" t="str">
        <f>A32</f>
        <v>source T2.4 RRP21</v>
      </c>
      <c r="B49" s="170"/>
      <c r="C49" s="615">
        <v>2014</v>
      </c>
      <c r="D49" s="615">
        <v>2015</v>
      </c>
      <c r="E49" s="615">
        <v>2016</v>
      </c>
      <c r="F49" s="615">
        <v>2017</v>
      </c>
      <c r="G49" s="615">
        <v>2018</v>
      </c>
      <c r="H49" s="615">
        <v>2019</v>
      </c>
      <c r="I49" s="615">
        <v>2020</v>
      </c>
      <c r="J49" s="615"/>
      <c r="K49" s="143">
        <v>2021</v>
      </c>
      <c r="L49" s="307" t="s">
        <v>51</v>
      </c>
      <c r="M49" s="601"/>
      <c r="O49" s="311" t="s">
        <v>497</v>
      </c>
      <c r="P49" s="312" t="str">
        <f>P15</f>
        <v>RRP19: 8 year forecast</v>
      </c>
      <c r="Q49" s="312" t="str">
        <f>Q15</f>
        <v>RRP20: 8 year forecast</v>
      </c>
      <c r="R49" s="312" t="str">
        <f>R15</f>
        <v>RRP21: 8 year</v>
      </c>
      <c r="S49" s="228"/>
      <c r="T49" s="576"/>
      <c r="Z49" s="1" t="s">
        <v>567</v>
      </c>
      <c r="AO49" s="364" t="s">
        <v>349</v>
      </c>
      <c r="BD49" s="261">
        <v>-23.74</v>
      </c>
      <c r="BE49" s="261">
        <v>-23.74</v>
      </c>
      <c r="BF49" s="151" t="s">
        <v>158</v>
      </c>
      <c r="BM49" s="227"/>
      <c r="BW49" s="151"/>
      <c r="BX49" s="151"/>
      <c r="BY49" s="151"/>
      <c r="CS49" s="227"/>
    </row>
    <row r="50" spans="1:97" ht="16.2" thickBot="1">
      <c r="A50" s="614" t="s">
        <v>496</v>
      </c>
      <c r="B50" s="171" t="s">
        <v>135</v>
      </c>
      <c r="C50" s="111">
        <f>C51*'[12]Universal data'!$C$55</f>
        <v>201.01572451078547</v>
      </c>
      <c r="D50" s="111">
        <f>D51*'[12]Universal data'!$C$55</f>
        <v>352.44132890257009</v>
      </c>
      <c r="E50" s="111">
        <f>E51*'[12]Universal data'!$C$55</f>
        <v>667.60307870328074</v>
      </c>
      <c r="F50" s="111">
        <f>F51*'[12]Universal data'!$C$55</f>
        <v>544.78820709488184</v>
      </c>
      <c r="G50" s="111">
        <f>G51*'[12]Universal data'!$C$55</f>
        <v>321.06419259771764</v>
      </c>
      <c r="H50" s="111">
        <f>H51*'[12]Universal data'!$C$55</f>
        <v>174.56725750039277</v>
      </c>
      <c r="I50" s="111">
        <f>I51*'[12]Universal data'!$C$55</f>
        <v>201.63097972271541</v>
      </c>
      <c r="J50" s="111"/>
      <c r="K50" s="597">
        <f>K51*'[12]Universal data'!$C$55</f>
        <v>275.17282691034433</v>
      </c>
      <c r="L50" s="307">
        <f>SUM(C50:K50)</f>
        <v>2738.283595942688</v>
      </c>
      <c r="M50" s="601"/>
      <c r="N50" s="605">
        <f>L59-L53</f>
        <v>-493.26625772673697</v>
      </c>
      <c r="O50" s="370" t="str">
        <f>O16</f>
        <v xml:space="preserve">TOTEX allowance (£m) </v>
      </c>
      <c r="P50" s="313">
        <f>('[19]2.4_Totex'!$M$49*P13)*P12</f>
        <v>4267.3768969119537</v>
      </c>
      <c r="Q50" s="313">
        <f>'[20]2.4_Totex'!$M$49*P12</f>
        <v>3742.0632758541115</v>
      </c>
      <c r="R50" s="313">
        <f>'[4]2.4_Totex'!$M$49</f>
        <v>3733.2575905720064</v>
      </c>
      <c r="S50" s="228"/>
      <c r="T50" s="576"/>
      <c r="Z50" s="159" t="s">
        <v>304</v>
      </c>
      <c r="AA50" s="328">
        <v>-175</v>
      </c>
      <c r="AB50" s="328">
        <v>-175</v>
      </c>
      <c r="AC50" s="328" t="s">
        <v>158</v>
      </c>
      <c r="AN50" s="334">
        <v>2019</v>
      </c>
      <c r="AO50" s="334">
        <v>2020</v>
      </c>
      <c r="AP50" s="334">
        <v>2021</v>
      </c>
      <c r="AQ50" s="334"/>
      <c r="AR50" s="334" t="s">
        <v>51</v>
      </c>
      <c r="BD50" s="151"/>
      <c r="BE50" s="151"/>
      <c r="BF50" s="151"/>
      <c r="BM50" s="227"/>
      <c r="BW50" s="231"/>
      <c r="BX50" s="232"/>
      <c r="BY50" s="151"/>
      <c r="CS50" s="227"/>
    </row>
    <row r="51" spans="1:97" ht="16.8" thickTop="1" thickBot="1">
      <c r="A51" s="135" t="s">
        <v>50</v>
      </c>
      <c r="B51" s="172" t="s">
        <v>447</v>
      </c>
      <c r="C51" s="613">
        <f>C56+C57</f>
        <v>274.0561571000726</v>
      </c>
      <c r="D51" s="613">
        <f t="shared" ref="D51:I51" si="23">D56+D57</f>
        <v>480.50328618495047</v>
      </c>
      <c r="E51" s="613">
        <f t="shared" si="23"/>
        <v>910.18120429569535</v>
      </c>
      <c r="F51" s="613">
        <f t="shared" si="23"/>
        <v>742.74071261450501</v>
      </c>
      <c r="G51" s="613">
        <f>G56+G57</f>
        <v>437.72505369870703</v>
      </c>
      <c r="H51" s="613">
        <f t="shared" si="23"/>
        <v>237.99745946486667</v>
      </c>
      <c r="I51" s="613">
        <f t="shared" si="23"/>
        <v>274.89496948366929</v>
      </c>
      <c r="J51" s="613"/>
      <c r="K51" s="166">
        <f>K56+K57</f>
        <v>375.1587477295397</v>
      </c>
      <c r="L51" s="304">
        <f>SUM(C51:K51)</f>
        <v>3733.2575905720059</v>
      </c>
      <c r="M51" s="601"/>
      <c r="N51" s="604">
        <f>N50/L53</f>
        <v>-0.15637216857412414</v>
      </c>
      <c r="O51" s="374" t="s">
        <v>390</v>
      </c>
      <c r="P51" s="375">
        <f>'[14]8-year TO forecasts'!K53*$P$13</f>
        <v>3597.3323885041355</v>
      </c>
      <c r="Q51" s="375">
        <f>'[15]8-year TO forecast'!$K$53*P12</f>
        <v>3165.995205405693</v>
      </c>
      <c r="R51" s="375">
        <f>'[4]2.4_Totex'!$M$36</f>
        <v>3154.4376612831647</v>
      </c>
      <c r="S51" s="228"/>
      <c r="T51" s="576"/>
      <c r="Z51" s="159" t="s">
        <v>303</v>
      </c>
      <c r="AA51" s="328">
        <v>-65</v>
      </c>
      <c r="AB51" s="328">
        <v>-65</v>
      </c>
      <c r="AC51" s="328" t="s">
        <v>158</v>
      </c>
      <c r="AN51" s="611">
        <v>0.75676259209472352</v>
      </c>
      <c r="AO51" s="612">
        <v>7.533441792042721</v>
      </c>
      <c r="AP51" s="612">
        <v>12.73620412</v>
      </c>
      <c r="AQ51" s="334"/>
      <c r="AR51" s="335">
        <f>SUM(AN51:AQ51)</f>
        <v>21.026408504137443</v>
      </c>
      <c r="BD51" s="261"/>
      <c r="BE51" s="261"/>
      <c r="BF51" s="151"/>
      <c r="BM51" s="227"/>
      <c r="CS51" s="227"/>
    </row>
    <row r="52" spans="1:97" ht="16.2" thickBot="1">
      <c r="B52" s="171"/>
      <c r="C52" s="111"/>
      <c r="D52" s="111"/>
      <c r="E52" s="111"/>
      <c r="F52" s="111"/>
      <c r="G52" s="111"/>
      <c r="H52" s="111"/>
      <c r="I52" s="111"/>
      <c r="J52" s="111"/>
      <c r="K52" s="597"/>
      <c r="L52" s="307"/>
      <c r="M52" s="601"/>
      <c r="N52" s="240"/>
      <c r="O52" s="374" t="s">
        <v>388</v>
      </c>
      <c r="P52" s="375">
        <f>'[14]8-year TO forecasts'!K54*$P$13</f>
        <v>348.00020168126809</v>
      </c>
      <c r="Q52" s="375">
        <f>'[15]8-year TO forecast'!$K$54*P12</f>
        <v>305.15006108489035</v>
      </c>
      <c r="R52" s="375">
        <f>'[4]2.4_Totex'!$M$37+'[4]2.4_Totex'!$M$38</f>
        <v>308.20069473286071</v>
      </c>
      <c r="S52" s="228"/>
      <c r="T52" s="576"/>
      <c r="V52" s="147"/>
      <c r="W52" s="147"/>
      <c r="X52" s="147"/>
      <c r="Y52" s="147"/>
      <c r="Z52" s="159"/>
      <c r="AA52" s="329">
        <f>AA50+AA51</f>
        <v>-240</v>
      </c>
      <c r="AB52" s="330">
        <f>AB50+AB51</f>
        <v>-240</v>
      </c>
      <c r="AC52" s="682" t="s">
        <v>158</v>
      </c>
      <c r="AI52" s="115"/>
      <c r="AJ52" s="115"/>
      <c r="AK52" s="115"/>
      <c r="AL52" s="115"/>
      <c r="AM52" s="115"/>
      <c r="AN52" s="611"/>
      <c r="AO52" s="611"/>
      <c r="AP52" s="611"/>
      <c r="AR52" s="115"/>
      <c r="AS52" s="160"/>
      <c r="AX52" s="115"/>
      <c r="AY52" s="115"/>
      <c r="AZ52" s="115"/>
      <c r="BA52" s="115"/>
      <c r="BB52" s="115"/>
      <c r="BC52" s="115"/>
      <c r="BD52" s="326">
        <f>BD49*'[12]Universal data'!$C$54</f>
        <v>-32.366090689619853</v>
      </c>
      <c r="BE52" s="327">
        <f>BE49*'[12]Universal data'!$C$54</f>
        <v>-32.366090689619853</v>
      </c>
      <c r="BF52" s="328" t="s">
        <v>495</v>
      </c>
      <c r="BM52" s="227"/>
      <c r="BQ52" s="115"/>
      <c r="BR52" s="115"/>
      <c r="BS52" s="115"/>
      <c r="BT52" s="115"/>
      <c r="BU52" s="115"/>
      <c r="BV52" s="115"/>
      <c r="BW52" s="115"/>
      <c r="BX52" s="115"/>
      <c r="CS52" s="227"/>
    </row>
    <row r="53" spans="1:97" ht="15.6">
      <c r="A53" s="364" t="s">
        <v>347</v>
      </c>
      <c r="B53" s="171" t="s">
        <v>448</v>
      </c>
      <c r="C53" s="111">
        <f>'[4]2.4_Totex'!E36</f>
        <v>226.16325390025821</v>
      </c>
      <c r="D53" s="111">
        <f>'[4]2.4_Totex'!F36</f>
        <v>428.01789594073898</v>
      </c>
      <c r="E53" s="111">
        <f>'[4]2.4_Totex'!G36</f>
        <v>849.77964857147026</v>
      </c>
      <c r="F53" s="111">
        <f>'[4]2.4_Totex'!H36</f>
        <v>676.26520205474753</v>
      </c>
      <c r="G53" s="111">
        <f>'[4]2.4_Totex'!I36</f>
        <v>364.37636364457927</v>
      </c>
      <c r="H53" s="111">
        <f>'[4]2.4_Totex'!J36</f>
        <v>154.34918372889695</v>
      </c>
      <c r="I53" s="111">
        <f>'[4]2.4_Totex'!K36</f>
        <v>182.81370068368429</v>
      </c>
      <c r="J53" s="111"/>
      <c r="K53" s="597">
        <f>'[4]2.4_Totex'!$L$36</f>
        <v>272.67241275878911</v>
      </c>
      <c r="L53" s="307">
        <f>SUM(C53:K53)</f>
        <v>3154.4376612831647</v>
      </c>
      <c r="M53" s="588" t="s">
        <v>322</v>
      </c>
      <c r="N53" s="605">
        <f>L60-L54</f>
        <v>106.48365514386364</v>
      </c>
      <c r="O53" s="374" t="s">
        <v>385</v>
      </c>
      <c r="P53" s="375">
        <f>'[14]8-year TO forecasts'!K55*$P$13</f>
        <v>9.9728617759134632</v>
      </c>
      <c r="Q53" s="375">
        <f>'[15]8-year TO forecast'!$K$55*P12</f>
        <v>10.093815862934933</v>
      </c>
      <c r="R53" s="375">
        <f>'[4]2.4_Totex'!$M$39</f>
        <v>10.093815862934933</v>
      </c>
      <c r="S53" s="228"/>
      <c r="T53" s="576"/>
      <c r="V53" s="147"/>
      <c r="W53" s="147"/>
      <c r="X53" s="147"/>
      <c r="Y53" s="147"/>
      <c r="Z53" s="240"/>
      <c r="AI53" s="115"/>
      <c r="AJ53" s="115"/>
      <c r="AK53" s="115"/>
      <c r="AL53" s="115"/>
      <c r="AM53" s="115"/>
      <c r="AN53" s="609"/>
      <c r="AO53" s="609"/>
      <c r="AP53" s="609"/>
      <c r="AR53" s="115"/>
      <c r="AS53" s="160"/>
      <c r="AX53" s="115"/>
      <c r="AY53" s="115"/>
      <c r="AZ53" s="115"/>
      <c r="BA53" s="115"/>
      <c r="BB53" s="115"/>
      <c r="BC53" s="115"/>
      <c r="BM53" s="227"/>
      <c r="BQ53" s="115"/>
      <c r="BR53" s="115"/>
      <c r="BS53" s="115"/>
      <c r="BT53" s="115"/>
      <c r="BU53" s="115"/>
      <c r="BV53" s="115"/>
      <c r="BW53" s="115"/>
      <c r="BX53" s="115"/>
      <c r="CS53" s="227"/>
    </row>
    <row r="54" spans="1:97" ht="15.6">
      <c r="B54" s="171" t="s">
        <v>449</v>
      </c>
      <c r="C54" s="111">
        <f>'[4]2.4_Totex'!E37+'[4]2.4_Totex'!E38</f>
        <v>29.616386169135957</v>
      </c>
      <c r="D54" s="111">
        <f>'[4]2.4_Totex'!F37+'[4]2.4_Totex'!F38</f>
        <v>27.440351258414143</v>
      </c>
      <c r="E54" s="111">
        <f>'[4]2.4_Totex'!G37+'[4]2.4_Totex'!G38</f>
        <v>31.505542306858793</v>
      </c>
      <c r="F54" s="111">
        <f>'[4]2.4_Totex'!H37+'[4]2.4_Totex'!H38</f>
        <v>37.396735945168594</v>
      </c>
      <c r="G54" s="111">
        <f>'[4]2.4_Totex'!I37+'[4]2.4_Totex'!I38</f>
        <v>39.220357752784594</v>
      </c>
      <c r="H54" s="111">
        <f>'[4]2.4_Totex'!J37+'[4]2.4_Totex'!J38</f>
        <v>39.83388220864326</v>
      </c>
      <c r="I54" s="111">
        <f>'[4]2.4_Totex'!K37+'[4]2.4_Totex'!K38</f>
        <v>47.149750827185329</v>
      </c>
      <c r="J54" s="111"/>
      <c r="K54" s="111">
        <f>'[4]2.4_Totex'!$L$37+'[4]2.4_Totex'!$L$38</f>
        <v>56.037688264670024</v>
      </c>
      <c r="L54" s="307">
        <f>SUM(C54:K54)</f>
        <v>308.20069473286071</v>
      </c>
      <c r="M54" s="601"/>
      <c r="N54" s="610">
        <f>N53/L54</f>
        <v>0.34550102243007774</v>
      </c>
      <c r="O54" s="374" t="s">
        <v>382</v>
      </c>
      <c r="P54" s="375">
        <f>'[14]8-year TO forecasts'!K56*$P$13</f>
        <v>260.93551345045279</v>
      </c>
      <c r="Q54" s="375">
        <f>'[15]8-year TO forecast'!$K$56*P12</f>
        <v>260.82419350059359</v>
      </c>
      <c r="R54" s="375">
        <f>'[4]2.4_Totex'!$M$48</f>
        <v>260.52541869304571</v>
      </c>
      <c r="S54" s="228"/>
      <c r="T54" s="576"/>
      <c r="V54" s="147"/>
      <c r="W54" s="147"/>
      <c r="X54" s="147"/>
      <c r="Y54" s="147"/>
      <c r="Z54" s="240"/>
      <c r="AI54" s="115"/>
      <c r="AJ54" s="115"/>
      <c r="AK54" s="115"/>
      <c r="AL54" s="115"/>
      <c r="AM54" s="115"/>
      <c r="AN54" s="609"/>
      <c r="AO54" s="609"/>
      <c r="AP54" s="609"/>
      <c r="AR54" s="115"/>
      <c r="AS54" s="160"/>
      <c r="BM54" s="227"/>
      <c r="BQ54" s="115"/>
      <c r="BR54" s="115"/>
      <c r="BS54" s="115"/>
      <c r="BT54" s="115"/>
      <c r="BU54" s="115"/>
      <c r="BV54" s="115"/>
      <c r="BW54" s="150" t="s">
        <v>162</v>
      </c>
      <c r="BX54" s="115"/>
      <c r="CS54" s="227"/>
    </row>
    <row r="55" spans="1:97" ht="15.6">
      <c r="B55" s="171" t="s">
        <v>450</v>
      </c>
      <c r="C55" s="111">
        <f>'[4]2.4_Totex'!E39</f>
        <v>0.96188553286159051</v>
      </c>
      <c r="D55" s="111">
        <f>'[4]2.4_Totex'!F39</f>
        <v>3.8898650948922726</v>
      </c>
      <c r="E55" s="111">
        <f>'[4]2.4_Totex'!G39</f>
        <v>3.7846998135767911</v>
      </c>
      <c r="F55" s="111">
        <f>'[4]2.4_Totex'!H39</f>
        <v>0.28399266008542884</v>
      </c>
      <c r="G55" s="111">
        <f>'[4]2.4_Totex'!I39</f>
        <v>0.28768456466653936</v>
      </c>
      <c r="H55" s="111">
        <f>'[4]2.4_Totex'!J39</f>
        <v>0.29142446400720434</v>
      </c>
      <c r="I55" s="111">
        <f>'[4]2.4_Totex'!K39</f>
        <v>0.29521298203929797</v>
      </c>
      <c r="J55" s="111"/>
      <c r="K55" s="111">
        <f>'[4]2.4_Totex'!$L$39</f>
        <v>0.29905075080580873</v>
      </c>
      <c r="L55" s="307">
        <f>SUM(C55:K55)</f>
        <v>10.093815862934933</v>
      </c>
      <c r="M55" s="601"/>
      <c r="N55" s="240"/>
      <c r="O55" s="603"/>
      <c r="P55" s="354"/>
      <c r="Q55" s="372"/>
      <c r="R55" s="354"/>
      <c r="S55" s="228"/>
      <c r="T55" s="576"/>
      <c r="V55" s="147"/>
      <c r="W55" s="147"/>
      <c r="X55" s="147"/>
      <c r="Y55" s="147"/>
      <c r="Z55" s="159" t="s">
        <v>304</v>
      </c>
      <c r="AA55" s="331">
        <f>AA50*'[12]Universal data'!$C$54</f>
        <v>-238.58744189905116</v>
      </c>
      <c r="AB55" s="331">
        <f>AB50*'[12]Universal data'!$C$54</f>
        <v>-238.58744189905116</v>
      </c>
      <c r="AC55" s="328" t="s">
        <v>495</v>
      </c>
      <c r="AI55" s="115"/>
      <c r="AJ55" s="115"/>
      <c r="AK55" s="115"/>
      <c r="AL55" s="115"/>
      <c r="AM55" s="115"/>
      <c r="AN55" s="115"/>
      <c r="AO55" s="115"/>
      <c r="AP55" s="115"/>
      <c r="AR55" s="115"/>
      <c r="AS55" s="160"/>
      <c r="BM55" s="227"/>
      <c r="BO55" s="132"/>
      <c r="BP55" s="40"/>
      <c r="BQ55" s="132"/>
      <c r="BR55" s="132"/>
      <c r="BS55" s="132"/>
      <c r="BT55" s="132"/>
      <c r="BU55" s="132"/>
      <c r="BV55" s="132"/>
      <c r="BW55" s="132"/>
      <c r="BX55" s="132"/>
      <c r="BY55" s="132"/>
      <c r="BZ55" s="132"/>
      <c r="CA55" s="132"/>
      <c r="CS55" s="227"/>
    </row>
    <row r="56" spans="1:97" ht="16.2" thickBot="1">
      <c r="B56" s="173" t="s">
        <v>451</v>
      </c>
      <c r="C56" s="608">
        <f>'[4]2.4_Totex'!E48</f>
        <v>17.314631497816858</v>
      </c>
      <c r="D56" s="608">
        <f>'[4]2.4_Totex'!F48</f>
        <v>21.15517389090509</v>
      </c>
      <c r="E56" s="608">
        <f>'[4]2.4_Totex'!G48</f>
        <v>25.111313603789416</v>
      </c>
      <c r="F56" s="608">
        <f>'[4]2.4_Totex'!H48</f>
        <v>28.794781954503399</v>
      </c>
      <c r="G56" s="608">
        <f>'[4]2.4_Totex'!I48</f>
        <v>33.840647736676573</v>
      </c>
      <c r="H56" s="608">
        <f>'[4]2.4_Totex'!J48</f>
        <v>43.522969063319231</v>
      </c>
      <c r="I56" s="608">
        <f>'[4]2.4_Totex'!K48</f>
        <v>44.636304990760394</v>
      </c>
      <c r="J56" s="608"/>
      <c r="K56" s="165">
        <f>'[4]2.4_Totex'!$L$48</f>
        <v>46.149595955274776</v>
      </c>
      <c r="L56" s="305">
        <f>SUM(C56:K56)</f>
        <v>260.52541869304576</v>
      </c>
      <c r="M56" s="601"/>
      <c r="N56" s="605">
        <f>L61-L55</f>
        <v>19.980611473932292</v>
      </c>
      <c r="O56" s="371" t="s">
        <v>383</v>
      </c>
      <c r="P56" s="372">
        <f>'[14]8-year TO forecasts'!K59*$P$13</f>
        <v>3161.7709477743647</v>
      </c>
      <c r="Q56" s="372">
        <f>'[15]8-year TO forecast'!$K$59*$P$12</f>
        <v>2686.8235062205604</v>
      </c>
      <c r="R56" s="372">
        <f>'[4]2.4_Totex'!$M$9</f>
        <v>2661.1714035564278</v>
      </c>
      <c r="S56" s="228"/>
      <c r="T56" s="576"/>
      <c r="Z56" s="159" t="s">
        <v>303</v>
      </c>
      <c r="AA56" s="331">
        <f>AA51*'[12]Universal data'!$C$54</f>
        <v>-88.618192705361864</v>
      </c>
      <c r="AB56" s="331">
        <f>AB51*'[12]Universal data'!$C$54</f>
        <v>-88.618192705361864</v>
      </c>
      <c r="AC56" s="328" t="s">
        <v>495</v>
      </c>
      <c r="AH56" s="147"/>
      <c r="BM56" s="227"/>
      <c r="BO56" s="132"/>
      <c r="BP56" s="132"/>
      <c r="BQ56" s="132"/>
      <c r="BR56" s="132"/>
      <c r="BS56" s="132"/>
      <c r="BT56" s="132"/>
      <c r="BU56" s="132"/>
      <c r="BV56" s="132"/>
      <c r="BW56" s="132"/>
      <c r="BX56" s="132"/>
      <c r="BY56" s="132"/>
      <c r="BZ56" s="693"/>
      <c r="CA56" s="132"/>
      <c r="CS56" s="227"/>
    </row>
    <row r="57" spans="1:97" ht="16.2" thickBot="1">
      <c r="B57" s="173" t="s">
        <v>452</v>
      </c>
      <c r="C57" s="608">
        <f t="shared" ref="C57:I57" si="24">SUM(C53:C55)</f>
        <v>256.74152560225576</v>
      </c>
      <c r="D57" s="608">
        <f t="shared" si="24"/>
        <v>459.34811229404539</v>
      </c>
      <c r="E57" s="608">
        <f t="shared" si="24"/>
        <v>885.06989069190593</v>
      </c>
      <c r="F57" s="608">
        <f t="shared" si="24"/>
        <v>713.94593066000164</v>
      </c>
      <c r="G57" s="608">
        <f>SUM(G53:G55)</f>
        <v>403.88440596203043</v>
      </c>
      <c r="H57" s="608">
        <f t="shared" si="24"/>
        <v>194.47449040154743</v>
      </c>
      <c r="I57" s="608">
        <f t="shared" si="24"/>
        <v>230.25866449290891</v>
      </c>
      <c r="J57" s="608"/>
      <c r="K57" s="165">
        <f>SUM(K53:K55)</f>
        <v>329.00915177426492</v>
      </c>
      <c r="L57" s="305">
        <f>SUM(C57:K57)</f>
        <v>3472.7321718789603</v>
      </c>
      <c r="M57" s="601"/>
      <c r="N57" s="200">
        <f>N56/L55</f>
        <v>1.9794903875057039</v>
      </c>
      <c r="O57" s="371" t="s">
        <v>384</v>
      </c>
      <c r="P57" s="372">
        <f>'[14]8-year TO forecasts'!K60*$P$13</f>
        <v>440.62454577155177</v>
      </c>
      <c r="Q57" s="372">
        <f>'[15]8-year TO forecast'!$K$60*$P$12</f>
        <v>422.68414123425009</v>
      </c>
      <c r="R57" s="372">
        <f>'[4]2.4_Totex'!$M$10+'[4]2.4_Totex'!$M$11</f>
        <v>414.68434987672435</v>
      </c>
      <c r="S57" s="228"/>
      <c r="T57" s="576"/>
      <c r="AA57" s="332">
        <f>AA52*'[12]Universal data'!$C$54</f>
        <v>-327.20563460441304</v>
      </c>
      <c r="AB57" s="333">
        <f>AB52*'[12]Universal data'!$C$54</f>
        <v>-327.20563460441304</v>
      </c>
      <c r="AC57" s="328" t="s">
        <v>495</v>
      </c>
      <c r="BM57" s="227"/>
      <c r="BO57" s="132"/>
      <c r="BP57" s="132"/>
      <c r="BQ57" s="694"/>
      <c r="BR57" s="694"/>
      <c r="BS57" s="694"/>
      <c r="BT57" s="694"/>
      <c r="BU57" s="694"/>
      <c r="BV57" s="694"/>
      <c r="BW57" s="694"/>
      <c r="BX57" s="694"/>
      <c r="BY57" s="132"/>
      <c r="BZ57" s="693"/>
      <c r="CA57" s="132"/>
      <c r="CS57" s="227"/>
    </row>
    <row r="58" spans="1:97" ht="15.6">
      <c r="B58" s="171"/>
      <c r="C58" s="111"/>
      <c r="D58" s="111"/>
      <c r="E58" s="111"/>
      <c r="F58" s="111"/>
      <c r="G58" s="111"/>
      <c r="H58" s="111"/>
      <c r="I58" s="111"/>
      <c r="J58" s="111"/>
      <c r="K58" s="597"/>
      <c r="L58" s="307"/>
      <c r="M58" s="601"/>
      <c r="N58" s="240"/>
      <c r="O58" s="371" t="s">
        <v>386</v>
      </c>
      <c r="P58" s="372">
        <f>'[14]8-year TO forecasts'!K61*$P$13</f>
        <v>25.046210895562428</v>
      </c>
      <c r="Q58" s="372">
        <f>'[15]8-year TO forecast'!$K$61*$P$12</f>
        <v>32.948153835446242</v>
      </c>
      <c r="R58" s="372">
        <f>'[4]2.4_Totex'!$M$12</f>
        <v>30.074427336867227</v>
      </c>
      <c r="S58" s="228"/>
      <c r="T58" s="576"/>
      <c r="AA58" s="1"/>
      <c r="AO58" s="1"/>
      <c r="BM58" s="227"/>
      <c r="BO58" s="132"/>
      <c r="BP58" s="132"/>
      <c r="BQ58" s="191"/>
      <c r="BR58" s="191"/>
      <c r="BS58" s="191"/>
      <c r="BT58" s="191"/>
      <c r="BU58" s="191"/>
      <c r="BV58" s="191"/>
      <c r="BW58" s="191"/>
      <c r="BX58" s="191"/>
      <c r="BY58" s="132"/>
      <c r="BZ58" s="693"/>
      <c r="CA58" s="132"/>
      <c r="CS58" s="227"/>
    </row>
    <row r="59" spans="1:97" ht="16.2" thickBot="1">
      <c r="B59" s="598" t="s">
        <v>494</v>
      </c>
      <c r="C59" s="111">
        <f>'[4]2.4_Totex'!E9</f>
        <v>165.11309062373772</v>
      </c>
      <c r="D59" s="111">
        <f>'[4]2.4_Totex'!F9</f>
        <v>341.6402101572466</v>
      </c>
      <c r="E59" s="111">
        <f>'[4]2.4_Totex'!G9</f>
        <v>549.35326998735627</v>
      </c>
      <c r="F59" s="111">
        <f>'[4]2.4_Totex'!H9</f>
        <v>445.17644255614312</v>
      </c>
      <c r="G59" s="111">
        <f>'[4]2.4_Totex'!I9</f>
        <v>366.43452187512804</v>
      </c>
      <c r="H59" s="111">
        <f>'[4]2.4_Totex'!J9</f>
        <v>259.1028416151749</v>
      </c>
      <c r="I59" s="111">
        <f>'[4]2.4_Totex'!K9</f>
        <v>232.448028741641</v>
      </c>
      <c r="J59" s="111"/>
      <c r="K59" s="597">
        <f>'[4]2.4_Totex'!$L$9</f>
        <v>301.90299800000003</v>
      </c>
      <c r="L59" s="307">
        <f>SUM(C59:K59)</f>
        <v>2661.1714035564278</v>
      </c>
      <c r="M59" s="601" t="s">
        <v>236</v>
      </c>
      <c r="N59" s="605">
        <f>L62-L56</f>
        <v>-5.3326224294619919</v>
      </c>
      <c r="O59" s="371" t="s">
        <v>387</v>
      </c>
      <c r="P59" s="372">
        <f>'[14]8-year TO forecasts'!K62*$P$13</f>
        <v>263.67463370450764</v>
      </c>
      <c r="Q59" s="372">
        <f>'[15]8-year TO forecast'!$K$62*$P$12</f>
        <v>258.50824799499452</v>
      </c>
      <c r="R59" s="372">
        <f>'[4]2.4_Totex'!$M$22</f>
        <v>255.1927962635838</v>
      </c>
      <c r="S59" s="228"/>
      <c r="T59" s="576"/>
      <c r="Z59" s="1" t="s">
        <v>566</v>
      </c>
      <c r="AB59" s="1" t="s">
        <v>51</v>
      </c>
      <c r="AO59" s="1"/>
      <c r="BM59" s="227"/>
      <c r="BO59" s="132"/>
      <c r="BP59" s="132"/>
      <c r="BQ59" s="693"/>
      <c r="BR59" s="693"/>
      <c r="BS59" s="693"/>
      <c r="BT59" s="693"/>
      <c r="BU59" s="693"/>
      <c r="BV59" s="693"/>
      <c r="BW59" s="693"/>
      <c r="BX59" s="693"/>
      <c r="BY59" s="132"/>
      <c r="BZ59" s="293"/>
      <c r="CA59" s="132"/>
      <c r="CS59" s="227"/>
    </row>
    <row r="60" spans="1:97" ht="16.2" thickBot="1">
      <c r="B60" s="598" t="s">
        <v>493</v>
      </c>
      <c r="C60" s="111">
        <f>'[4]2.4_Totex'!E10+'[4]2.4_Totex'!E11</f>
        <v>23.140206990272063</v>
      </c>
      <c r="D60" s="111">
        <f>'[4]2.4_Totex'!F10+'[4]2.4_Totex'!F11</f>
        <v>25.417400776908654</v>
      </c>
      <c r="E60" s="111">
        <f>'[4]2.4_Totex'!G10+'[4]2.4_Totex'!G11</f>
        <v>20.061238450089128</v>
      </c>
      <c r="F60" s="111">
        <f>'[4]2.4_Totex'!H10+'[4]2.4_Totex'!H11</f>
        <v>34.96825647100097</v>
      </c>
      <c r="G60" s="111">
        <f>'[4]2.4_Totex'!I10+'[4]2.4_Totex'!I11</f>
        <v>54.650730148387879</v>
      </c>
      <c r="H60" s="111">
        <f>'[4]2.4_Totex'!J10+'[4]2.4_Totex'!J11</f>
        <v>55.626500888098647</v>
      </c>
      <c r="I60" s="111">
        <f>'[4]2.4_Totex'!K10+'[4]2.4_Totex'!K11</f>
        <v>93.482196151967017</v>
      </c>
      <c r="J60" s="111"/>
      <c r="K60" s="597">
        <f>'[4]2.4_Totex'!$L$10+'[4]2.4_Totex'!$L$11</f>
        <v>107.33782000000002</v>
      </c>
      <c r="L60" s="307">
        <f>SUM(C60:K60)</f>
        <v>414.68434987672435</v>
      </c>
      <c r="M60" s="601" t="s">
        <v>236</v>
      </c>
      <c r="N60" s="604">
        <f>N59/L56</f>
        <v>-2.0468722231457012E-2</v>
      </c>
      <c r="O60" s="603"/>
      <c r="P60" s="312" t="str">
        <f>P15</f>
        <v>RRP19: 8 year forecast</v>
      </c>
      <c r="Q60" s="312" t="str">
        <f>Q15</f>
        <v>RRP20: 8 year forecast</v>
      </c>
      <c r="R60" s="312" t="str">
        <f>R15</f>
        <v>RRP21: 8 year</v>
      </c>
      <c r="S60" s="228"/>
      <c r="T60" s="576"/>
      <c r="Z60" s="159" t="s">
        <v>303</v>
      </c>
      <c r="AA60" s="673"/>
      <c r="AB60" s="683">
        <v>-38.111220646729549</v>
      </c>
      <c r="AC60" s="328" t="s">
        <v>158</v>
      </c>
      <c r="AO60" s="1"/>
      <c r="BM60" s="227"/>
      <c r="BO60" s="132"/>
      <c r="BP60" s="132"/>
      <c r="BQ60" s="693"/>
      <c r="BR60" s="693"/>
      <c r="BS60" s="693"/>
      <c r="BT60" s="693"/>
      <c r="BU60" s="693"/>
      <c r="BV60" s="693"/>
      <c r="BW60" s="693"/>
      <c r="BX60" s="693"/>
      <c r="BY60" s="132"/>
      <c r="BZ60" s="132"/>
      <c r="CA60" s="132"/>
      <c r="CS60" s="227"/>
    </row>
    <row r="61" spans="1:97" ht="16.2" thickBot="1">
      <c r="A61" s="365"/>
      <c r="B61" s="598" t="s">
        <v>492</v>
      </c>
      <c r="C61" s="111">
        <f>'[4]2.4_Totex'!E12</f>
        <v>0.35095530659211882</v>
      </c>
      <c r="D61" s="111">
        <f>'[4]2.4_Totex'!F12</f>
        <v>2.2033347946404618</v>
      </c>
      <c r="E61" s="111">
        <f>'[4]2.4_Totex'!G12</f>
        <v>1.8741844035466699</v>
      </c>
      <c r="F61" s="111">
        <f>'[4]2.4_Totex'!H12</f>
        <v>5.481340424555607</v>
      </c>
      <c r="G61" s="111">
        <f>'[4]2.4_Totex'!I12</f>
        <v>5.5716750744772456</v>
      </c>
      <c r="H61" s="111">
        <f>'[4]2.4_Totex'!J12</f>
        <v>3.2553700509692622</v>
      </c>
      <c r="I61" s="111">
        <f>'[4]2.4_Totex'!K12</f>
        <v>3.969567282085865</v>
      </c>
      <c r="J61" s="111"/>
      <c r="K61" s="597">
        <f>'[4]2.4_Totex'!$L$12</f>
        <v>7.3679999999999986</v>
      </c>
      <c r="L61" s="307">
        <f>SUM(C61:K61)</f>
        <v>30.074427336867227</v>
      </c>
      <c r="M61" s="601" t="s">
        <v>236</v>
      </c>
      <c r="N61" s="112"/>
      <c r="O61" s="373" t="str">
        <f>O27</f>
        <v>TOTEX expenditure (£m)</v>
      </c>
      <c r="P61" s="315">
        <f>('[19]2.4_Totex'!$M$23*P13)*P12</f>
        <v>3938.3090532111337</v>
      </c>
      <c r="Q61" s="315">
        <f>'[20]2.4_Totex'!$M$23*P12</f>
        <v>3400.9640492852509</v>
      </c>
      <c r="R61" s="315">
        <f>'[4]2.4_Totex'!$M$23</f>
        <v>3361.1229770336031</v>
      </c>
      <c r="S61" s="228"/>
      <c r="T61" s="576"/>
      <c r="Z61" s="159"/>
      <c r="AA61" s="673"/>
      <c r="AB61" s="673"/>
      <c r="AC61" s="673"/>
      <c r="AD61" s="673"/>
      <c r="AE61" s="673"/>
      <c r="AO61" s="1"/>
      <c r="AW61" s="1"/>
      <c r="BM61" s="227"/>
      <c r="BO61" s="132"/>
      <c r="BP61" s="132"/>
      <c r="BQ61" s="693"/>
      <c r="BR61" s="693"/>
      <c r="BS61" s="693"/>
      <c r="BT61" s="693"/>
      <c r="BU61" s="693"/>
      <c r="BV61" s="693"/>
      <c r="BW61" s="693"/>
      <c r="BX61" s="693"/>
      <c r="BY61" s="132"/>
      <c r="BZ61" s="132"/>
      <c r="CA61" s="132"/>
      <c r="CS61" s="227"/>
    </row>
    <row r="62" spans="1:97" ht="16.2" thickBot="1">
      <c r="B62" s="598" t="s">
        <v>490</v>
      </c>
      <c r="C62" s="111">
        <f>'[4]2.4_Totex'!E22</f>
        <v>15.305998652352461</v>
      </c>
      <c r="D62" s="111">
        <f>'[4]2.4_Totex'!F22</f>
        <v>18.696489341344435</v>
      </c>
      <c r="E62" s="111">
        <f>'[4]2.4_Totex'!G22</f>
        <v>22.716067701403475</v>
      </c>
      <c r="F62" s="111">
        <f>'[4]2.4_Totex'!H22</f>
        <v>26.80039177829569</v>
      </c>
      <c r="G62" s="111">
        <f>'[4]2.4_Totex'!I22</f>
        <v>34.475482136450083</v>
      </c>
      <c r="H62" s="111">
        <f>'[4]2.4_Totex'!J22</f>
        <v>40.617467475442268</v>
      </c>
      <c r="I62" s="111">
        <f>'[4]2.4_Totex'!K22</f>
        <v>43.343899178295359</v>
      </c>
      <c r="J62" s="111"/>
      <c r="K62" s="597">
        <f>'[4]2.4_Totex'!$L$22</f>
        <v>53.237000000000009</v>
      </c>
      <c r="L62" s="307">
        <f>SUM(C62:K62)</f>
        <v>255.19279626358377</v>
      </c>
      <c r="M62" s="583"/>
      <c r="N62" s="112">
        <f>N50+N53+N56+N59</f>
        <v>-372.13461353840302</v>
      </c>
      <c r="O62" s="170"/>
      <c r="P62" s="596">
        <f>P61-P50</f>
        <v>-329.06784370082005</v>
      </c>
      <c r="Q62" s="596">
        <f>Q61-Q50</f>
        <v>-341.09922656886056</v>
      </c>
      <c r="R62" s="596">
        <f>R61-R50</f>
        <v>-372.1346135384033</v>
      </c>
      <c r="S62" s="228"/>
      <c r="T62" s="576"/>
      <c r="Z62" s="159" t="s">
        <v>303</v>
      </c>
      <c r="AA62" s="673"/>
      <c r="AB62" s="684">
        <f>AB60*'[12]Universal data'!$C$54</f>
        <v>-51.959192238591456</v>
      </c>
      <c r="AC62" s="328" t="s">
        <v>495</v>
      </c>
      <c r="AO62" s="1"/>
      <c r="AW62" s="1"/>
      <c r="BM62" s="227"/>
      <c r="BO62" s="132"/>
      <c r="BP62" s="132"/>
      <c r="BQ62" s="132"/>
      <c r="BR62" s="132"/>
      <c r="BS62" s="132"/>
      <c r="BT62" s="132"/>
      <c r="BU62" s="132"/>
      <c r="BV62" s="132"/>
      <c r="BW62" s="191"/>
      <c r="BX62" s="132"/>
      <c r="BY62" s="132"/>
      <c r="BZ62" s="132"/>
      <c r="CA62" s="132"/>
      <c r="CS62" s="227"/>
    </row>
    <row r="63" spans="1:97" ht="16.2" thickBot="1">
      <c r="B63" s="174" t="s">
        <v>489</v>
      </c>
      <c r="C63" s="175">
        <f t="shared" ref="C63:I63" si="25">SUM(C59:C62)</f>
        <v>203.91025157295437</v>
      </c>
      <c r="D63" s="175">
        <f t="shared" si="25"/>
        <v>387.95743507014015</v>
      </c>
      <c r="E63" s="175">
        <f t="shared" si="25"/>
        <v>594.00476054239562</v>
      </c>
      <c r="F63" s="175">
        <f t="shared" si="25"/>
        <v>512.42643122999539</v>
      </c>
      <c r="G63" s="175">
        <f t="shared" si="25"/>
        <v>461.13240923444323</v>
      </c>
      <c r="H63" s="175">
        <f t="shared" si="25"/>
        <v>358.60218002968503</v>
      </c>
      <c r="I63" s="175">
        <f t="shared" si="25"/>
        <v>373.24369135398922</v>
      </c>
      <c r="J63" s="175"/>
      <c r="K63" s="325">
        <f>SUM(K59:K62)</f>
        <v>469.84581800000007</v>
      </c>
      <c r="L63" s="308">
        <f>SUM(C63:K63)</f>
        <v>3361.1229770336031</v>
      </c>
      <c r="M63" s="595">
        <f>(L63-L51)/L51</f>
        <v>-9.9680936691374886E-2</v>
      </c>
      <c r="N63" s="594">
        <f>N62/L51</f>
        <v>-9.9680936691374927E-2</v>
      </c>
      <c r="O63" s="359" t="s">
        <v>391</v>
      </c>
      <c r="P63" s="593">
        <f>(P61-P50)/P50</f>
        <v>-7.7112439714182926E-2</v>
      </c>
      <c r="Q63" s="593">
        <f>(Q61-Q50)/Q50</f>
        <v>-9.1152714805712631E-2</v>
      </c>
      <c r="R63" s="593">
        <f>(R61-R50)/R50</f>
        <v>-9.9680936691374983E-2</v>
      </c>
      <c r="S63" s="227"/>
      <c r="T63" s="576"/>
      <c r="AC63" s="328"/>
      <c r="AW63" s="1"/>
      <c r="BM63" s="227"/>
      <c r="BO63" s="132"/>
      <c r="BP63" s="132"/>
      <c r="BQ63" s="132"/>
      <c r="BR63" s="132"/>
      <c r="BS63" s="132"/>
      <c r="BT63" s="132"/>
      <c r="BU63" s="132"/>
      <c r="BV63" s="132"/>
      <c r="BW63" s="191"/>
      <c r="BX63" s="132"/>
      <c r="BY63" s="132"/>
      <c r="BZ63" s="132"/>
      <c r="CA63" s="132"/>
      <c r="CS63" s="227"/>
    </row>
    <row r="64" spans="1:97" ht="13.2" thickBot="1">
      <c r="M64" s="592"/>
      <c r="N64" s="365"/>
      <c r="O64" s="112"/>
      <c r="P64" s="365"/>
      <c r="Q64" s="365"/>
      <c r="R64" s="365"/>
      <c r="S64" s="227"/>
      <c r="T64" s="576"/>
      <c r="Z64" s="673"/>
      <c r="AB64" s="673"/>
      <c r="AC64" s="328"/>
      <c r="AD64" s="673"/>
      <c r="AE64" s="673"/>
      <c r="AW64" s="1"/>
      <c r="BM64" s="227"/>
      <c r="BO64" s="132"/>
      <c r="BP64" s="132"/>
      <c r="BQ64" s="132"/>
      <c r="BR64" s="132"/>
      <c r="BS64" s="132"/>
      <c r="BT64" s="132"/>
      <c r="BU64" s="132"/>
      <c r="BV64" s="132"/>
      <c r="BW64" s="132"/>
      <c r="BX64" s="132"/>
      <c r="BY64" s="132"/>
      <c r="BZ64" s="132"/>
      <c r="CA64" s="132"/>
      <c r="CS64" s="227"/>
    </row>
    <row r="65" spans="2:97" ht="16.2" thickBot="1">
      <c r="B65" s="324" t="s">
        <v>313</v>
      </c>
      <c r="C65" s="591">
        <f t="shared" ref="C65:H65" si="26">C53</f>
        <v>226.16325390025821</v>
      </c>
      <c r="D65" s="591">
        <f t="shared" si="26"/>
        <v>428.01789594073898</v>
      </c>
      <c r="E65" s="591">
        <f t="shared" si="26"/>
        <v>849.77964857147026</v>
      </c>
      <c r="F65" s="591">
        <f t="shared" si="26"/>
        <v>676.26520205474753</v>
      </c>
      <c r="G65" s="591">
        <f t="shared" si="26"/>
        <v>364.37636364457927</v>
      </c>
      <c r="H65" s="591">
        <f t="shared" si="26"/>
        <v>154.34918372889695</v>
      </c>
      <c r="I65" s="591">
        <f>I53+BD52</f>
        <v>150.44760999406444</v>
      </c>
      <c r="J65" s="591"/>
      <c r="K65" s="590">
        <f>K53+BE52</f>
        <v>240.30632206916925</v>
      </c>
      <c r="L65" s="589">
        <f>SUM(C65:K65)</f>
        <v>3089.7054799039252</v>
      </c>
      <c r="M65" s="588" t="s">
        <v>329</v>
      </c>
      <c r="P65" s="365"/>
      <c r="Q65" s="365"/>
      <c r="R65" s="365"/>
      <c r="S65" s="227"/>
      <c r="T65" s="576"/>
      <c r="Z65" s="1" t="s">
        <v>568</v>
      </c>
      <c r="AC65" s="328"/>
      <c r="AW65" s="1"/>
      <c r="BM65" s="227"/>
      <c r="BO65" s="132"/>
      <c r="BP65" s="132"/>
      <c r="BQ65" s="132"/>
      <c r="BR65" s="132"/>
      <c r="BS65" s="132"/>
      <c r="BT65" s="132"/>
      <c r="BU65" s="132"/>
      <c r="BV65" s="132"/>
      <c r="BW65" s="132"/>
      <c r="BX65" s="132"/>
      <c r="BY65" s="132"/>
      <c r="BZ65" s="132"/>
      <c r="CA65" s="132"/>
      <c r="CS65" s="227"/>
    </row>
    <row r="66" spans="2:97" ht="16.2" thickBot="1">
      <c r="B66" s="587" t="str">
        <f>B51</f>
        <v>TOTEX allowance (£/m) 2020/21 prices</v>
      </c>
      <c r="C66" s="586">
        <f t="shared" ref="C66:I66" si="27">C65+C54+C55+C56</f>
        <v>274.0561571000726</v>
      </c>
      <c r="D66" s="586">
        <f t="shared" si="27"/>
        <v>480.50328618495047</v>
      </c>
      <c r="E66" s="586">
        <f t="shared" si="27"/>
        <v>910.18120429569535</v>
      </c>
      <c r="F66" s="586">
        <f t="shared" si="27"/>
        <v>742.74071261450501</v>
      </c>
      <c r="G66" s="586">
        <f t="shared" si="27"/>
        <v>437.72505369870703</v>
      </c>
      <c r="H66" s="586">
        <f t="shared" si="27"/>
        <v>237.99745946486667</v>
      </c>
      <c r="I66" s="586">
        <f t="shared" si="27"/>
        <v>242.52887879404943</v>
      </c>
      <c r="J66" s="586"/>
      <c r="K66" s="585">
        <f>K65+K54+K55+K56</f>
        <v>342.79265703991985</v>
      </c>
      <c r="L66" s="584">
        <f>SUM(C66:K66)</f>
        <v>3668.5254091927663</v>
      </c>
      <c r="M66" s="583"/>
      <c r="P66" s="365">
        <f>P62-$BD$52-$BE$52</f>
        <v>-264.33566232158034</v>
      </c>
      <c r="Q66" s="365">
        <f>Q62-$BD$52-$BE$52</f>
        <v>-276.36704518962085</v>
      </c>
      <c r="R66" s="365">
        <f>R62-$BD$52-$BE$52</f>
        <v>-307.4024321591636</v>
      </c>
      <c r="S66" s="227"/>
      <c r="T66" s="576"/>
      <c r="AB66" s="685">
        <f>AB62+AA57+AB57</f>
        <v>-706.37046144741748</v>
      </c>
      <c r="AC66" s="328" t="s">
        <v>495</v>
      </c>
      <c r="AW66" s="1"/>
      <c r="BG66" s="147"/>
      <c r="BH66" s="147"/>
      <c r="BI66" s="147"/>
      <c r="BM66" s="227"/>
      <c r="BO66" s="132"/>
      <c r="BP66" s="132"/>
      <c r="BQ66" s="132"/>
      <c r="BR66" s="132"/>
      <c r="BS66" s="132"/>
      <c r="BT66" s="132"/>
      <c r="BU66" s="132"/>
      <c r="BV66" s="132"/>
      <c r="BW66" s="132"/>
      <c r="BX66" s="132"/>
      <c r="BY66" s="132"/>
      <c r="BZ66" s="132"/>
      <c r="CA66" s="132"/>
      <c r="CS66" s="227"/>
    </row>
    <row r="67" spans="2:97" ht="12.75" customHeight="1" thickBot="1">
      <c r="B67" s="582" t="s">
        <v>489</v>
      </c>
      <c r="C67" s="581">
        <f t="shared" ref="C67:I67" si="28">C63</f>
        <v>203.91025157295437</v>
      </c>
      <c r="D67" s="581">
        <f t="shared" si="28"/>
        <v>387.95743507014015</v>
      </c>
      <c r="E67" s="581">
        <f t="shared" si="28"/>
        <v>594.00476054239562</v>
      </c>
      <c r="F67" s="581">
        <f t="shared" si="28"/>
        <v>512.42643122999539</v>
      </c>
      <c r="G67" s="581">
        <f t="shared" si="28"/>
        <v>461.13240923444323</v>
      </c>
      <c r="H67" s="581">
        <f t="shared" si="28"/>
        <v>358.60218002968503</v>
      </c>
      <c r="I67" s="581">
        <f t="shared" si="28"/>
        <v>373.24369135398922</v>
      </c>
      <c r="J67" s="581"/>
      <c r="K67" s="309">
        <f>K63</f>
        <v>469.84581800000007</v>
      </c>
      <c r="L67" s="580">
        <f>SUM(C67:K67)</f>
        <v>3361.1229770336031</v>
      </c>
      <c r="M67" s="579">
        <f>(L67-L66)/L66</f>
        <v>-8.3794549000222152E-2</v>
      </c>
      <c r="O67" s="364" t="s">
        <v>394</v>
      </c>
      <c r="P67" s="578">
        <f>(P61-(P50+$BD$52+$BE$52))/(P50+$BD$52+$BE$52)</f>
        <v>-6.2897456295701468E-2</v>
      </c>
      <c r="Q67" s="578">
        <f>(Q61-(Q50+$BD$52+$BE$52))/(Q50+$BD$52+$BE$52)</f>
        <v>-7.5154245861858288E-2</v>
      </c>
      <c r="R67" s="578">
        <f>(R61-(R50+$BD$52+$BE$52))/(R50+$BD$52+$BE$52)</f>
        <v>-8.3794549000222263E-2</v>
      </c>
      <c r="S67" s="227"/>
      <c r="T67" s="576"/>
      <c r="AW67" s="1"/>
      <c r="BG67" s="147"/>
      <c r="BM67" s="227"/>
      <c r="BO67" s="132"/>
      <c r="BP67" s="132"/>
      <c r="BQ67" s="132"/>
      <c r="BR67" s="132"/>
      <c r="BS67" s="132"/>
      <c r="BT67" s="132"/>
      <c r="BU67" s="132"/>
      <c r="BV67" s="132"/>
      <c r="BW67" s="132"/>
      <c r="BX67" s="132"/>
      <c r="BY67" s="132"/>
      <c r="BZ67" s="132"/>
      <c r="CA67" s="132"/>
      <c r="CS67" s="227"/>
    </row>
    <row r="68" spans="2:97">
      <c r="G68" s="111"/>
      <c r="H68" s="111"/>
      <c r="I68" s="111"/>
      <c r="J68" s="111"/>
      <c r="K68" s="111"/>
      <c r="L68" s="112"/>
      <c r="M68" s="577"/>
      <c r="P68" s="365"/>
      <c r="Q68" s="365"/>
      <c r="R68" s="365"/>
      <c r="S68" s="227"/>
      <c r="T68" s="576"/>
      <c r="AW68" s="1"/>
      <c r="BM68" s="227"/>
      <c r="BO68" s="132"/>
      <c r="BP68" s="132"/>
      <c r="BQ68" s="132"/>
      <c r="BR68" s="132"/>
      <c r="BS68" s="132"/>
      <c r="BT68" s="132"/>
      <c r="BU68" s="132"/>
      <c r="BV68" s="132"/>
      <c r="BW68" s="132"/>
      <c r="BX68" s="132"/>
      <c r="BY68" s="132"/>
      <c r="BZ68" s="132"/>
      <c r="CA68" s="132"/>
      <c r="CS68" s="227"/>
    </row>
    <row r="69" spans="2:97" ht="13.2" thickBot="1">
      <c r="B69" s="22" t="s">
        <v>548</v>
      </c>
      <c r="G69" s="111"/>
      <c r="H69" s="111"/>
      <c r="M69" s="365"/>
      <c r="N69" s="283"/>
      <c r="O69" s="111"/>
      <c r="P69" s="365"/>
      <c r="Q69" s="365"/>
      <c r="R69" s="365"/>
      <c r="S69" s="227"/>
      <c r="AW69" s="1"/>
      <c r="BM69" s="227"/>
      <c r="BO69" s="132"/>
      <c r="BP69" s="132"/>
      <c r="BQ69" s="132"/>
      <c r="BR69" s="132"/>
      <c r="BS69" s="132"/>
      <c r="BT69" s="132"/>
      <c r="BU69" s="132"/>
      <c r="BV69" s="132"/>
      <c r="BW69" s="132"/>
      <c r="BX69" s="132"/>
      <c r="BY69" s="132"/>
      <c r="BZ69" s="132"/>
      <c r="CA69" s="132"/>
      <c r="CS69" s="227"/>
    </row>
    <row r="70" spans="2:97" ht="33.75" customHeight="1" thickTop="1" thickBot="1">
      <c r="B70" s="35" t="s">
        <v>444</v>
      </c>
      <c r="C70" s="876" t="s">
        <v>533</v>
      </c>
      <c r="D70" s="877"/>
      <c r="E70" s="877"/>
      <c r="F70" s="877"/>
      <c r="H70" s="880" t="s">
        <v>549</v>
      </c>
      <c r="I70" s="845"/>
      <c r="J70" s="493"/>
      <c r="N70" s="365"/>
      <c r="S70" s="227"/>
      <c r="AW70" s="1"/>
      <c r="BM70" s="227"/>
      <c r="BO70" s="132"/>
      <c r="BP70" s="132"/>
      <c r="BQ70" s="132"/>
      <c r="BR70" s="132"/>
      <c r="BS70" s="132"/>
      <c r="BT70" s="132"/>
      <c r="BU70" s="132"/>
      <c r="BV70" s="132"/>
      <c r="BW70" s="132"/>
      <c r="BX70" s="132"/>
      <c r="BY70" s="132"/>
      <c r="BZ70" s="132"/>
      <c r="CA70" s="132"/>
      <c r="CS70" s="227"/>
    </row>
    <row r="71" spans="2:97">
      <c r="B71" s="534"/>
      <c r="C71" s="536" t="s">
        <v>2</v>
      </c>
      <c r="D71" s="535" t="s">
        <v>4</v>
      </c>
      <c r="E71" s="870" t="s">
        <v>46</v>
      </c>
      <c r="F71" s="871"/>
      <c r="H71" s="845"/>
      <c r="I71" s="845"/>
      <c r="J71" s="493"/>
      <c r="P71" s="365"/>
      <c r="Q71" s="365"/>
      <c r="R71" s="365"/>
      <c r="S71" s="227"/>
      <c r="AW71" s="1"/>
      <c r="BM71" s="227"/>
      <c r="BO71" s="132"/>
      <c r="BP71" s="132"/>
      <c r="BQ71" s="132"/>
      <c r="BR71" s="132"/>
      <c r="BS71" s="132"/>
      <c r="BT71" s="132"/>
      <c r="BU71" s="132"/>
      <c r="BV71" s="132"/>
      <c r="BW71" s="132"/>
      <c r="BX71" s="132"/>
      <c r="BY71" s="132"/>
      <c r="BZ71" s="132"/>
      <c r="CA71" s="132"/>
      <c r="CS71" s="227"/>
    </row>
    <row r="72" spans="2:97" ht="13.2">
      <c r="B72" s="534"/>
      <c r="C72" s="102"/>
      <c r="D72" s="36"/>
      <c r="E72" s="533" t="s">
        <v>47</v>
      </c>
      <c r="F72" s="103" t="s">
        <v>48</v>
      </c>
      <c r="H72" s="364" t="s">
        <v>488</v>
      </c>
      <c r="I72" s="364" t="s">
        <v>487</v>
      </c>
      <c r="J72" s="364" t="s">
        <v>486</v>
      </c>
      <c r="L72" s="365"/>
      <c r="M72" s="570"/>
      <c r="N72" s="365"/>
      <c r="O72" s="368"/>
      <c r="P72" s="365"/>
      <c r="Q72" s="365"/>
      <c r="R72" s="365"/>
      <c r="S72" s="227"/>
      <c r="T72" s="351"/>
      <c r="BM72" s="227"/>
      <c r="BO72" s="132"/>
      <c r="BP72" s="132"/>
      <c r="BQ72" s="132"/>
      <c r="BR72" s="132"/>
      <c r="BS72" s="132"/>
      <c r="BT72" s="132"/>
      <c r="BU72" s="132"/>
      <c r="BV72" s="132"/>
      <c r="BW72" s="132"/>
      <c r="BX72" s="132"/>
      <c r="BY72" s="132"/>
      <c r="BZ72" s="132"/>
      <c r="CA72" s="132"/>
      <c r="CS72" s="227"/>
    </row>
    <row r="73" spans="2:97">
      <c r="B73" s="534" t="s">
        <v>560</v>
      </c>
      <c r="C73" s="104">
        <f>C7+'Forecast "True up" 1'!I26</f>
        <v>12925.377467191054</v>
      </c>
      <c r="D73" s="21">
        <f>D7</f>
        <v>9914.0902052150996</v>
      </c>
      <c r="E73" s="531">
        <f>D73-C73</f>
        <v>-3011.2872619759546</v>
      </c>
      <c r="F73" s="105">
        <f>E73/C73</f>
        <v>-0.23297480244732599</v>
      </c>
      <c r="G73" s="365"/>
      <c r="H73" s="365">
        <f>D73-C73</f>
        <v>-3011.2872619759546</v>
      </c>
      <c r="I73" s="365">
        <f>E7</f>
        <v>-3302.7193739473059</v>
      </c>
      <c r="J73" s="575">
        <f>I73-H73</f>
        <v>-291.43211197135133</v>
      </c>
      <c r="K73" s="365"/>
      <c r="L73" s="365"/>
      <c r="N73" s="365"/>
      <c r="O73" s="114"/>
      <c r="P73" s="365"/>
      <c r="Q73" s="365"/>
      <c r="R73" s="365"/>
      <c r="S73" s="227"/>
      <c r="T73" s="351"/>
      <c r="U73" s="352"/>
      <c r="BM73" s="227"/>
      <c r="BO73" s="132"/>
      <c r="BP73" s="132"/>
      <c r="BQ73" s="132"/>
      <c r="BR73" s="132"/>
      <c r="BS73" s="132"/>
      <c r="BT73" s="132"/>
      <c r="BU73" s="132"/>
      <c r="BV73" s="132"/>
      <c r="BW73" s="132"/>
      <c r="BX73" s="132"/>
      <c r="BY73" s="132"/>
      <c r="BZ73" s="132"/>
      <c r="CA73" s="132"/>
      <c r="CS73" s="227"/>
    </row>
    <row r="74" spans="2:97">
      <c r="B74" s="534" t="s">
        <v>1</v>
      </c>
      <c r="C74" s="104">
        <f>C8+'Forecast "True up" 1'!I17</f>
        <v>2399.042969154938</v>
      </c>
      <c r="D74" s="21">
        <f>D8</f>
        <v>2272.3322572437237</v>
      </c>
      <c r="E74" s="531">
        <f>D74-C74</f>
        <v>-126.71071191121428</v>
      </c>
      <c r="F74" s="105">
        <f>E74/C74</f>
        <v>-5.2817191496927658E-2</v>
      </c>
      <c r="G74" s="365"/>
      <c r="H74" s="365">
        <f>D74-C74</f>
        <v>-126.71071191121428</v>
      </c>
      <c r="I74" s="365">
        <f>E8</f>
        <v>-162.17942634903102</v>
      </c>
      <c r="J74" s="574">
        <f>I74-H74</f>
        <v>-35.468714437816743</v>
      </c>
      <c r="K74" s="365"/>
      <c r="L74" s="365"/>
      <c r="N74" s="365"/>
      <c r="O74" s="114"/>
      <c r="P74" s="365"/>
      <c r="Q74" s="365"/>
      <c r="R74" s="365"/>
      <c r="S74" s="227"/>
      <c r="T74" s="351"/>
      <c r="U74" s="352"/>
      <c r="BM74" s="227"/>
      <c r="BO74" s="132"/>
      <c r="BP74" s="132"/>
      <c r="BQ74" s="132"/>
      <c r="BR74" s="132"/>
      <c r="BS74" s="132"/>
      <c r="BT74" s="132"/>
      <c r="BU74" s="132"/>
      <c r="BV74" s="132"/>
      <c r="BW74" s="132"/>
      <c r="BX74" s="132"/>
      <c r="BY74" s="132"/>
      <c r="BZ74" s="132"/>
      <c r="CA74" s="132"/>
      <c r="CS74" s="227"/>
    </row>
    <row r="75" spans="2:97" ht="27" customHeight="1">
      <c r="B75" s="534" t="s">
        <v>555</v>
      </c>
      <c r="C75" s="104">
        <f>C9+'Forecast "True up" 1'!I9</f>
        <v>3519.5979569510228</v>
      </c>
      <c r="D75" s="21">
        <f>D9</f>
        <v>3361.1229770336031</v>
      </c>
      <c r="E75" s="531">
        <f>D75-C75</f>
        <v>-158.47497991741966</v>
      </c>
      <c r="F75" s="105">
        <f>E75/C75</f>
        <v>-4.5026443888126433E-2</v>
      </c>
      <c r="G75" s="365"/>
      <c r="H75" s="365">
        <f>D75-C75</f>
        <v>-158.47497991741966</v>
      </c>
      <c r="I75" s="365">
        <f>E9</f>
        <v>-372.13461353840285</v>
      </c>
      <c r="J75" s="573">
        <f>I75-H75</f>
        <v>-213.65963362098319</v>
      </c>
      <c r="K75" s="365"/>
      <c r="N75" s="570"/>
      <c r="O75" s="570"/>
      <c r="P75" s="570"/>
      <c r="Q75" s="570"/>
      <c r="R75" s="570"/>
      <c r="S75" s="227"/>
      <c r="T75" s="353"/>
      <c r="U75" s="352"/>
      <c r="BD75" s="1"/>
      <c r="BM75" s="227"/>
      <c r="BO75" s="132"/>
      <c r="BP75" s="132"/>
      <c r="BQ75" s="132"/>
      <c r="BR75" s="132"/>
      <c r="BS75" s="132"/>
      <c r="BT75" s="132"/>
      <c r="BU75" s="132"/>
      <c r="BV75" s="132"/>
      <c r="BW75" s="132"/>
      <c r="BX75" s="132"/>
      <c r="BY75" s="132"/>
      <c r="BZ75" s="132"/>
      <c r="CA75" s="132"/>
      <c r="CS75" s="227"/>
    </row>
    <row r="76" spans="2:97" ht="13.2" thickBot="1">
      <c r="B76" s="101" t="s">
        <v>3</v>
      </c>
      <c r="C76" s="106">
        <f>SUM(C73:C75)</f>
        <v>18844.018393297014</v>
      </c>
      <c r="D76" s="106">
        <f>SUM(D73:D75)</f>
        <v>15547.545439492427</v>
      </c>
      <c r="E76" s="107">
        <f>D76-C76</f>
        <v>-3296.4729538045867</v>
      </c>
      <c r="F76" s="108">
        <f>E76/C76</f>
        <v>-0.17493471323383825</v>
      </c>
      <c r="J76" s="572">
        <f>SUM(J73:J75)</f>
        <v>-540.56046003015126</v>
      </c>
      <c r="K76" s="569" t="s">
        <v>456</v>
      </c>
      <c r="S76" s="227"/>
      <c r="BM76" s="227"/>
      <c r="BO76" s="132"/>
      <c r="BP76" s="132"/>
      <c r="BQ76" s="132"/>
      <c r="BR76" s="132"/>
      <c r="BS76" s="132"/>
      <c r="BT76" s="132"/>
      <c r="BU76" s="132"/>
      <c r="BV76" s="132"/>
      <c r="BW76" s="132"/>
      <c r="BX76" s="132"/>
      <c r="BY76" s="132"/>
      <c r="BZ76" s="132"/>
      <c r="CA76" s="132"/>
      <c r="CS76" s="227"/>
    </row>
    <row r="77" spans="2:97" ht="13.2" thickTop="1">
      <c r="B77" s="76" t="s">
        <v>119</v>
      </c>
      <c r="S77" s="227"/>
      <c r="BM77" s="227"/>
      <c r="BO77" s="132"/>
      <c r="BP77" s="132"/>
      <c r="BQ77" s="132"/>
      <c r="BR77" s="132"/>
      <c r="BS77" s="132"/>
      <c r="BT77" s="132"/>
      <c r="BU77" s="132"/>
      <c r="BV77" s="132"/>
      <c r="BW77" s="132"/>
      <c r="BX77" s="132"/>
      <c r="BY77" s="132"/>
      <c r="BZ77" s="132"/>
      <c r="CA77" s="132"/>
      <c r="CS77" s="227"/>
    </row>
    <row r="78" spans="2:97">
      <c r="B78" s="571"/>
      <c r="S78" s="227"/>
      <c r="BM78" s="227"/>
      <c r="BO78" s="132"/>
      <c r="BP78" s="132"/>
      <c r="BQ78" s="132"/>
      <c r="BR78" s="132"/>
      <c r="BS78" s="132"/>
      <c r="BT78" s="132"/>
      <c r="BU78" s="132"/>
      <c r="BV78" s="132"/>
      <c r="BW78" s="132"/>
      <c r="BX78" s="132"/>
      <c r="BY78" s="132"/>
      <c r="BZ78" s="132"/>
      <c r="CA78" s="132"/>
      <c r="CS78" s="227"/>
    </row>
    <row r="79" spans="2:97">
      <c r="N79" s="365"/>
      <c r="O79" s="365"/>
      <c r="S79" s="227"/>
      <c r="BM79" s="227"/>
      <c r="BO79" s="132"/>
      <c r="BP79" s="132"/>
      <c r="BQ79" s="132"/>
      <c r="BR79" s="132"/>
      <c r="BS79" s="132"/>
      <c r="BT79" s="132"/>
      <c r="BU79" s="132"/>
      <c r="BV79" s="132"/>
      <c r="BW79" s="132"/>
      <c r="BX79" s="132"/>
      <c r="BY79" s="132"/>
      <c r="BZ79" s="132"/>
      <c r="CA79" s="132"/>
      <c r="CS79" s="227"/>
    </row>
    <row r="80" spans="2:97" ht="25.05" customHeight="1" thickBot="1">
      <c r="B80" s="22" t="s">
        <v>550</v>
      </c>
      <c r="H80" s="795" t="s">
        <v>552</v>
      </c>
      <c r="I80" s="881"/>
      <c r="K80" s="880" t="s">
        <v>575</v>
      </c>
      <c r="L80" s="845"/>
      <c r="N80" s="365"/>
      <c r="O80" s="365"/>
      <c r="P80" s="365"/>
      <c r="Q80" s="365"/>
      <c r="R80" s="365"/>
      <c r="S80" s="227"/>
      <c r="T80" s="351"/>
      <c r="BM80" s="227"/>
      <c r="BO80" s="132"/>
      <c r="BP80" s="132"/>
      <c r="BQ80" s="132"/>
      <c r="BR80" s="132"/>
      <c r="BS80" s="132"/>
      <c r="BT80" s="132"/>
      <c r="BU80" s="132"/>
      <c r="BV80" s="132"/>
      <c r="BW80" s="132"/>
      <c r="BX80" s="132"/>
      <c r="BY80" s="132"/>
      <c r="BZ80" s="132"/>
      <c r="CA80" s="132"/>
      <c r="CS80" s="227"/>
    </row>
    <row r="81" spans="2:97" ht="24.75" customHeight="1" thickTop="1" thickBot="1">
      <c r="B81" s="35" t="str">
        <f>B70</f>
        <v>£m, 2020-21 prices </v>
      </c>
      <c r="C81" s="876" t="s">
        <v>551</v>
      </c>
      <c r="D81" s="877"/>
      <c r="E81" s="877"/>
      <c r="F81" s="877"/>
      <c r="H81" s="881"/>
      <c r="I81" s="881"/>
      <c r="J81" s="493"/>
      <c r="K81" s="845"/>
      <c r="L81" s="845"/>
      <c r="N81" s="365"/>
      <c r="O81" s="365"/>
      <c r="P81" s="365"/>
      <c r="Q81" s="365"/>
      <c r="R81" s="365"/>
      <c r="S81" s="227"/>
      <c r="T81" s="351"/>
      <c r="BM81" s="227"/>
      <c r="BO81" s="132"/>
      <c r="BP81" s="132"/>
      <c r="BQ81" s="132"/>
      <c r="BR81" s="132"/>
      <c r="BS81" s="132"/>
      <c r="BT81" s="132"/>
      <c r="BU81" s="132"/>
      <c r="BV81" s="132"/>
      <c r="BW81" s="132"/>
      <c r="BX81" s="132"/>
      <c r="BY81" s="132"/>
      <c r="BZ81" s="693"/>
      <c r="CA81" s="132"/>
      <c r="CS81" s="227"/>
    </row>
    <row r="82" spans="2:97">
      <c r="B82" s="534"/>
      <c r="C82" s="536" t="s">
        <v>2</v>
      </c>
      <c r="D82" s="535" t="s">
        <v>4</v>
      </c>
      <c r="E82" s="870" t="s">
        <v>46</v>
      </c>
      <c r="F82" s="871"/>
      <c r="H82" s="881"/>
      <c r="I82" s="881"/>
      <c r="J82" s="493"/>
      <c r="K82" s="845"/>
      <c r="L82" s="845"/>
      <c r="N82" s="365"/>
      <c r="O82" s="365"/>
      <c r="P82" s="365"/>
      <c r="Q82" s="365"/>
      <c r="R82" s="365"/>
      <c r="S82" s="227"/>
      <c r="T82" s="351"/>
      <c r="BM82" s="227"/>
      <c r="BZ82" s="147"/>
      <c r="CS82" s="227"/>
    </row>
    <row r="83" spans="2:97" ht="13.2">
      <c r="B83" s="534"/>
      <c r="C83" s="102"/>
      <c r="D83" s="36"/>
      <c r="E83" s="533" t="s">
        <v>47</v>
      </c>
      <c r="F83" s="103" t="s">
        <v>48</v>
      </c>
      <c r="N83" s="570"/>
      <c r="O83" s="570"/>
      <c r="P83" s="570"/>
      <c r="Q83" s="570"/>
      <c r="R83" s="570"/>
      <c r="S83" s="227"/>
      <c r="T83" s="353"/>
      <c r="BM83" s="227"/>
      <c r="BZ83" s="147"/>
      <c r="CS83" s="227"/>
    </row>
    <row r="84" spans="2:97">
      <c r="B84" s="534" t="str">
        <f t="shared" ref="B84:D85" si="29">B73</f>
        <v xml:space="preserve">NGET TO </v>
      </c>
      <c r="C84" s="104">
        <f t="shared" si="29"/>
        <v>12925.377467191054</v>
      </c>
      <c r="D84" s="21">
        <f t="shared" si="29"/>
        <v>9914.0902052150996</v>
      </c>
      <c r="E84" s="531">
        <f>D84-C84</f>
        <v>-3011.2872619759546</v>
      </c>
      <c r="F84" s="105">
        <f>E84/C84</f>
        <v>-0.23297480244732599</v>
      </c>
      <c r="I84" s="147">
        <f>E84-E73</f>
        <v>0</v>
      </c>
      <c r="J84" s="147"/>
      <c r="L84" s="365">
        <f>E7-E84</f>
        <v>-291.43211197135133</v>
      </c>
      <c r="M84" s="114"/>
      <c r="S84" s="227"/>
      <c r="BM84" s="227"/>
      <c r="BZ84" s="185"/>
      <c r="CS84" s="227"/>
    </row>
    <row r="85" spans="2:97">
      <c r="B85" s="534" t="str">
        <f t="shared" si="29"/>
        <v>SPT</v>
      </c>
      <c r="C85" s="104">
        <f t="shared" si="29"/>
        <v>2399.042969154938</v>
      </c>
      <c r="D85" s="21">
        <f t="shared" si="29"/>
        <v>2272.3322572437237</v>
      </c>
      <c r="E85" s="531">
        <f>D85-C85</f>
        <v>-126.71071191121428</v>
      </c>
      <c r="F85" s="105">
        <f>E85/C85</f>
        <v>-5.2817191496927658E-2</v>
      </c>
      <c r="I85" s="147">
        <f>E85-E74</f>
        <v>0</v>
      </c>
      <c r="J85" s="147"/>
      <c r="L85" s="365">
        <f>E8-E85</f>
        <v>-35.468714437816743</v>
      </c>
      <c r="N85" s="365"/>
      <c r="O85" s="365"/>
      <c r="P85" s="365"/>
      <c r="Q85" s="365"/>
      <c r="R85" s="365"/>
      <c r="S85" s="227"/>
      <c r="T85" s="351"/>
      <c r="BM85" s="227"/>
      <c r="CS85" s="227"/>
    </row>
    <row r="86" spans="2:97">
      <c r="B86" s="534" t="s">
        <v>378</v>
      </c>
      <c r="C86" s="104">
        <f>BG34+'[12]Forecast "True up" 1'!I9</f>
        <v>3454.8657755717832</v>
      </c>
      <c r="D86" s="21">
        <f>D75</f>
        <v>3361.1229770336031</v>
      </c>
      <c r="E86" s="531">
        <f>D86-C86</f>
        <v>-93.742798538180068</v>
      </c>
      <c r="F86" s="105">
        <f>E86/C86</f>
        <v>-2.7133557315310045E-2</v>
      </c>
      <c r="I86" s="147">
        <f>E86-E75</f>
        <v>64.732181379239591</v>
      </c>
      <c r="J86" s="569" t="s">
        <v>456</v>
      </c>
      <c r="L86" s="365">
        <f>E9-E86</f>
        <v>-278.39181500022278</v>
      </c>
      <c r="M86" s="569" t="s">
        <v>456</v>
      </c>
      <c r="S86" s="227"/>
      <c r="BM86" s="227"/>
      <c r="CS86" s="227"/>
    </row>
    <row r="87" spans="2:97" ht="13.2" thickBot="1">
      <c r="B87" s="101" t="s">
        <v>3</v>
      </c>
      <c r="C87" s="106">
        <f>SUM(C84:C86)</f>
        <v>18779.286211917773</v>
      </c>
      <c r="D87" s="106">
        <f>SUM(D84:D86)</f>
        <v>15547.545439492427</v>
      </c>
      <c r="E87" s="107">
        <f>D87-C87</f>
        <v>-3231.7407724253462</v>
      </c>
      <c r="F87" s="108">
        <f>E87/C87</f>
        <v>-0.17209071398967274</v>
      </c>
      <c r="J87" s="569"/>
      <c r="S87" s="227"/>
      <c r="BM87" s="227"/>
      <c r="CS87" s="227"/>
    </row>
    <row r="88" spans="2:97" ht="13.2" thickTop="1">
      <c r="B88" s="76" t="s">
        <v>232</v>
      </c>
      <c r="J88" s="569"/>
      <c r="N88" s="365"/>
      <c r="O88" s="365"/>
      <c r="P88" s="365"/>
      <c r="Q88" s="365"/>
      <c r="R88" s="365"/>
      <c r="S88" s="227"/>
      <c r="T88" s="351"/>
      <c r="BM88" s="227"/>
      <c r="CS88" s="227"/>
    </row>
    <row r="89" spans="2:97">
      <c r="B89" s="76"/>
      <c r="J89" s="569"/>
      <c r="N89" s="365"/>
      <c r="O89" s="365"/>
      <c r="P89" s="365"/>
      <c r="Q89" s="365"/>
      <c r="R89" s="365"/>
      <c r="S89" s="227"/>
      <c r="T89" s="351"/>
      <c r="BM89" s="227"/>
      <c r="CS89" s="227"/>
    </row>
    <row r="90" spans="2:97">
      <c r="B90" s="76"/>
      <c r="J90" s="569"/>
      <c r="N90" s="365"/>
      <c r="O90" s="365"/>
      <c r="P90" s="365"/>
      <c r="Q90" s="365"/>
      <c r="R90" s="365"/>
      <c r="S90" s="227"/>
      <c r="T90" s="351"/>
      <c r="BM90" s="227"/>
      <c r="CS90" s="227"/>
    </row>
    <row r="91" spans="2:97" ht="13.2" thickBot="1">
      <c r="B91" s="22" t="s">
        <v>553</v>
      </c>
      <c r="J91" s="569"/>
      <c r="K91" s="880" t="s">
        <v>574</v>
      </c>
      <c r="L91" s="845"/>
      <c r="N91" s="570"/>
      <c r="O91" s="570"/>
      <c r="P91" s="570"/>
      <c r="Q91" s="570"/>
      <c r="R91" s="570"/>
      <c r="S91" s="227"/>
      <c r="T91" s="353"/>
      <c r="BM91" s="227"/>
      <c r="CS91" s="227"/>
    </row>
    <row r="92" spans="2:97" ht="34.049999999999997" customHeight="1" thickTop="1" thickBot="1">
      <c r="B92" s="35" t="str">
        <f>B81</f>
        <v>£m, 2020-21 prices </v>
      </c>
      <c r="C92" s="876" t="s">
        <v>554</v>
      </c>
      <c r="D92" s="877"/>
      <c r="E92" s="877"/>
      <c r="F92" s="877"/>
      <c r="H92" s="880" t="s">
        <v>573</v>
      </c>
      <c r="I92" s="845"/>
      <c r="J92" s="569"/>
      <c r="K92" s="845"/>
      <c r="L92" s="845"/>
      <c r="P92" s="365"/>
      <c r="Q92" s="365"/>
      <c r="R92" s="365"/>
      <c r="S92" s="227"/>
      <c r="BM92" s="227"/>
      <c r="CS92" s="227"/>
    </row>
    <row r="93" spans="2:97">
      <c r="B93" s="534"/>
      <c r="C93" s="536" t="s">
        <v>2</v>
      </c>
      <c r="D93" s="535" t="s">
        <v>4</v>
      </c>
      <c r="E93" s="870" t="s">
        <v>46</v>
      </c>
      <c r="F93" s="871"/>
      <c r="H93" s="845"/>
      <c r="I93" s="845"/>
      <c r="J93" s="569"/>
      <c r="K93" s="845"/>
      <c r="L93" s="845"/>
      <c r="N93" s="365"/>
      <c r="O93" s="365"/>
      <c r="P93" s="365"/>
      <c r="Q93" s="365"/>
      <c r="R93" s="365"/>
      <c r="S93" s="227"/>
      <c r="T93" s="351"/>
      <c r="BM93" s="227"/>
      <c r="CS93" s="227"/>
    </row>
    <row r="94" spans="2:97" ht="13.2">
      <c r="B94" s="534"/>
      <c r="C94" s="102"/>
      <c r="D94" s="36"/>
      <c r="E94" s="533" t="s">
        <v>47</v>
      </c>
      <c r="F94" s="103" t="s">
        <v>48</v>
      </c>
      <c r="J94" s="569"/>
      <c r="N94" s="365"/>
      <c r="O94" s="365"/>
      <c r="P94" s="365"/>
      <c r="Q94" s="365"/>
      <c r="R94" s="365"/>
      <c r="S94" s="227"/>
      <c r="T94" s="351"/>
      <c r="BM94" s="227"/>
      <c r="CS94" s="227"/>
    </row>
    <row r="95" spans="2:97">
      <c r="B95" s="534" t="str">
        <f>B73</f>
        <v xml:space="preserve">NGET TO </v>
      </c>
      <c r="C95" s="104">
        <f>C7</f>
        <v>13216.809579162405</v>
      </c>
      <c r="D95" s="104">
        <f>D7</f>
        <v>9914.0902052150996</v>
      </c>
      <c r="E95" s="531">
        <f>D95-C95</f>
        <v>-3302.7193739473059</v>
      </c>
      <c r="F95" s="105">
        <f>E95/C95</f>
        <v>-0.24988779282667176</v>
      </c>
      <c r="I95" s="147">
        <f>E95-E7</f>
        <v>0</v>
      </c>
      <c r="J95" s="569"/>
      <c r="L95" s="365">
        <f>E95-E84</f>
        <v>-291.43211197135133</v>
      </c>
      <c r="N95" s="365"/>
      <c r="O95" s="365"/>
      <c r="P95" s="365"/>
      <c r="Q95" s="365"/>
      <c r="R95" s="365"/>
      <c r="S95" s="227"/>
      <c r="T95" s="351"/>
      <c r="BM95" s="227"/>
      <c r="CS95" s="227"/>
    </row>
    <row r="96" spans="2:97">
      <c r="B96" s="534" t="str">
        <f>B74</f>
        <v>SPT</v>
      </c>
      <c r="C96" s="104">
        <f>C8</f>
        <v>2434.5116835927547</v>
      </c>
      <c r="D96" s="104">
        <f>D8</f>
        <v>2272.3322572437237</v>
      </c>
      <c r="E96" s="531">
        <f>D96-C96</f>
        <v>-162.17942634903102</v>
      </c>
      <c r="F96" s="105">
        <f>E96/C96</f>
        <v>-6.6616819891245349E-2</v>
      </c>
      <c r="I96" s="147">
        <f>E96-E8</f>
        <v>0</v>
      </c>
      <c r="J96" s="569"/>
      <c r="L96" s="365">
        <f>E96-E85</f>
        <v>-35.468714437816743</v>
      </c>
      <c r="N96" s="570"/>
      <c r="O96" s="570"/>
      <c r="P96" s="570"/>
      <c r="Q96" s="570"/>
      <c r="R96" s="570"/>
      <c r="S96" s="227"/>
      <c r="T96" s="353"/>
      <c r="BM96" s="227"/>
      <c r="CS96" s="227"/>
    </row>
    <row r="97" spans="2:97">
      <c r="B97" s="534" t="s">
        <v>378</v>
      </c>
      <c r="C97" s="104">
        <f>L66</f>
        <v>3668.5254091927663</v>
      </c>
      <c r="D97" s="21">
        <f>D9</f>
        <v>3361.1229770336031</v>
      </c>
      <c r="E97" s="531">
        <f>D97-C97</f>
        <v>-307.40243215916325</v>
      </c>
      <c r="F97" s="105">
        <f>E97/C97</f>
        <v>-8.3794549000222152E-2</v>
      </c>
      <c r="I97" s="147">
        <f>E97-E9</f>
        <v>64.732181379239591</v>
      </c>
      <c r="J97" s="569" t="s">
        <v>456</v>
      </c>
      <c r="L97" s="365">
        <f>E97-E86</f>
        <v>-213.65963362098319</v>
      </c>
      <c r="M97" s="569" t="s">
        <v>456</v>
      </c>
      <c r="S97" s="227"/>
      <c r="BM97" s="227"/>
      <c r="CS97" s="227"/>
    </row>
    <row r="98" spans="2:97" ht="13.2" thickBot="1">
      <c r="B98" s="101" t="s">
        <v>3</v>
      </c>
      <c r="C98" s="106">
        <f>SUM(C95:C97)</f>
        <v>19319.846671947926</v>
      </c>
      <c r="D98" s="106">
        <f>SUM(D95:D97)</f>
        <v>15547.545439492427</v>
      </c>
      <c r="E98" s="107">
        <f>D98-C98</f>
        <v>-3772.3012324554984</v>
      </c>
      <c r="F98" s="108">
        <f>E98/C98</f>
        <v>-0.19525523657145855</v>
      </c>
      <c r="L98" s="365"/>
      <c r="S98" s="227"/>
      <c r="BM98" s="227"/>
      <c r="CS98" s="227"/>
    </row>
    <row r="99" spans="2:97" ht="13.2" thickTop="1">
      <c r="B99" s="76" t="s">
        <v>232</v>
      </c>
      <c r="F99" s="678" t="s">
        <v>599</v>
      </c>
      <c r="N99" s="126"/>
      <c r="O99" s="126"/>
      <c r="S99" s="227"/>
      <c r="BM99" s="227"/>
      <c r="CS99" s="227"/>
    </row>
    <row r="100" spans="2:97">
      <c r="B100" s="76"/>
      <c r="N100" s="126"/>
      <c r="O100" s="126"/>
      <c r="S100" s="227"/>
      <c r="BM100" s="227"/>
      <c r="CS100" s="227"/>
    </row>
    <row r="101" spans="2:97">
      <c r="B101" s="76"/>
      <c r="N101" s="126"/>
      <c r="O101" s="126"/>
      <c r="S101" s="227"/>
      <c r="BM101" s="227"/>
      <c r="CS101" s="227"/>
    </row>
    <row r="102" spans="2:97" ht="13.2" thickBot="1">
      <c r="B102" s="22" t="s">
        <v>562</v>
      </c>
      <c r="S102" s="227"/>
      <c r="BM102" s="227"/>
      <c r="CS102" s="227"/>
    </row>
    <row r="103" spans="2:97" ht="43.95" customHeight="1" thickTop="1" thickBot="1">
      <c r="B103" s="35" t="str">
        <f>B92</f>
        <v>£m, 2020-21 prices </v>
      </c>
      <c r="C103" s="876" t="s">
        <v>559</v>
      </c>
      <c r="D103" s="877"/>
      <c r="E103" s="877"/>
      <c r="F103" s="877"/>
      <c r="H103" s="880" t="s">
        <v>556</v>
      </c>
      <c r="I103" s="845"/>
      <c r="J103" s="845"/>
      <c r="S103" s="227"/>
      <c r="BM103" s="227"/>
      <c r="CS103" s="227"/>
    </row>
    <row r="104" spans="2:97">
      <c r="B104" s="534"/>
      <c r="C104" s="536" t="s">
        <v>2</v>
      </c>
      <c r="D104" s="535" t="s">
        <v>4</v>
      </c>
      <c r="E104" s="870" t="s">
        <v>46</v>
      </c>
      <c r="F104" s="871"/>
      <c r="J104" s="493"/>
      <c r="S104" s="227"/>
      <c r="BM104" s="227"/>
      <c r="CS104" s="227"/>
    </row>
    <row r="105" spans="2:97" ht="13.2">
      <c r="B105" s="534"/>
      <c r="C105" s="102"/>
      <c r="D105" s="36"/>
      <c r="E105" s="533" t="s">
        <v>47</v>
      </c>
      <c r="F105" s="103" t="s">
        <v>48</v>
      </c>
      <c r="S105" s="227"/>
      <c r="BM105" s="227"/>
      <c r="CS105" s="227"/>
    </row>
    <row r="106" spans="2:97" ht="22.8">
      <c r="B106" s="534" t="s">
        <v>561</v>
      </c>
      <c r="C106" s="104">
        <f>C73-88.1</f>
        <v>12837.277467191054</v>
      </c>
      <c r="D106" s="104">
        <f>D73</f>
        <v>9914.0902052150996</v>
      </c>
      <c r="E106" s="531">
        <f>D106-C106</f>
        <v>-2923.1872619759542</v>
      </c>
      <c r="F106" s="105">
        <f>E106/C106</f>
        <v>-0.2277108420727765</v>
      </c>
      <c r="G106" s="365"/>
      <c r="I106" s="147">
        <f>E106-E73</f>
        <v>88.100000000000364</v>
      </c>
      <c r="J106" s="147"/>
      <c r="S106" s="227"/>
      <c r="BM106" s="227"/>
      <c r="CS106" s="227"/>
    </row>
    <row r="107" spans="2:97">
      <c r="B107" s="534" t="s">
        <v>1</v>
      </c>
      <c r="C107" s="104">
        <f>C74</f>
        <v>2399.042969154938</v>
      </c>
      <c r="D107" s="104">
        <f>D74</f>
        <v>2272.3322572437237</v>
      </c>
      <c r="E107" s="531">
        <f>D107-C107</f>
        <v>-126.71071191121428</v>
      </c>
      <c r="F107" s="105">
        <f>E107/C107</f>
        <v>-5.2817191496927658E-2</v>
      </c>
      <c r="I107" s="147">
        <f>E107-E74</f>
        <v>0</v>
      </c>
      <c r="J107" s="147"/>
      <c r="S107" s="227"/>
      <c r="BM107" s="227"/>
      <c r="CS107" s="227"/>
    </row>
    <row r="108" spans="2:97">
      <c r="B108" s="534" t="s">
        <v>378</v>
      </c>
      <c r="C108" s="104">
        <f>C75</f>
        <v>3519.5979569510228</v>
      </c>
      <c r="D108" s="104">
        <f>D75</f>
        <v>3361.1229770336031</v>
      </c>
      <c r="E108" s="531">
        <f>D108-C108</f>
        <v>-158.47497991741966</v>
      </c>
      <c r="F108" s="105">
        <f>E108/C108</f>
        <v>-4.5026443888126433E-2</v>
      </c>
      <c r="I108" s="147">
        <f>E108-E75</f>
        <v>0</v>
      </c>
      <c r="J108" s="147"/>
      <c r="S108" s="227"/>
      <c r="BM108" s="227"/>
      <c r="CS108" s="227"/>
    </row>
    <row r="109" spans="2:97" ht="13.2" thickBot="1">
      <c r="B109" s="101" t="s">
        <v>3</v>
      </c>
      <c r="C109" s="106">
        <f>SUM(C106:C108)</f>
        <v>18755.918393297015</v>
      </c>
      <c r="D109" s="106">
        <f>SUM(D106:D108)</f>
        <v>15547.545439492427</v>
      </c>
      <c r="E109" s="107">
        <f>D109-C109</f>
        <v>-3208.3729538045882</v>
      </c>
      <c r="F109" s="108">
        <f>E109/C109</f>
        <v>-0.17105922976030838</v>
      </c>
      <c r="S109" s="227"/>
      <c r="BM109" s="227"/>
      <c r="CS109" s="227"/>
    </row>
    <row r="110" spans="2:97" ht="13.2" thickTop="1">
      <c r="B110" s="76" t="s">
        <v>232</v>
      </c>
      <c r="S110" s="227"/>
      <c r="BM110" s="227"/>
      <c r="CS110" s="227"/>
    </row>
    <row r="111" spans="2:97">
      <c r="B111" s="76"/>
      <c r="S111" s="227"/>
      <c r="BM111" s="227"/>
      <c r="CS111" s="227"/>
    </row>
    <row r="112" spans="2:97">
      <c r="B112" s="76"/>
      <c r="S112" s="227"/>
      <c r="BM112" s="227"/>
      <c r="CS112" s="227"/>
    </row>
    <row r="113" spans="2:97" ht="13.2" thickBot="1">
      <c r="B113" s="22" t="s">
        <v>563</v>
      </c>
      <c r="S113" s="227"/>
      <c r="BM113" s="227"/>
      <c r="CS113" s="227"/>
    </row>
    <row r="114" spans="2:97" ht="33" customHeight="1" thickTop="1" thickBot="1">
      <c r="B114" s="35" t="str">
        <f>B103</f>
        <v>£m, 2020-21 prices </v>
      </c>
      <c r="C114" s="876" t="s">
        <v>559</v>
      </c>
      <c r="D114" s="877"/>
      <c r="E114" s="877"/>
      <c r="F114" s="877"/>
      <c r="H114" s="880" t="s">
        <v>557</v>
      </c>
      <c r="I114" s="845"/>
      <c r="J114" s="845"/>
      <c r="L114" s="882" t="s">
        <v>519</v>
      </c>
      <c r="M114" s="883"/>
      <c r="N114" s="883"/>
      <c r="O114" s="884"/>
      <c r="S114" s="227"/>
      <c r="BM114" s="227"/>
      <c r="CS114" s="227"/>
    </row>
    <row r="115" spans="2:97" ht="16.95" customHeight="1">
      <c r="B115" s="534"/>
      <c r="C115" s="536" t="s">
        <v>2</v>
      </c>
      <c r="D115" s="535" t="s">
        <v>4</v>
      </c>
      <c r="E115" s="870" t="s">
        <v>46</v>
      </c>
      <c r="F115" s="871"/>
      <c r="J115" s="493"/>
      <c r="L115" s="885"/>
      <c r="M115" s="881"/>
      <c r="N115" s="881"/>
      <c r="O115" s="843"/>
      <c r="S115" s="227"/>
      <c r="BM115" s="227"/>
      <c r="CS115" s="227"/>
    </row>
    <row r="116" spans="2:97" ht="13.2">
      <c r="B116" s="534"/>
      <c r="C116" s="102"/>
      <c r="D116" s="36"/>
      <c r="E116" s="533" t="s">
        <v>47</v>
      </c>
      <c r="F116" s="103" t="s">
        <v>48</v>
      </c>
      <c r="L116" s="885"/>
      <c r="M116" s="881"/>
      <c r="N116" s="881"/>
      <c r="O116" s="843"/>
      <c r="S116" s="227"/>
      <c r="BM116" s="227"/>
      <c r="CS116" s="227"/>
    </row>
    <row r="117" spans="2:97">
      <c r="B117" s="534" t="s">
        <v>485</v>
      </c>
      <c r="C117" s="104">
        <f>C84-82</f>
        <v>12843.377467191054</v>
      </c>
      <c r="D117" s="104">
        <f>D84</f>
        <v>9914.0902052150996</v>
      </c>
      <c r="E117" s="531">
        <f>D117-C117</f>
        <v>-2929.2872619759546</v>
      </c>
      <c r="F117" s="105">
        <f>E117/C117</f>
        <v>-0.22807764308562462</v>
      </c>
      <c r="G117" s="676">
        <f>E117*(1-G7)</f>
        <v>-1555.7444648354297</v>
      </c>
      <c r="I117" s="147">
        <f>E117-E73</f>
        <v>82</v>
      </c>
      <c r="J117" s="147"/>
      <c r="L117" s="885"/>
      <c r="M117" s="881"/>
      <c r="N117" s="881"/>
      <c r="O117" s="843"/>
      <c r="S117" s="227"/>
      <c r="BM117" s="227"/>
      <c r="CS117" s="227"/>
    </row>
    <row r="118" spans="2:97">
      <c r="B118" s="534" t="s">
        <v>1</v>
      </c>
      <c r="C118" s="104">
        <f>C107</f>
        <v>2399.042969154938</v>
      </c>
      <c r="D118" s="104">
        <f>D107</f>
        <v>2272.3322572437237</v>
      </c>
      <c r="E118" s="531">
        <f>D118-C118</f>
        <v>-126.71071191121428</v>
      </c>
      <c r="F118" s="105">
        <f>E118/C118</f>
        <v>-5.2817191496927658E-2</v>
      </c>
      <c r="G118" s="676">
        <f>E118*(1-G8)</f>
        <v>-63.355355955607138</v>
      </c>
      <c r="I118" s="147">
        <f>E118-E74</f>
        <v>0</v>
      </c>
      <c r="J118" s="147"/>
      <c r="L118" s="885"/>
      <c r="M118" s="881"/>
      <c r="N118" s="881"/>
      <c r="O118" s="843"/>
      <c r="S118" s="227"/>
      <c r="BM118" s="227"/>
      <c r="CS118" s="227"/>
    </row>
    <row r="119" spans="2:97" ht="13.2" thickBot="1">
      <c r="B119" s="534" t="s">
        <v>378</v>
      </c>
      <c r="C119" s="104">
        <f>C108</f>
        <v>3519.5979569510228</v>
      </c>
      <c r="D119" s="104">
        <f>D108</f>
        <v>3361.1229770336031</v>
      </c>
      <c r="E119" s="531">
        <f>D119-C119</f>
        <v>-158.47497991741966</v>
      </c>
      <c r="F119" s="105">
        <f>E119/C119</f>
        <v>-4.5026443888126433E-2</v>
      </c>
      <c r="G119" s="676">
        <f>E119*(1-G9)</f>
        <v>-79.23748995870983</v>
      </c>
      <c r="I119" s="147">
        <f>E119-E75</f>
        <v>0</v>
      </c>
      <c r="J119" s="147"/>
      <c r="L119" s="886"/>
      <c r="M119" s="887"/>
      <c r="N119" s="887"/>
      <c r="O119" s="888"/>
      <c r="S119" s="227"/>
      <c r="BM119" s="227"/>
      <c r="CS119" s="227"/>
    </row>
    <row r="120" spans="2:97" ht="13.2" thickBot="1">
      <c r="B120" s="101" t="s">
        <v>3</v>
      </c>
      <c r="C120" s="106">
        <f>SUM(C117:C119)</f>
        <v>18762.018393297014</v>
      </c>
      <c r="D120" s="106">
        <f>SUM(D117:D119)</f>
        <v>15547.545439492427</v>
      </c>
      <c r="E120" s="107">
        <f>D120-C120</f>
        <v>-3214.4729538045867</v>
      </c>
      <c r="F120" s="108">
        <f>E120/C120</f>
        <v>-0.17132873907388349</v>
      </c>
      <c r="G120" s="676">
        <f>E120*(1-G10)</f>
        <v>-3214.4729538045867</v>
      </c>
      <c r="S120" s="227"/>
      <c r="BM120" s="227"/>
      <c r="CS120" s="227"/>
    </row>
    <row r="121" spans="2:97" ht="13.2" thickTop="1">
      <c r="B121" s="76" t="s">
        <v>232</v>
      </c>
      <c r="S121" s="227"/>
      <c r="BM121" s="227"/>
      <c r="CS121" s="227"/>
    </row>
    <row r="122" spans="2:97">
      <c r="B122" s="76"/>
      <c r="S122" s="227"/>
      <c r="BM122" s="227"/>
      <c r="CS122" s="227"/>
    </row>
    <row r="123" spans="2:97" s="705" customFormat="1" ht="13.2" thickBot="1">
      <c r="B123" s="22" t="s">
        <v>601</v>
      </c>
      <c r="S123" s="227"/>
      <c r="BM123" s="227"/>
      <c r="CS123" s="227"/>
    </row>
    <row r="124" spans="2:97" s="705" customFormat="1" ht="42" customHeight="1" thickTop="1" thickBot="1">
      <c r="B124" s="35"/>
      <c r="C124" s="876" t="s">
        <v>602</v>
      </c>
      <c r="D124" s="877"/>
      <c r="E124" s="877"/>
      <c r="F124" s="877"/>
      <c r="S124" s="227"/>
      <c r="BM124" s="227"/>
      <c r="CS124" s="227"/>
    </row>
    <row r="125" spans="2:97" s="705" customFormat="1" ht="14.55" customHeight="1">
      <c r="B125" s="704"/>
      <c r="C125" s="536" t="s">
        <v>2</v>
      </c>
      <c r="D125" s="706" t="s">
        <v>4</v>
      </c>
      <c r="E125" s="870" t="s">
        <v>46</v>
      </c>
      <c r="F125" s="871"/>
      <c r="S125" s="227"/>
      <c r="BM125" s="227"/>
      <c r="CS125" s="227"/>
    </row>
    <row r="126" spans="2:97" s="705" customFormat="1" ht="13.2">
      <c r="B126" s="704"/>
      <c r="C126" s="102"/>
      <c r="D126" s="36"/>
      <c r="E126" s="533" t="s">
        <v>47</v>
      </c>
      <c r="F126" s="103" t="s">
        <v>48</v>
      </c>
      <c r="S126" s="227"/>
      <c r="BM126" s="227"/>
      <c r="CS126" s="227"/>
    </row>
    <row r="127" spans="2:97" s="705" customFormat="1" ht="22.8">
      <c r="B127" s="704" t="s">
        <v>600</v>
      </c>
      <c r="C127" s="104">
        <f>C117-88.1</f>
        <v>12755.277467191054</v>
      </c>
      <c r="D127" s="104">
        <f>D7</f>
        <v>9914.0902052150996</v>
      </c>
      <c r="E127" s="531">
        <f>D127-C127</f>
        <v>-2841.1872619759542</v>
      </c>
      <c r="F127" s="105">
        <f>E127/C127</f>
        <v>-0.22274601781764578</v>
      </c>
      <c r="G127" s="676"/>
      <c r="S127" s="227"/>
      <c r="BM127" s="227"/>
      <c r="CS127" s="227"/>
    </row>
    <row r="128" spans="2:97" s="705" customFormat="1">
      <c r="B128" s="704" t="s">
        <v>1</v>
      </c>
      <c r="C128" s="104">
        <f>C118</f>
        <v>2399.042969154938</v>
      </c>
      <c r="D128" s="104">
        <f>D118</f>
        <v>2272.3322572437237</v>
      </c>
      <c r="E128" s="531">
        <f>D128-C128</f>
        <v>-126.71071191121428</v>
      </c>
      <c r="F128" s="105">
        <f>E128/C128</f>
        <v>-5.2817191496927658E-2</v>
      </c>
      <c r="G128" s="676"/>
      <c r="S128" s="227"/>
      <c r="BM128" s="227"/>
      <c r="CS128" s="227"/>
    </row>
    <row r="129" spans="1:97" s="705" customFormat="1">
      <c r="B129" s="704" t="s">
        <v>378</v>
      </c>
      <c r="C129" s="104">
        <f>C119</f>
        <v>3519.5979569510228</v>
      </c>
      <c r="D129" s="104">
        <f>D119</f>
        <v>3361.1229770336031</v>
      </c>
      <c r="E129" s="531">
        <f>D129-C129</f>
        <v>-158.47497991741966</v>
      </c>
      <c r="F129" s="105">
        <f>E129/C129</f>
        <v>-4.5026443888126433E-2</v>
      </c>
      <c r="G129" s="676"/>
      <c r="S129" s="227"/>
      <c r="BM129" s="227"/>
      <c r="CS129" s="227"/>
    </row>
    <row r="130" spans="1:97" s="705" customFormat="1" ht="13.2" thickBot="1">
      <c r="B130" s="101" t="s">
        <v>3</v>
      </c>
      <c r="C130" s="106">
        <f>SUM(C127:C129)</f>
        <v>18673.918393297015</v>
      </c>
      <c r="D130" s="106">
        <f>SUM(D127:D129)</f>
        <v>15547.545439492427</v>
      </c>
      <c r="E130" s="107">
        <f>D130-C130</f>
        <v>-3126.3729538045882</v>
      </c>
      <c r="F130" s="108">
        <f>E130/C130</f>
        <v>-0.16741922546511698</v>
      </c>
      <c r="G130" s="676"/>
      <c r="S130" s="227"/>
      <c r="BM130" s="227"/>
      <c r="CS130" s="227"/>
    </row>
    <row r="131" spans="1:97" s="705" customFormat="1" ht="13.2" thickTop="1">
      <c r="B131" s="76" t="s">
        <v>232</v>
      </c>
      <c r="S131" s="227"/>
      <c r="BM131" s="227"/>
      <c r="CS131" s="227"/>
    </row>
    <row r="132" spans="1:97" s="705" customFormat="1">
      <c r="B132" s="76"/>
      <c r="S132" s="227"/>
      <c r="BM132" s="227"/>
      <c r="CS132" s="227"/>
    </row>
    <row r="133" spans="1:97">
      <c r="B133" s="76"/>
      <c r="C133" s="679"/>
      <c r="D133" s="680"/>
      <c r="E133" s="680"/>
      <c r="F133" s="681"/>
      <c r="S133" s="227"/>
      <c r="BM133" s="227"/>
      <c r="CS133" s="227"/>
    </row>
    <row r="134" spans="1:97">
      <c r="B134" s="76"/>
      <c r="C134" s="679"/>
      <c r="D134" s="680"/>
      <c r="E134" s="680"/>
      <c r="F134" s="681"/>
      <c r="S134" s="227"/>
      <c r="BM134" s="227"/>
      <c r="CS134" s="227"/>
    </row>
    <row r="135" spans="1:97">
      <c r="B135" s="568"/>
      <c r="S135" s="227"/>
      <c r="BM135" s="227"/>
      <c r="CS135" s="227"/>
    </row>
    <row r="136" spans="1:97">
      <c r="A136" s="227"/>
      <c r="B136" s="227"/>
      <c r="C136" s="227"/>
      <c r="D136" s="227"/>
      <c r="E136" s="227"/>
      <c r="F136" s="227"/>
      <c r="G136" s="227"/>
      <c r="H136" s="227"/>
      <c r="I136" s="227"/>
      <c r="J136" s="227"/>
      <c r="K136" s="227"/>
      <c r="L136" s="227"/>
      <c r="M136" s="227"/>
      <c r="N136" s="227"/>
      <c r="O136" s="227"/>
      <c r="P136" s="227"/>
      <c r="Q136" s="227"/>
      <c r="R136" s="227"/>
      <c r="S136" s="227"/>
      <c r="T136" s="227"/>
      <c r="U136" s="227"/>
      <c r="V136" s="227"/>
      <c r="W136" s="227"/>
      <c r="X136" s="227"/>
      <c r="Y136" s="227"/>
      <c r="Z136" s="227"/>
      <c r="AA136" s="227"/>
      <c r="AB136" s="227"/>
      <c r="AC136" s="227"/>
      <c r="AD136" s="227"/>
      <c r="AE136" s="227"/>
      <c r="AF136" s="227"/>
      <c r="AG136" s="227"/>
      <c r="AH136" s="227"/>
      <c r="AI136" s="227"/>
      <c r="AJ136" s="227"/>
      <c r="AK136" s="227"/>
      <c r="AL136" s="227"/>
      <c r="AM136" s="227"/>
      <c r="AN136" s="227"/>
      <c r="AO136" s="227"/>
      <c r="AP136" s="227"/>
      <c r="AQ136" s="227"/>
      <c r="AR136" s="227"/>
      <c r="AS136" s="227"/>
      <c r="AT136" s="227"/>
      <c r="AU136" s="227"/>
      <c r="AV136" s="227"/>
      <c r="AW136" s="227"/>
      <c r="AX136" s="227"/>
      <c r="AY136" s="227"/>
      <c r="AZ136" s="227"/>
      <c r="BA136" s="227"/>
      <c r="BB136" s="227"/>
      <c r="BC136" s="227"/>
      <c r="BD136" s="227"/>
      <c r="BE136" s="227"/>
      <c r="BF136" s="227"/>
      <c r="BG136" s="227"/>
      <c r="BH136" s="227"/>
      <c r="BI136" s="227"/>
      <c r="BJ136" s="227"/>
      <c r="BK136" s="227"/>
      <c r="BL136" s="227"/>
      <c r="BM136" s="227"/>
      <c r="BN136" s="227"/>
      <c r="BO136" s="227"/>
      <c r="BP136" s="227"/>
      <c r="BQ136" s="227"/>
      <c r="BR136" s="227"/>
      <c r="BS136" s="227"/>
      <c r="BT136" s="227"/>
      <c r="BU136" s="227"/>
      <c r="BV136" s="227"/>
      <c r="BW136" s="227"/>
      <c r="BX136" s="227"/>
      <c r="BY136" s="227"/>
      <c r="BZ136" s="227"/>
      <c r="CA136" s="227"/>
      <c r="CB136" s="227"/>
      <c r="CC136" s="227"/>
      <c r="CD136" s="227"/>
      <c r="CE136" s="227"/>
      <c r="CF136" s="227"/>
      <c r="CG136" s="227"/>
      <c r="CH136" s="227"/>
      <c r="CI136" s="227"/>
      <c r="CJ136" s="227"/>
      <c r="CK136" s="227"/>
      <c r="CL136" s="227"/>
      <c r="CM136" s="227"/>
      <c r="CN136" s="227"/>
      <c r="CO136" s="227"/>
      <c r="CP136" s="227"/>
      <c r="CQ136" s="227"/>
      <c r="CR136" s="227"/>
      <c r="CS136" s="227"/>
    </row>
    <row r="137" spans="1:97">
      <c r="AI137" s="227"/>
      <c r="BV137" s="240"/>
    </row>
    <row r="138" spans="1:97">
      <c r="Y138" s="1" t="s">
        <v>149</v>
      </c>
      <c r="Z138" s="23" t="s">
        <v>484</v>
      </c>
      <c r="AI138" s="227"/>
      <c r="BP138" s="1"/>
      <c r="BV138" s="240"/>
      <c r="BY138" s="1"/>
      <c r="CH138" s="1"/>
    </row>
    <row r="139" spans="1:97">
      <c r="A139" s="1" t="s">
        <v>150</v>
      </c>
      <c r="B139" s="156" t="s">
        <v>483</v>
      </c>
      <c r="AI139" s="227"/>
    </row>
    <row r="140" spans="1:97" ht="43.5" customHeight="1" thickBot="1">
      <c r="B140" s="497"/>
      <c r="Z140" s="86"/>
      <c r="AA140" s="37" t="str">
        <f>C141</f>
        <v>£ billion, 2020-21 Prices</v>
      </c>
      <c r="AD140" s="77" t="s">
        <v>121</v>
      </c>
      <c r="AE140" s="77" t="s">
        <v>137</v>
      </c>
      <c r="AF140" s="77" t="s">
        <v>348</v>
      </c>
      <c r="AG140" s="77" t="s">
        <v>472</v>
      </c>
      <c r="AH140" s="78" t="s">
        <v>122</v>
      </c>
      <c r="AI140" s="227"/>
      <c r="BP140" s="567"/>
      <c r="BQ140" s="565"/>
      <c r="BR140" s="565"/>
      <c r="BS140" s="565"/>
      <c r="BU140" s="565"/>
      <c r="BY140" s="567"/>
      <c r="BZ140" s="566"/>
      <c r="CA140" s="566"/>
      <c r="CB140" s="566"/>
      <c r="CC140" s="565"/>
      <c r="CH140" s="567"/>
      <c r="CI140" s="566"/>
      <c r="CJ140" s="566"/>
      <c r="CK140" s="566"/>
      <c r="CL140" s="565"/>
      <c r="CM140" s="565"/>
    </row>
    <row r="141" spans="1:97" ht="24.6" thickBot="1">
      <c r="B141" s="86"/>
      <c r="C141" s="37" t="s">
        <v>445</v>
      </c>
      <c r="D141" s="37"/>
      <c r="F141" s="77" t="s">
        <v>121</v>
      </c>
      <c r="G141" s="77" t="s">
        <v>137</v>
      </c>
      <c r="H141" s="77" t="s">
        <v>348</v>
      </c>
      <c r="I141" s="77" t="s">
        <v>472</v>
      </c>
      <c r="J141" s="78" t="s">
        <v>482</v>
      </c>
      <c r="M141" s="1"/>
      <c r="P141" s="564"/>
      <c r="Q141" s="564"/>
      <c r="R141" s="564"/>
      <c r="Y141" s="115"/>
      <c r="Z141" s="851" t="s">
        <v>77</v>
      </c>
      <c r="AA141" s="37" t="s">
        <v>520</v>
      </c>
      <c r="AD141" s="117">
        <f>F142</f>
        <v>4.6469837597523354</v>
      </c>
      <c r="AE141" s="117">
        <f>G142</f>
        <v>4.1465923305255039</v>
      </c>
      <c r="AF141" s="117">
        <f>H142</f>
        <v>4.0473698538124907</v>
      </c>
      <c r="AG141" s="117">
        <f>I142</f>
        <v>3.7956717837153171</v>
      </c>
      <c r="AH141" s="854"/>
      <c r="AI141" s="227"/>
      <c r="BP141" s="514"/>
      <c r="BQ141" s="513"/>
      <c r="BR141" s="513"/>
      <c r="BS141" s="513"/>
      <c r="BU141" s="513"/>
      <c r="BZ141" s="513"/>
      <c r="CA141" s="513"/>
      <c r="CB141" s="513"/>
      <c r="CC141" s="513"/>
      <c r="CI141" s="513"/>
      <c r="CJ141" s="513"/>
      <c r="CK141" s="513"/>
      <c r="CL141" s="513"/>
      <c r="CM141" s="513"/>
    </row>
    <row r="142" spans="1:97" ht="14.4" thickBot="1">
      <c r="B142" s="851" t="s">
        <v>77</v>
      </c>
      <c r="C142" s="37" t="s">
        <v>520</v>
      </c>
      <c r="D142" s="37"/>
      <c r="F142" s="117">
        <v>4.6469837597523354</v>
      </c>
      <c r="G142" s="117">
        <v>4.1465923305255039</v>
      </c>
      <c r="H142" s="117">
        <v>4.0473698538124907</v>
      </c>
      <c r="I142" s="117">
        <f>L26/1000</f>
        <v>3.7956717837153171</v>
      </c>
      <c r="J142" s="854"/>
      <c r="M142" s="1"/>
      <c r="P142" s="563"/>
      <c r="Q142" s="563"/>
      <c r="R142" s="563"/>
      <c r="Y142" s="115"/>
      <c r="Z142" s="843"/>
      <c r="AA142" s="37" t="s">
        <v>521</v>
      </c>
      <c r="AD142" s="117">
        <f>F143-($AA$55+$AB$55)/1000</f>
        <v>6.6783163556844309</v>
      </c>
      <c r="AE142" s="117">
        <f>G143-($AA$55+$AB$55)/1000</f>
        <v>6.5568679570494659</v>
      </c>
      <c r="AF142" s="117">
        <f>H143-($AA$55+$AB$55)/1000</f>
        <v>6.7123140670434207</v>
      </c>
      <c r="AG142" s="117">
        <f>I143-($AA$55+$AB$55)/1000</f>
        <v>6.7790909330269056</v>
      </c>
      <c r="AH142" s="855"/>
      <c r="AI142" s="227"/>
      <c r="BP142" s="514"/>
      <c r="BQ142" s="513"/>
      <c r="BR142" s="513"/>
      <c r="BS142" s="513"/>
      <c r="BU142" s="513"/>
      <c r="BZ142" s="513"/>
      <c r="CA142" s="513"/>
      <c r="CB142" s="513"/>
      <c r="CC142" s="513"/>
      <c r="CI142" s="513"/>
      <c r="CJ142" s="513"/>
      <c r="CK142" s="513"/>
      <c r="CL142" s="513"/>
      <c r="CM142" s="864"/>
    </row>
    <row r="143" spans="1:97" ht="14.4" thickBot="1">
      <c r="B143" s="843"/>
      <c r="C143" s="37" t="s">
        <v>521</v>
      </c>
      <c r="D143" s="37"/>
      <c r="F143" s="117">
        <v>6.2011414718863289</v>
      </c>
      <c r="G143" s="117">
        <v>6.0796930732513639</v>
      </c>
      <c r="H143" s="117">
        <v>6.2351391832453187</v>
      </c>
      <c r="I143" s="117">
        <f>L20/1000</f>
        <v>6.3019160492288036</v>
      </c>
      <c r="J143" s="855"/>
      <c r="M143" s="1"/>
      <c r="P143" s="119"/>
      <c r="Q143" s="119"/>
      <c r="R143" s="119"/>
      <c r="Y143" s="115"/>
      <c r="Z143" s="843"/>
      <c r="AA143" s="37" t="s">
        <v>155</v>
      </c>
      <c r="AD143" s="118">
        <f>AD141-AD142</f>
        <v>-2.0313325959320956</v>
      </c>
      <c r="AE143" s="118">
        <f>AE141-AE142</f>
        <v>-2.410275626523962</v>
      </c>
      <c r="AF143" s="118">
        <f>AF141-AF142</f>
        <v>-2.66494421323093</v>
      </c>
      <c r="AG143" s="118">
        <f>AG141-AG142</f>
        <v>-2.9834191493115885</v>
      </c>
      <c r="AH143" s="116">
        <f>AG143-AF143</f>
        <v>-0.31847493608065847</v>
      </c>
      <c r="AI143" s="227"/>
      <c r="BP143" s="514"/>
      <c r="BQ143" s="513"/>
      <c r="BR143" s="513"/>
      <c r="BS143" s="513"/>
      <c r="BU143" s="513"/>
      <c r="BY143" s="514"/>
      <c r="BZ143" s="253"/>
      <c r="CA143" s="253"/>
      <c r="CB143" s="253"/>
      <c r="CC143" s="253"/>
      <c r="CH143" s="514"/>
      <c r="CI143" s="253"/>
      <c r="CJ143" s="253"/>
      <c r="CK143" s="253"/>
      <c r="CL143" s="253"/>
      <c r="CM143" s="865"/>
    </row>
    <row r="144" spans="1:97" ht="14.4" thickBot="1">
      <c r="B144" s="843"/>
      <c r="C144" s="37" t="s">
        <v>155</v>
      </c>
      <c r="D144" s="37"/>
      <c r="F144" s="118">
        <f>F142-F143</f>
        <v>-1.5541577121339936</v>
      </c>
      <c r="G144" s="118">
        <f>G142-G143</f>
        <v>-1.93310074272586</v>
      </c>
      <c r="H144" s="118">
        <f>H142-H143</f>
        <v>-2.187769329432828</v>
      </c>
      <c r="I144" s="118">
        <f>I142-I143</f>
        <v>-2.5062442655134864</v>
      </c>
      <c r="J144" s="116">
        <f>I144-H144</f>
        <v>-0.31847493608065847</v>
      </c>
      <c r="M144" s="1"/>
      <c r="P144" s="119"/>
      <c r="Q144" s="119"/>
      <c r="R144" s="119"/>
      <c r="Y144" s="115"/>
      <c r="AA144" s="659"/>
      <c r="AC144" s="149" t="s">
        <v>156</v>
      </c>
      <c r="AD144" s="148">
        <f>AD143/AD142</f>
        <v>-0.30416836935301389</v>
      </c>
      <c r="AE144" s="148">
        <f>AE143/AE142</f>
        <v>-0.36759557189688552</v>
      </c>
      <c r="AF144" s="148">
        <f>AF143/AF142</f>
        <v>-0.3970231706402797</v>
      </c>
      <c r="AG144" s="148">
        <f>AG143/AG142</f>
        <v>-0.44009133064976802</v>
      </c>
      <c r="AI144" s="227"/>
      <c r="BQ144" s="562"/>
      <c r="BR144" s="562"/>
      <c r="BS144" s="562"/>
      <c r="BU144" s="562"/>
      <c r="BY144" s="561"/>
      <c r="CH144" s="561"/>
      <c r="CM144" s="562"/>
    </row>
    <row r="145" spans="2:93" ht="14.4" thickBot="1">
      <c r="E145" s="149" t="s">
        <v>156</v>
      </c>
      <c r="F145" s="148">
        <f>F144/F143</f>
        <v>-0.25062445667139949</v>
      </c>
      <c r="G145" s="148">
        <f>G144/G143</f>
        <v>-0.31796025217635787</v>
      </c>
      <c r="H145" s="148">
        <f>H144/H143</f>
        <v>-0.35087738463187262</v>
      </c>
      <c r="I145" s="148">
        <f>I144/I143</f>
        <v>-0.39769559701135465</v>
      </c>
      <c r="M145" s="1"/>
      <c r="Y145" s="115"/>
      <c r="AA145" s="659"/>
      <c r="AD145" s="119"/>
      <c r="AE145" s="119"/>
      <c r="AF145" s="119"/>
      <c r="AG145" s="119"/>
      <c r="AI145" s="227"/>
      <c r="BP145" s="514"/>
      <c r="BQ145" s="513"/>
      <c r="BR145" s="513"/>
      <c r="BS145" s="513"/>
      <c r="BU145" s="513"/>
      <c r="CH145" s="514"/>
      <c r="CI145" s="513"/>
      <c r="CJ145" s="513"/>
      <c r="CK145" s="513"/>
      <c r="CM145" s="513"/>
    </row>
    <row r="146" spans="2:93" ht="14.4" thickBot="1">
      <c r="F146" s="119"/>
      <c r="G146" s="119"/>
      <c r="H146" s="119"/>
      <c r="I146" s="119"/>
      <c r="M146" s="1"/>
      <c r="Y146" s="115"/>
      <c r="Z146" s="86"/>
      <c r="AA146" s="37" t="str">
        <f>AA140</f>
        <v>£ billion, 2020-21 Prices</v>
      </c>
      <c r="AD146" s="118" t="s">
        <v>121</v>
      </c>
      <c r="AE146" s="118" t="s">
        <v>137</v>
      </c>
      <c r="AF146" s="118" t="s">
        <v>348</v>
      </c>
      <c r="AG146" s="118" t="s">
        <v>472</v>
      </c>
      <c r="AH146" s="78" t="s">
        <v>122</v>
      </c>
      <c r="AI146" s="227"/>
      <c r="BP146" s="514"/>
      <c r="BQ146" s="513"/>
      <c r="BR146" s="513"/>
      <c r="BS146" s="513"/>
      <c r="BU146" s="513"/>
      <c r="CH146" s="866"/>
      <c r="CI146" s="849"/>
      <c r="CJ146" s="849"/>
      <c r="CK146" s="849"/>
      <c r="CM146" s="864"/>
    </row>
    <row r="147" spans="2:93" ht="14.25" customHeight="1" thickBot="1">
      <c r="B147" s="86"/>
      <c r="C147" s="37" t="str">
        <f>C141</f>
        <v>£ billion, 2020-21 Prices</v>
      </c>
      <c r="D147" s="37"/>
      <c r="F147" s="118" t="s">
        <v>121</v>
      </c>
      <c r="G147" s="118" t="s">
        <v>137</v>
      </c>
      <c r="H147" s="118" t="str">
        <f>H141</f>
        <v>RRP 20</v>
      </c>
      <c r="I147" s="118" t="str">
        <f>I141</f>
        <v>RRP 21</v>
      </c>
      <c r="J147" s="78" t="s">
        <v>122</v>
      </c>
      <c r="M147" s="1"/>
      <c r="Y147" s="115"/>
      <c r="Z147" s="851" t="s">
        <v>136</v>
      </c>
      <c r="AA147" s="37" t="s">
        <v>520</v>
      </c>
      <c r="AD147" s="117">
        <f>F148</f>
        <v>3.4314875223642387</v>
      </c>
      <c r="AE147" s="117">
        <f>G148</f>
        <v>3.4259555050867743</v>
      </c>
      <c r="AF147" s="117">
        <f>H148</f>
        <v>3.2827831375114402</v>
      </c>
      <c r="AG147" s="117">
        <f>I148</f>
        <v>3.3394694726636662</v>
      </c>
      <c r="AH147" s="854"/>
      <c r="AI147" s="227"/>
      <c r="BP147" s="514"/>
      <c r="BQ147" s="513"/>
      <c r="BR147" s="260"/>
      <c r="BS147" s="260"/>
      <c r="BU147" s="260"/>
      <c r="CH147" s="849"/>
      <c r="CI147" s="849"/>
      <c r="CJ147" s="849"/>
      <c r="CK147" s="849"/>
      <c r="CM147" s="865"/>
    </row>
    <row r="148" spans="2:93" ht="18" customHeight="1" thickBot="1">
      <c r="B148" s="851" t="s">
        <v>136</v>
      </c>
      <c r="C148" s="37" t="s">
        <v>520</v>
      </c>
      <c r="D148" s="37"/>
      <c r="F148" s="117">
        <v>3.4314875223642387</v>
      </c>
      <c r="G148" s="117">
        <v>3.4259555050867743</v>
      </c>
      <c r="H148" s="117">
        <v>3.2827831375114402</v>
      </c>
      <c r="I148" s="117">
        <f>L25/1000</f>
        <v>3.3394694726636662</v>
      </c>
      <c r="J148" s="854"/>
      <c r="M148" s="1"/>
      <c r="Y148" s="115"/>
      <c r="Z148" s="843"/>
      <c r="AA148" s="37" t="s">
        <v>521</v>
      </c>
      <c r="AD148" s="117">
        <f>F149-($AA$56+$AB$56)/1000</f>
        <v>4.2185390692304212</v>
      </c>
      <c r="AE148" s="117">
        <f>G149-($AA$56+$AB$56)/1000</f>
        <v>4.7946771436536855</v>
      </c>
      <c r="AF148" s="117">
        <f>H149-($AA$56+$AB$56)/1000</f>
        <v>4.4581228720598531</v>
      </c>
      <c r="AG148" s="117">
        <f>I149-($AA$56+$AB$56)/1000</f>
        <v>4.6590506421253837</v>
      </c>
      <c r="AH148" s="855"/>
      <c r="AI148" s="227"/>
      <c r="BQ148" s="562"/>
      <c r="BR148" s="562"/>
      <c r="BS148" s="562"/>
      <c r="BU148" s="562"/>
      <c r="CI148" s="147"/>
      <c r="CJ148" s="562"/>
      <c r="CK148" s="147"/>
      <c r="CM148" s="562"/>
    </row>
    <row r="149" spans="2:93" ht="14.4" thickBot="1">
      <c r="B149" s="843"/>
      <c r="C149" s="37" t="s">
        <v>521</v>
      </c>
      <c r="D149" s="37"/>
      <c r="F149" s="117">
        <v>4.0413026838196977</v>
      </c>
      <c r="G149" s="117">
        <v>4.617440758242962</v>
      </c>
      <c r="H149" s="117">
        <v>4.2808864866491296</v>
      </c>
      <c r="I149" s="117">
        <f>L19/1000</f>
        <v>4.4818142567146602</v>
      </c>
      <c r="J149" s="855"/>
      <c r="M149" s="1"/>
      <c r="Y149" s="115"/>
      <c r="Z149" s="843"/>
      <c r="AA149" s="37" t="s">
        <v>155</v>
      </c>
      <c r="AD149" s="118">
        <f>AD147-AD148</f>
        <v>-0.78705154686618251</v>
      </c>
      <c r="AE149" s="118">
        <f>AE147-AE148</f>
        <v>-1.3687216385669112</v>
      </c>
      <c r="AF149" s="118">
        <f>AF147-AF148</f>
        <v>-1.1753397345484129</v>
      </c>
      <c r="AG149" s="118">
        <f>AG147-AG148</f>
        <v>-1.3195811694617174</v>
      </c>
      <c r="AH149" s="120">
        <f>AG149-AF149</f>
        <v>-0.14424143491330454</v>
      </c>
      <c r="AI149" s="227"/>
      <c r="BP149" s="514"/>
      <c r="BQ149" s="253"/>
      <c r="BR149" s="253"/>
      <c r="BS149" s="253"/>
      <c r="BU149" s="253"/>
      <c r="CI149" s="253"/>
      <c r="CJ149" s="253"/>
      <c r="CK149" s="253"/>
      <c r="CM149" s="254"/>
      <c r="CO149" s="147"/>
    </row>
    <row r="150" spans="2:93" ht="14.4" thickBot="1">
      <c r="B150" s="843"/>
      <c r="C150" s="37" t="s">
        <v>155</v>
      </c>
      <c r="D150" s="37"/>
      <c r="F150" s="118">
        <f>F148-F149</f>
        <v>-0.609815161455459</v>
      </c>
      <c r="G150" s="118">
        <f>G148-G149</f>
        <v>-1.1914852531561877</v>
      </c>
      <c r="H150" s="118">
        <f>H148-H149</f>
        <v>-0.99810334913768939</v>
      </c>
      <c r="I150" s="118">
        <f>I148-I149</f>
        <v>-1.1423447840509939</v>
      </c>
      <c r="J150" s="120">
        <f>I150-H150</f>
        <v>-0.14424143491330454</v>
      </c>
      <c r="L150" s="662"/>
      <c r="M150" s="1"/>
      <c r="Y150" s="115"/>
      <c r="AA150" s="659"/>
      <c r="AC150" s="149" t="s">
        <v>156</v>
      </c>
      <c r="AD150" s="148">
        <f>AD149/AD148</f>
        <v>-0.18656969485167352</v>
      </c>
      <c r="AE150" s="148">
        <f>AE149/AE148</f>
        <v>-0.28546690372647382</v>
      </c>
      <c r="AF150" s="148">
        <f>AF149/AF148</f>
        <v>-0.2636400494734128</v>
      </c>
      <c r="AG150" s="148">
        <f>AG149/AG148</f>
        <v>-0.28322962569467713</v>
      </c>
      <c r="AH150" s="114"/>
      <c r="AI150" s="227"/>
      <c r="BP150" s="561"/>
      <c r="BY150" s="1"/>
      <c r="CH150" s="561"/>
    </row>
    <row r="151" spans="2:93" ht="13.2" thickBot="1">
      <c r="E151" s="149" t="s">
        <v>156</v>
      </c>
      <c r="F151" s="148">
        <f>F150/F149</f>
        <v>-0.15089569110895773</v>
      </c>
      <c r="G151" s="148">
        <f>G150/G149</f>
        <v>-0.25804018189711958</v>
      </c>
      <c r="H151" s="148">
        <f>H150/H149</f>
        <v>-0.23315342563987401</v>
      </c>
      <c r="I151" s="148">
        <f>I150/I149</f>
        <v>-0.25488445495917894</v>
      </c>
      <c r="J151" s="114"/>
      <c r="M151" s="1"/>
      <c r="Y151" s="115"/>
      <c r="AA151" s="659"/>
      <c r="AD151" s="119"/>
      <c r="AE151" s="119"/>
      <c r="AF151" s="119"/>
      <c r="AG151" s="119"/>
      <c r="AH151" s="114"/>
      <c r="AI151" s="227"/>
      <c r="BY151" s="845"/>
      <c r="BZ151" s="845"/>
      <c r="CA151" s="845"/>
      <c r="CB151" s="845"/>
      <c r="CC151" s="845"/>
      <c r="CM151" s="1"/>
    </row>
    <row r="152" spans="2:93" ht="19.5" customHeight="1" thickBot="1">
      <c r="F152" s="119"/>
      <c r="G152" s="119"/>
      <c r="H152" s="119"/>
      <c r="I152" s="119"/>
      <c r="J152" s="114"/>
      <c r="M152" s="1"/>
      <c r="Y152" s="115"/>
      <c r="Z152" s="86"/>
      <c r="AA152" s="37" t="str">
        <f>AA140</f>
        <v>£ billion, 2020-21 Prices</v>
      </c>
      <c r="AD152" s="118" t="s">
        <v>121</v>
      </c>
      <c r="AE152" s="118" t="s">
        <v>137</v>
      </c>
      <c r="AF152" s="118" t="s">
        <v>348</v>
      </c>
      <c r="AG152" s="118" t="s">
        <v>472</v>
      </c>
      <c r="AH152" s="121" t="s">
        <v>122</v>
      </c>
      <c r="AI152" s="227"/>
      <c r="BP152" s="844"/>
      <c r="BQ152" s="845"/>
      <c r="BR152" s="845"/>
      <c r="BS152" s="845"/>
      <c r="BT152" s="845"/>
      <c r="BU152" s="846"/>
      <c r="BY152" s="845"/>
      <c r="BZ152" s="845"/>
      <c r="CA152" s="845"/>
      <c r="CB152" s="845"/>
      <c r="CC152" s="845"/>
      <c r="CH152" s="498"/>
      <c r="CI152" s="493"/>
      <c r="CJ152" s="493"/>
      <c r="CK152" s="493"/>
      <c r="CL152" s="493"/>
    </row>
    <row r="153" spans="2:93" ht="19.5" customHeight="1" thickBot="1">
      <c r="B153" s="86"/>
      <c r="C153" s="37" t="str">
        <f>C141</f>
        <v>£ billion, 2020-21 Prices</v>
      </c>
      <c r="D153" s="37"/>
      <c r="F153" s="118" t="s">
        <v>121</v>
      </c>
      <c r="G153" s="118" t="s">
        <v>137</v>
      </c>
      <c r="H153" s="118" t="str">
        <f>H141</f>
        <v>RRP 20</v>
      </c>
      <c r="I153" s="118" t="str">
        <f>I141</f>
        <v>RRP 21</v>
      </c>
      <c r="J153" s="121" t="s">
        <v>122</v>
      </c>
      <c r="M153" s="1"/>
      <c r="Y153" s="115"/>
      <c r="Z153" s="851" t="s">
        <v>138</v>
      </c>
      <c r="AA153" s="37" t="s">
        <v>520</v>
      </c>
      <c r="AD153" s="117">
        <f t="shared" ref="AD153:AG154" si="30">F154</f>
        <v>0.32649601581057469</v>
      </c>
      <c r="AE153" s="117">
        <f t="shared" si="30"/>
        <v>0.35750980897741613</v>
      </c>
      <c r="AF153" s="117">
        <f t="shared" si="30"/>
        <v>0.38813759776479706</v>
      </c>
      <c r="AG153" s="117">
        <f t="shared" si="30"/>
        <v>0.40766130627431313</v>
      </c>
      <c r="AH153" s="852"/>
      <c r="AI153" s="227"/>
      <c r="BP153" s="845"/>
      <c r="BQ153" s="845"/>
      <c r="BR153" s="845"/>
      <c r="BS153" s="845"/>
      <c r="BT153" s="845"/>
      <c r="BU153" s="846"/>
      <c r="BY153" s="845"/>
      <c r="BZ153" s="845"/>
      <c r="CA153" s="845"/>
      <c r="CB153" s="845"/>
      <c r="CC153" s="845"/>
      <c r="CH153" s="493"/>
      <c r="CI153" s="493"/>
      <c r="CJ153" s="493"/>
      <c r="CK153" s="493"/>
      <c r="CL153" s="493"/>
    </row>
    <row r="154" spans="2:93" ht="13.2" thickBot="1">
      <c r="B154" s="851" t="s">
        <v>138</v>
      </c>
      <c r="C154" s="37" t="s">
        <v>520</v>
      </c>
      <c r="D154" s="37"/>
      <c r="F154" s="117">
        <v>0.32649601581057469</v>
      </c>
      <c r="G154" s="117">
        <v>0.35750980897741613</v>
      </c>
      <c r="H154" s="117">
        <v>0.38813759776479706</v>
      </c>
      <c r="I154" s="117">
        <f>L27/1000</f>
        <v>0.40766130627431313</v>
      </c>
      <c r="J154" s="852"/>
      <c r="M154" s="1"/>
      <c r="Y154" s="115"/>
      <c r="Z154" s="843"/>
      <c r="AA154" s="37" t="s">
        <v>521</v>
      </c>
      <c r="AD154" s="117">
        <f t="shared" si="30"/>
        <v>0.19401182221368829</v>
      </c>
      <c r="AE154" s="117">
        <f t="shared" si="30"/>
        <v>0.19401182221368829</v>
      </c>
      <c r="AF154" s="117">
        <f t="shared" si="30"/>
        <v>0.19903421022996451</v>
      </c>
      <c r="AG154" s="117">
        <f t="shared" si="30"/>
        <v>0.20144816138313795</v>
      </c>
      <c r="AH154" s="853"/>
      <c r="AI154" s="227"/>
      <c r="BP154" s="850"/>
      <c r="BQ154" s="845"/>
      <c r="BR154" s="845"/>
      <c r="BS154" s="845"/>
      <c r="BT154" s="845"/>
      <c r="BU154" s="846"/>
      <c r="CH154" s="495"/>
      <c r="CI154" s="493"/>
      <c r="CJ154" s="493"/>
      <c r="CK154" s="493"/>
      <c r="CL154" s="493"/>
    </row>
    <row r="155" spans="2:93" ht="24.75" customHeight="1" thickBot="1">
      <c r="B155" s="843"/>
      <c r="C155" s="37" t="s">
        <v>521</v>
      </c>
      <c r="D155" s="37"/>
      <c r="F155" s="117">
        <v>0.19401182221368829</v>
      </c>
      <c r="G155" s="117">
        <v>0.19401182221368829</v>
      </c>
      <c r="H155" s="117">
        <v>0.19903421022996451</v>
      </c>
      <c r="I155" s="117">
        <f>L21/1000</f>
        <v>0.20144816138313795</v>
      </c>
      <c r="J155" s="853"/>
      <c r="M155" s="1"/>
      <c r="Y155" s="115"/>
      <c r="Z155" s="843"/>
      <c r="AA155" s="37" t="s">
        <v>155</v>
      </c>
      <c r="AD155" s="118">
        <f>AD153-AD154</f>
        <v>0.1324841935968864</v>
      </c>
      <c r="AE155" s="118">
        <f>AE153-AE154</f>
        <v>0.16349798676372784</v>
      </c>
      <c r="AF155" s="118">
        <f>AF153-AF154</f>
        <v>0.18910338753483255</v>
      </c>
      <c r="AG155" s="118">
        <f>AG153-AG154</f>
        <v>0.20621314489117518</v>
      </c>
      <c r="AH155" s="120">
        <f>AG155-AF155</f>
        <v>1.7109757356342625E-2</v>
      </c>
      <c r="AI155" s="227"/>
      <c r="BP155" s="845"/>
      <c r="BQ155" s="845"/>
      <c r="BR155" s="845"/>
      <c r="BS155" s="845"/>
      <c r="BT155" s="845"/>
      <c r="BU155" s="846"/>
      <c r="CH155" s="493"/>
      <c r="CI155" s="493"/>
      <c r="CJ155" s="493"/>
      <c r="CK155" s="493"/>
      <c r="CL155" s="493"/>
      <c r="CM155" s="1"/>
    </row>
    <row r="156" spans="2:93" ht="13.2" thickBot="1">
      <c r="B156" s="843"/>
      <c r="C156" s="37" t="s">
        <v>155</v>
      </c>
      <c r="D156" s="37"/>
      <c r="F156" s="118">
        <f>F154-F155</f>
        <v>0.1324841935968864</v>
      </c>
      <c r="G156" s="118">
        <f>G154-G155</f>
        <v>0.16349798676372784</v>
      </c>
      <c r="H156" s="118">
        <f>H154-H155</f>
        <v>0.18910338753483255</v>
      </c>
      <c r="I156" s="118">
        <f>I154-I155</f>
        <v>0.20621314489117518</v>
      </c>
      <c r="J156" s="120">
        <f>I156-H156</f>
        <v>1.7109757356342625E-2</v>
      </c>
      <c r="M156" s="1"/>
      <c r="Y156" s="115"/>
      <c r="AA156" s="659"/>
      <c r="AC156" s="149" t="s">
        <v>156</v>
      </c>
      <c r="AD156" s="148">
        <f>AD155/AD154</f>
        <v>0.68286660104127983</v>
      </c>
      <c r="AE156" s="148">
        <f>AE155/AE154</f>
        <v>0.84272177281881344</v>
      </c>
      <c r="AF156" s="148">
        <f>AF155/AF154</f>
        <v>0.95010494586002137</v>
      </c>
      <c r="AG156" s="148">
        <f>AG155/AG154</f>
        <v>1.0236536460562409</v>
      </c>
      <c r="AH156" s="114"/>
      <c r="AI156" s="227"/>
      <c r="BY156" s="841"/>
      <c r="BZ156" s="845"/>
      <c r="CA156" s="845"/>
      <c r="CB156" s="845"/>
      <c r="CC156" s="845"/>
    </row>
    <row r="157" spans="2:93" ht="24.75" customHeight="1" thickBot="1">
      <c r="E157" s="149" t="s">
        <v>156</v>
      </c>
      <c r="F157" s="148">
        <f>F156/F155</f>
        <v>0.68286660104127983</v>
      </c>
      <c r="G157" s="148">
        <f>G156/G155</f>
        <v>0.84272177281881344</v>
      </c>
      <c r="H157" s="148">
        <f>H156/H155</f>
        <v>0.95010494586002137</v>
      </c>
      <c r="I157" s="148">
        <f>I156/I155</f>
        <v>1.0236536460562409</v>
      </c>
      <c r="J157" s="114"/>
      <c r="L157" s="115"/>
      <c r="M157" s="1"/>
      <c r="Y157" s="115"/>
      <c r="AA157" s="659"/>
      <c r="AD157" s="119"/>
      <c r="AE157" s="119"/>
      <c r="AF157" s="119"/>
      <c r="AG157" s="119"/>
      <c r="AH157" s="114"/>
      <c r="AI157" s="227"/>
      <c r="BO157" s="849"/>
      <c r="BP157" s="847"/>
      <c r="BQ157" s="848"/>
      <c r="BR157" s="848"/>
      <c r="BS157" s="848"/>
      <c r="BT157" s="848"/>
      <c r="BY157" s="845"/>
      <c r="BZ157" s="845"/>
      <c r="CA157" s="845"/>
      <c r="CB157" s="845"/>
      <c r="CC157" s="845"/>
      <c r="CH157" s="1"/>
      <c r="CI157" s="499"/>
      <c r="CJ157" s="523"/>
      <c r="CK157" s="523"/>
      <c r="CL157" s="523"/>
      <c r="CM157" s="523"/>
    </row>
    <row r="158" spans="2:93" ht="13.2" thickBot="1">
      <c r="F158" s="119"/>
      <c r="G158" s="119"/>
      <c r="H158" s="119"/>
      <c r="I158" s="119"/>
      <c r="J158" s="114"/>
      <c r="L158" s="115"/>
      <c r="M158" s="1"/>
      <c r="T158" s="115"/>
      <c r="Y158" s="115"/>
      <c r="Z158" s="86"/>
      <c r="AA158" s="37" t="str">
        <f>AA140</f>
        <v>£ billion, 2020-21 Prices</v>
      </c>
      <c r="AD158" s="118" t="s">
        <v>121</v>
      </c>
      <c r="AE158" s="118" t="s">
        <v>137</v>
      </c>
      <c r="AF158" s="118" t="s">
        <v>348</v>
      </c>
      <c r="AG158" s="118" t="s">
        <v>472</v>
      </c>
      <c r="AH158" s="121" t="s">
        <v>122</v>
      </c>
      <c r="AI158" s="227"/>
      <c r="BO158" s="849"/>
      <c r="BP158" s="848"/>
      <c r="BQ158" s="848"/>
      <c r="BR158" s="848"/>
      <c r="BS158" s="848"/>
      <c r="BT158" s="848"/>
      <c r="CH158" s="1"/>
      <c r="CI158" s="523"/>
      <c r="CJ158" s="523"/>
      <c r="CK158" s="523"/>
      <c r="CL158" s="523"/>
      <c r="CM158" s="523"/>
    </row>
    <row r="159" spans="2:93" ht="13.2" thickBot="1">
      <c r="B159" s="86"/>
      <c r="C159" s="37" t="str">
        <f>C141</f>
        <v>£ billion, 2020-21 Prices</v>
      </c>
      <c r="D159" s="37"/>
      <c r="F159" s="118" t="s">
        <v>121</v>
      </c>
      <c r="G159" s="118" t="s">
        <v>137</v>
      </c>
      <c r="H159" s="118" t="str">
        <f>H141</f>
        <v>RRP 20</v>
      </c>
      <c r="I159" s="118" t="str">
        <f>I141</f>
        <v>RRP 21</v>
      </c>
      <c r="J159" s="121" t="s">
        <v>122</v>
      </c>
      <c r="L159" s="115"/>
      <c r="M159" s="1"/>
      <c r="T159" s="115"/>
      <c r="Y159" s="115"/>
      <c r="Z159" s="851" t="s">
        <v>139</v>
      </c>
      <c r="AA159" s="37" t="s">
        <v>520</v>
      </c>
      <c r="AD159" s="117">
        <f t="shared" ref="AD159:AG160" si="31">F160</f>
        <v>2.2764846014532072</v>
      </c>
      <c r="AE159" s="117">
        <f t="shared" si="31"/>
        <v>2.3141065510406498</v>
      </c>
      <c r="AF159" s="117">
        <f t="shared" si="31"/>
        <v>2.3633092819726533</v>
      </c>
      <c r="AG159" s="117">
        <f t="shared" si="31"/>
        <v>2.3712876425618035</v>
      </c>
      <c r="AH159" s="852"/>
      <c r="AI159" s="227"/>
      <c r="BO159" s="849"/>
      <c r="BP159" s="848"/>
      <c r="BQ159" s="848"/>
      <c r="BR159" s="848"/>
      <c r="BS159" s="848"/>
      <c r="BT159" s="848"/>
      <c r="BY159" s="841"/>
      <c r="BZ159" s="845"/>
      <c r="CA159" s="845"/>
      <c r="CB159" s="845"/>
      <c r="CC159" s="845"/>
      <c r="CH159" s="497"/>
      <c r="CI159" s="523"/>
      <c r="CJ159" s="523"/>
      <c r="CK159" s="523"/>
      <c r="CL159" s="523"/>
      <c r="CM159" s="523"/>
    </row>
    <row r="160" spans="2:93" ht="13.2" thickBot="1">
      <c r="B160" s="851" t="s">
        <v>139</v>
      </c>
      <c r="C160" s="37" t="s">
        <v>520</v>
      </c>
      <c r="D160" s="37"/>
      <c r="F160" s="117">
        <v>2.2764846014532072</v>
      </c>
      <c r="G160" s="117">
        <v>2.3141065510406498</v>
      </c>
      <c r="H160" s="117">
        <v>2.3633092819726533</v>
      </c>
      <c r="I160" s="117">
        <f>L28/1000</f>
        <v>2.3712876425618035</v>
      </c>
      <c r="J160" s="852"/>
      <c r="L160" s="664"/>
      <c r="M160" s="1"/>
      <c r="T160" s="115"/>
      <c r="Y160" s="185"/>
      <c r="Z160" s="843"/>
      <c r="AA160" s="37" t="s">
        <v>521</v>
      </c>
      <c r="AD160" s="117">
        <f t="shared" si="31"/>
        <v>2.1494859235007162</v>
      </c>
      <c r="AE160" s="117">
        <f t="shared" si="31"/>
        <v>2.1492517754608018</v>
      </c>
      <c r="AF160" s="117">
        <f t="shared" si="31"/>
        <v>2.2048895002028837</v>
      </c>
      <c r="AG160" s="117">
        <f t="shared" si="31"/>
        <v>2.231631111835803</v>
      </c>
      <c r="AH160" s="853"/>
      <c r="AI160" s="227"/>
      <c r="BO160" s="849"/>
      <c r="BP160" s="848"/>
      <c r="BQ160" s="848"/>
      <c r="BR160" s="848"/>
      <c r="BS160" s="848"/>
      <c r="BT160" s="848"/>
      <c r="BY160" s="845"/>
      <c r="BZ160" s="845"/>
      <c r="CA160" s="845"/>
      <c r="CB160" s="845"/>
      <c r="CC160" s="845"/>
      <c r="CH160" s="497"/>
      <c r="CI160" s="523"/>
      <c r="CJ160" s="523"/>
      <c r="CK160" s="523"/>
      <c r="CL160" s="523"/>
      <c r="CM160" s="523"/>
    </row>
    <row r="161" spans="1:91" ht="13.2" thickBot="1">
      <c r="B161" s="843"/>
      <c r="C161" s="37" t="s">
        <v>521</v>
      </c>
      <c r="D161" s="37"/>
      <c r="F161" s="117">
        <v>2.1494859235007162</v>
      </c>
      <c r="G161" s="117">
        <v>2.1492517754608018</v>
      </c>
      <c r="H161" s="117">
        <v>2.2048895002028837</v>
      </c>
      <c r="I161" s="117">
        <f>L22/1000</f>
        <v>2.231631111835803</v>
      </c>
      <c r="J161" s="853"/>
      <c r="L161" s="609"/>
      <c r="M161" s="1"/>
      <c r="T161" s="285"/>
      <c r="Y161" s="127"/>
      <c r="Z161" s="843"/>
      <c r="AA161" s="37" t="s">
        <v>155</v>
      </c>
      <c r="AD161" s="118">
        <f>AD159-AD160</f>
        <v>0.12699867795249098</v>
      </c>
      <c r="AE161" s="118">
        <f>AE159-AE160</f>
        <v>0.16485477557984796</v>
      </c>
      <c r="AF161" s="118">
        <f>AF159-AF160</f>
        <v>0.15841978176976967</v>
      </c>
      <c r="AG161" s="118">
        <f>AG159-AG160</f>
        <v>0.13965653072600048</v>
      </c>
      <c r="AH161" s="120">
        <f>AG161-AF161</f>
        <v>-1.8763251043769191E-2</v>
      </c>
      <c r="AI161" s="227"/>
      <c r="BO161" s="849"/>
      <c r="BP161" s="847"/>
      <c r="BQ161" s="848"/>
      <c r="BR161" s="848"/>
      <c r="BS161" s="848"/>
      <c r="BT161" s="848"/>
      <c r="CH161" s="497"/>
      <c r="CI161" s="499"/>
      <c r="CJ161" s="523"/>
      <c r="CK161" s="523"/>
      <c r="CL161" s="523"/>
      <c r="CM161" s="523"/>
    </row>
    <row r="162" spans="1:91" ht="16.5" customHeight="1" thickBot="1">
      <c r="B162" s="843"/>
      <c r="C162" s="37" t="s">
        <v>155</v>
      </c>
      <c r="D162" s="37"/>
      <c r="F162" s="118">
        <f>F160-F161</f>
        <v>0.12699867795249098</v>
      </c>
      <c r="G162" s="118">
        <f>G160-G161</f>
        <v>0.16485477557984796</v>
      </c>
      <c r="H162" s="118">
        <f>H160-H161</f>
        <v>0.15841978176976967</v>
      </c>
      <c r="I162" s="118">
        <f>I160-I161</f>
        <v>0.13965653072600048</v>
      </c>
      <c r="J162" s="120">
        <f>I162-H162</f>
        <v>-1.8763251043769191E-2</v>
      </c>
      <c r="L162" s="663"/>
      <c r="M162" s="1"/>
      <c r="Y162" s="127"/>
      <c r="AC162" s="149" t="s">
        <v>156</v>
      </c>
      <c r="AD162" s="148">
        <f>AD161/AD160</f>
        <v>5.9083279664217191E-2</v>
      </c>
      <c r="AE162" s="148">
        <f>AE161/AE160</f>
        <v>7.6703333440077265E-2</v>
      </c>
      <c r="AF162" s="148">
        <f>AF161/AF160</f>
        <v>7.184930662293626E-2</v>
      </c>
      <c r="AG162" s="148">
        <f>AG161/AG160</f>
        <v>6.258047308325751E-2</v>
      </c>
      <c r="AI162" s="227"/>
      <c r="BO162" s="849"/>
      <c r="BP162" s="848"/>
      <c r="BQ162" s="848"/>
      <c r="BR162" s="848"/>
      <c r="BS162" s="848"/>
      <c r="BT162" s="848"/>
      <c r="BY162" s="841"/>
      <c r="BZ162" s="845"/>
      <c r="CA162" s="845"/>
      <c r="CB162" s="845"/>
      <c r="CC162" s="845"/>
      <c r="CH162" s="497"/>
      <c r="CI162" s="523"/>
      <c r="CJ162" s="523"/>
      <c r="CK162" s="523"/>
      <c r="CL162" s="523"/>
      <c r="CM162" s="523"/>
    </row>
    <row r="163" spans="1:91" ht="13.2" thickBot="1">
      <c r="E163" s="149" t="s">
        <v>156</v>
      </c>
      <c r="F163" s="148">
        <f>F162/F161</f>
        <v>5.9083279664217191E-2</v>
      </c>
      <c r="G163" s="148">
        <f>G162/G161</f>
        <v>7.6703333440077265E-2</v>
      </c>
      <c r="H163" s="148">
        <f>H162/H161</f>
        <v>7.184930662293626E-2</v>
      </c>
      <c r="I163" s="148">
        <f>I162/I161</f>
        <v>6.258047308325751E-2</v>
      </c>
      <c r="J163" s="185"/>
      <c r="L163" s="115"/>
      <c r="M163" s="1"/>
      <c r="Y163" s="127"/>
      <c r="AI163" s="227"/>
      <c r="BO163" s="849"/>
      <c r="BP163" s="848"/>
      <c r="BQ163" s="848"/>
      <c r="BR163" s="848"/>
      <c r="BS163" s="848"/>
      <c r="BT163" s="848"/>
      <c r="BY163" s="845"/>
      <c r="BZ163" s="845"/>
      <c r="CA163" s="845"/>
      <c r="CB163" s="845"/>
      <c r="CC163" s="845"/>
      <c r="CH163" s="497"/>
      <c r="CI163" s="523"/>
      <c r="CJ163" s="523"/>
      <c r="CK163" s="523"/>
      <c r="CL163" s="523"/>
      <c r="CM163" s="523"/>
    </row>
    <row r="164" spans="1:91">
      <c r="A164" s="541" t="s">
        <v>281</v>
      </c>
      <c r="B164" s="541"/>
      <c r="L164" s="115"/>
      <c r="Y164" s="127"/>
      <c r="AB164" s="151" t="s">
        <v>157</v>
      </c>
      <c r="AD164" s="265">
        <f t="shared" ref="AD164:AG166" si="32">AD141+AD147+AD153+AD159</f>
        <v>10.681451899380356</v>
      </c>
      <c r="AE164" s="265">
        <f t="shared" si="32"/>
        <v>10.244164195630344</v>
      </c>
      <c r="AF164" s="265">
        <f t="shared" si="32"/>
        <v>10.081599871061382</v>
      </c>
      <c r="AG164" s="265">
        <f t="shared" si="32"/>
        <v>9.9140902052150999</v>
      </c>
      <c r="AI164" s="227"/>
      <c r="BO164" s="849"/>
      <c r="BP164" s="848"/>
      <c r="BQ164" s="848"/>
      <c r="BR164" s="848"/>
      <c r="BS164" s="848"/>
      <c r="BT164" s="848"/>
      <c r="CH164" s="497"/>
      <c r="CI164" s="523"/>
      <c r="CJ164" s="523"/>
      <c r="CK164" s="523"/>
      <c r="CL164" s="523"/>
      <c r="CM164" s="523"/>
    </row>
    <row r="165" spans="1:91">
      <c r="A165" s="540" t="s">
        <v>279</v>
      </c>
      <c r="B165" s="540" t="s">
        <v>280</v>
      </c>
      <c r="E165" s="151" t="s">
        <v>157</v>
      </c>
      <c r="F165" s="153">
        <f t="shared" ref="F165:I167" si="33">F142+F148+F154+F160</f>
        <v>10.681451899380356</v>
      </c>
      <c r="G165" s="153">
        <f t="shared" si="33"/>
        <v>10.244164195630344</v>
      </c>
      <c r="H165" s="153">
        <f t="shared" si="33"/>
        <v>10.081599871061382</v>
      </c>
      <c r="I165" s="153">
        <f>I142+I148+I154+I160</f>
        <v>9.9140902052150999</v>
      </c>
      <c r="J165" s="153">
        <f>SUM(V6:AC7)/1000</f>
        <v>9.9140902052150999</v>
      </c>
      <c r="K165" s="154">
        <f>J165-I165</f>
        <v>0</v>
      </c>
      <c r="L165" s="115"/>
      <c r="Y165" s="127"/>
      <c r="AB165" s="151" t="s">
        <v>157</v>
      </c>
      <c r="AD165" s="265">
        <f t="shared" si="32"/>
        <v>13.240353170629257</v>
      </c>
      <c r="AE165" s="265">
        <f t="shared" si="32"/>
        <v>13.694808698377642</v>
      </c>
      <c r="AF165" s="265">
        <f t="shared" si="32"/>
        <v>13.574360649536121</v>
      </c>
      <c r="AG165" s="265">
        <f t="shared" si="32"/>
        <v>13.87122084837123</v>
      </c>
      <c r="AI165" s="227"/>
      <c r="BO165" s="849"/>
      <c r="BP165" s="847"/>
      <c r="BQ165" s="848"/>
      <c r="BR165" s="848"/>
      <c r="BS165" s="848"/>
      <c r="BT165" s="848"/>
      <c r="CH165" s="497"/>
      <c r="CI165" s="499"/>
      <c r="CJ165" s="523"/>
      <c r="CK165" s="523"/>
      <c r="CL165" s="523"/>
      <c r="CM165" s="523"/>
    </row>
    <row r="166" spans="1:91">
      <c r="A166" s="538">
        <v>3.4314875223642387</v>
      </c>
      <c r="B166" s="538">
        <v>4.0413026838196977</v>
      </c>
      <c r="C166" s="38"/>
      <c r="E166" s="151" t="s">
        <v>157</v>
      </c>
      <c r="F166" s="153">
        <f t="shared" si="33"/>
        <v>12.585941901420432</v>
      </c>
      <c r="G166" s="153">
        <f t="shared" si="33"/>
        <v>13.040397429168817</v>
      </c>
      <c r="H166" s="153">
        <f t="shared" si="33"/>
        <v>12.919949380327296</v>
      </c>
      <c r="I166" s="153">
        <f t="shared" si="33"/>
        <v>13.216809579162405</v>
      </c>
      <c r="J166" s="153">
        <f>SUM(V8:AC8)/1000</f>
        <v>13.216809579162405</v>
      </c>
      <c r="K166" s="154">
        <f>J166-I166</f>
        <v>0</v>
      </c>
      <c r="L166" s="115"/>
      <c r="Y166" s="127"/>
      <c r="AB166" s="151" t="s">
        <v>157</v>
      </c>
      <c r="AD166" s="265">
        <f t="shared" si="32"/>
        <v>-2.5589012712489008</v>
      </c>
      <c r="AE166" s="265">
        <f t="shared" si="32"/>
        <v>-3.4506445027472972</v>
      </c>
      <c r="AF166" s="265">
        <f t="shared" si="32"/>
        <v>-3.4927607784747408</v>
      </c>
      <c r="AG166" s="265">
        <f t="shared" si="32"/>
        <v>-3.9571306431561295</v>
      </c>
      <c r="AI166" s="227"/>
      <c r="BO166" s="849"/>
      <c r="BP166" s="848"/>
      <c r="BQ166" s="848"/>
      <c r="BR166" s="848"/>
      <c r="BS166" s="848"/>
      <c r="BT166" s="848"/>
      <c r="BY166" s="845"/>
      <c r="BZ166" s="845"/>
      <c r="CA166" s="845"/>
      <c r="CB166" s="845"/>
      <c r="CC166" s="845"/>
      <c r="CH166" s="497"/>
      <c r="CI166" s="523"/>
      <c r="CJ166" s="523"/>
      <c r="CK166" s="523"/>
      <c r="CL166" s="523"/>
      <c r="CM166" s="523"/>
    </row>
    <row r="167" spans="1:91">
      <c r="A167" s="538">
        <v>4.6469837597523362</v>
      </c>
      <c r="B167" s="538">
        <v>6.2011414718863289</v>
      </c>
      <c r="C167" s="38"/>
      <c r="E167" s="151" t="s">
        <v>157</v>
      </c>
      <c r="F167" s="153">
        <f t="shared" si="33"/>
        <v>-1.9044900020400752</v>
      </c>
      <c r="G167" s="153">
        <f t="shared" si="33"/>
        <v>-2.7962332335384716</v>
      </c>
      <c r="H167" s="153">
        <f t="shared" si="33"/>
        <v>-2.8383495092659152</v>
      </c>
      <c r="I167" s="153">
        <f t="shared" si="33"/>
        <v>-3.3027193739473049</v>
      </c>
      <c r="J167" s="153">
        <f>J165-J166</f>
        <v>-3.3027193739473049</v>
      </c>
      <c r="K167" s="154">
        <f>J167-I167</f>
        <v>0</v>
      </c>
      <c r="L167" s="126"/>
      <c r="AI167" s="227"/>
      <c r="BO167" s="849"/>
      <c r="BP167" s="848"/>
      <c r="BQ167" s="848"/>
      <c r="BR167" s="848"/>
      <c r="BS167" s="848"/>
      <c r="BT167" s="848"/>
      <c r="BY167" s="845"/>
      <c r="BZ167" s="845"/>
      <c r="CA167" s="845"/>
      <c r="CB167" s="845"/>
      <c r="CC167" s="845"/>
      <c r="CH167" s="497"/>
      <c r="CI167" s="523"/>
      <c r="CJ167" s="523"/>
      <c r="CK167" s="523"/>
      <c r="CL167" s="523"/>
      <c r="CM167" s="523"/>
    </row>
    <row r="168" spans="1:91">
      <c r="A168" s="538">
        <v>0.32649601581057469</v>
      </c>
      <c r="B168" s="538">
        <v>0.19401182221368832</v>
      </c>
      <c r="C168" s="38"/>
      <c r="F168" s="200">
        <f>F167/F166</f>
        <v>-0.15131882992604131</v>
      </c>
      <c r="G168" s="200">
        <f>G167/G166</f>
        <v>-0.21442852863393913</v>
      </c>
      <c r="H168" s="200">
        <f>H167/H166</f>
        <v>-0.2196873552451962</v>
      </c>
      <c r="I168" s="200">
        <f>I167/I166</f>
        <v>-0.2498877928266717</v>
      </c>
      <c r="J168" s="200">
        <f>J167/J166</f>
        <v>-0.2498877928266717</v>
      </c>
      <c r="L168" s="126"/>
      <c r="M168" s="115"/>
      <c r="N168" s="115"/>
      <c r="O168" s="127"/>
      <c r="P168" s="127"/>
      <c r="Q168" s="127"/>
      <c r="R168" s="127"/>
      <c r="S168" s="127"/>
      <c r="X168" s="151"/>
      <c r="AI168" s="227"/>
      <c r="BO168" s="849"/>
      <c r="BP168" s="848"/>
      <c r="BQ168" s="848"/>
      <c r="BR168" s="848"/>
      <c r="BS168" s="848"/>
      <c r="BT168" s="848"/>
      <c r="CH168" s="497"/>
      <c r="CI168" s="523"/>
      <c r="CJ168" s="523"/>
      <c r="CK168" s="523"/>
      <c r="CL168" s="523"/>
      <c r="CM168" s="523"/>
    </row>
    <row r="169" spans="1:91">
      <c r="A169" s="538">
        <v>2.2764846014532072</v>
      </c>
      <c r="B169" s="538">
        <v>2.1494859235007167</v>
      </c>
      <c r="C169" s="38"/>
      <c r="F169" s="200"/>
      <c r="G169" s="200"/>
      <c r="L169" s="126"/>
      <c r="M169" s="115"/>
      <c r="N169" s="115"/>
      <c r="O169" s="127"/>
      <c r="P169" s="127"/>
      <c r="Q169" s="127"/>
      <c r="R169" s="127"/>
      <c r="S169" s="127"/>
      <c r="X169" s="151"/>
      <c r="Y169" s="263"/>
      <c r="Z169" s="263"/>
      <c r="AA169" s="263"/>
      <c r="AI169" s="227"/>
      <c r="BO169" s="497"/>
      <c r="BP169" s="523"/>
      <c r="BQ169" s="523"/>
      <c r="BR169" s="523"/>
      <c r="BS169" s="523"/>
      <c r="BT169" s="523"/>
      <c r="CH169" s="497"/>
      <c r="CI169" s="523"/>
      <c r="CJ169" s="523"/>
      <c r="CK169" s="523"/>
      <c r="CL169" s="523"/>
      <c r="CM169" s="523"/>
    </row>
    <row r="170" spans="1:91">
      <c r="F170" s="200"/>
      <c r="G170" s="200"/>
      <c r="L170" s="126"/>
      <c r="M170" s="115"/>
      <c r="N170" s="115"/>
      <c r="O170" s="127"/>
      <c r="P170" s="127"/>
      <c r="Q170" s="127"/>
      <c r="R170" s="127"/>
      <c r="S170" s="127"/>
      <c r="X170" s="151"/>
      <c r="Y170" s="263"/>
      <c r="Z170" s="263"/>
      <c r="AA170" s="263"/>
      <c r="AI170" s="227"/>
      <c r="BO170" s="497"/>
      <c r="BP170" s="523"/>
      <c r="BQ170" s="523"/>
      <c r="BR170" s="523"/>
      <c r="BS170" s="523"/>
      <c r="BT170" s="523"/>
      <c r="CH170" s="497"/>
      <c r="CI170" s="523"/>
      <c r="CJ170" s="523"/>
      <c r="CK170" s="523"/>
      <c r="CL170" s="523"/>
      <c r="CM170" s="523"/>
    </row>
    <row r="171" spans="1:91">
      <c r="A171" s="1" t="s">
        <v>151</v>
      </c>
      <c r="B171" s="23" t="s">
        <v>481</v>
      </c>
      <c r="L171" s="126"/>
      <c r="M171" s="115"/>
      <c r="N171" s="115"/>
      <c r="O171" s="115"/>
      <c r="P171" s="115"/>
      <c r="Q171" s="115"/>
      <c r="R171" s="115"/>
      <c r="S171" s="115"/>
      <c r="Y171" s="1" t="s">
        <v>327</v>
      </c>
      <c r="Z171" s="23" t="s">
        <v>480</v>
      </c>
      <c r="AI171" s="227"/>
      <c r="BP171" s="1"/>
      <c r="BY171" s="1"/>
      <c r="CH171" s="1"/>
    </row>
    <row r="172" spans="1:91">
      <c r="B172" s="497"/>
      <c r="M172" s="126"/>
      <c r="N172" s="115"/>
      <c r="O172" s="115"/>
      <c r="P172" s="115"/>
      <c r="Q172" s="115"/>
      <c r="R172" s="115"/>
      <c r="S172" s="115"/>
      <c r="Z172" s="497"/>
      <c r="AI172" s="227"/>
    </row>
    <row r="173" spans="1:91" ht="45" customHeight="1" thickBot="1">
      <c r="B173" s="86"/>
      <c r="C173" s="37" t="str">
        <f>C141</f>
        <v>£ billion, 2020-21 Prices</v>
      </c>
      <c r="D173" s="37"/>
      <c r="F173" s="77" t="s">
        <v>121</v>
      </c>
      <c r="G173" s="77" t="s">
        <v>137</v>
      </c>
      <c r="H173" s="77" t="s">
        <v>348</v>
      </c>
      <c r="I173" s="77" t="s">
        <v>472</v>
      </c>
      <c r="J173" s="78" t="s">
        <v>479</v>
      </c>
      <c r="L173" s="560" t="s">
        <v>192</v>
      </c>
      <c r="M173" s="126"/>
      <c r="N173" s="115"/>
      <c r="O173" s="115"/>
      <c r="P173" s="115"/>
      <c r="Q173" s="115"/>
      <c r="R173" s="115"/>
      <c r="S173" s="115"/>
      <c r="T173" s="226" t="s">
        <v>328</v>
      </c>
      <c r="Z173" s="86"/>
      <c r="AA173" s="37" t="str">
        <f>C173</f>
        <v>£ billion, 2020-21 Prices</v>
      </c>
      <c r="AB173" s="37"/>
      <c r="AD173" s="77" t="s">
        <v>121</v>
      </c>
      <c r="AE173" s="77" t="s">
        <v>137</v>
      </c>
      <c r="AF173" s="77" t="s">
        <v>348</v>
      </c>
      <c r="AG173" s="77" t="s">
        <v>472</v>
      </c>
      <c r="AH173" s="78" t="str">
        <f>J173</f>
        <v xml:space="preserve">RRP20 &amp; RRP21 Difference </v>
      </c>
      <c r="AI173" s="227"/>
    </row>
    <row r="174" spans="1:91" ht="23.25" customHeight="1" thickTop="1" thickBot="1">
      <c r="B174" s="851" t="s">
        <v>77</v>
      </c>
      <c r="C174" s="37" t="s">
        <v>520</v>
      </c>
      <c r="D174" s="37"/>
      <c r="F174" s="123">
        <v>0.76811525333553177</v>
      </c>
      <c r="G174" s="123">
        <v>0.76066352404467541</v>
      </c>
      <c r="H174" s="123">
        <v>0.78858112986590678</v>
      </c>
      <c r="I174" s="123">
        <f>L43/1000</f>
        <v>0.77623249803631511</v>
      </c>
      <c r="J174" s="854"/>
      <c r="L174" s="202" t="str">
        <f>B70</f>
        <v>£m, 2020-21 prices </v>
      </c>
      <c r="M174" s="860" t="s">
        <v>478</v>
      </c>
      <c r="N174" s="861"/>
      <c r="O174" s="861"/>
      <c r="P174" s="861"/>
      <c r="Q174" s="115"/>
      <c r="R174" s="115"/>
      <c r="S174" s="115"/>
      <c r="T174" s="214" t="str">
        <f>L174</f>
        <v>£m, 2020-21 prices </v>
      </c>
      <c r="U174" s="874" t="s">
        <v>477</v>
      </c>
      <c r="V174" s="875"/>
      <c r="W174" s="875"/>
      <c r="X174" s="875"/>
      <c r="Z174" s="851" t="s">
        <v>77</v>
      </c>
      <c r="AA174" s="37" t="s">
        <v>520</v>
      </c>
      <c r="AB174" s="37"/>
      <c r="AD174" s="123">
        <f>F174+(AR51/1000)</f>
        <v>0.78914166183966916</v>
      </c>
      <c r="AE174" s="123">
        <f>G174+(AR51/1000)</f>
        <v>0.7816899325488128</v>
      </c>
      <c r="AF174" s="123">
        <f>H174+(AR51/1000)</f>
        <v>0.80960753837004418</v>
      </c>
      <c r="AG174" s="123">
        <f>I174+(AR51/1000)</f>
        <v>0.79725890654045251</v>
      </c>
      <c r="AH174" s="854"/>
      <c r="AI174" s="227"/>
    </row>
    <row r="175" spans="1:91" ht="13.2" thickBot="1">
      <c r="B175" s="843"/>
      <c r="C175" s="37" t="s">
        <v>521</v>
      </c>
      <c r="D175" s="37"/>
      <c r="F175" s="123">
        <v>0.86108029102724615</v>
      </c>
      <c r="G175" s="123">
        <v>0.86106556036979709</v>
      </c>
      <c r="H175" s="123">
        <v>0.86703547343492471</v>
      </c>
      <c r="I175" s="123">
        <f>L37/1000</f>
        <v>0.87755115955000118</v>
      </c>
      <c r="J175" s="855"/>
      <c r="L175" s="550"/>
      <c r="M175" s="558" t="s">
        <v>2</v>
      </c>
      <c r="N175" s="557" t="s">
        <v>4</v>
      </c>
      <c r="O175" s="858" t="s">
        <v>46</v>
      </c>
      <c r="P175" s="859"/>
      <c r="Q175" s="115"/>
      <c r="R175" s="115"/>
      <c r="S175" s="115"/>
      <c r="T175" s="548"/>
      <c r="U175" s="556" t="s">
        <v>2</v>
      </c>
      <c r="V175" s="555" t="s">
        <v>4</v>
      </c>
      <c r="W175" s="872" t="s">
        <v>46</v>
      </c>
      <c r="X175" s="873"/>
      <c r="Z175" s="843"/>
      <c r="AA175" s="37" t="s">
        <v>521</v>
      </c>
      <c r="AB175" s="37"/>
      <c r="AD175" s="123">
        <f>F175</f>
        <v>0.86108029102724615</v>
      </c>
      <c r="AE175" s="123">
        <f>G175</f>
        <v>0.86106556036979709</v>
      </c>
      <c r="AF175" s="123">
        <f>H175</f>
        <v>0.86703547343492471</v>
      </c>
      <c r="AG175" s="123">
        <f>I175</f>
        <v>0.87755115955000118</v>
      </c>
      <c r="AH175" s="855"/>
      <c r="AI175" s="227"/>
    </row>
    <row r="176" spans="1:91" ht="13.8" thickBot="1">
      <c r="B176" s="843"/>
      <c r="C176" s="37" t="s">
        <v>155</v>
      </c>
      <c r="D176" s="37"/>
      <c r="F176" s="284">
        <f>F174-F175</f>
        <v>-9.2965037691714381E-2</v>
      </c>
      <c r="G176" s="284">
        <f>G174-G175</f>
        <v>-0.10040203632512168</v>
      </c>
      <c r="H176" s="284">
        <f>H174-H175</f>
        <v>-7.8454343569017926E-2</v>
      </c>
      <c r="I176" s="284">
        <f>I174-I175</f>
        <v>-0.10131866151368607</v>
      </c>
      <c r="J176" s="116">
        <f>I176-H176</f>
        <v>-2.2864317944668144E-2</v>
      </c>
      <c r="L176" s="550"/>
      <c r="M176" s="203"/>
      <c r="N176" s="554"/>
      <c r="O176" s="553" t="s">
        <v>47</v>
      </c>
      <c r="P176" s="204" t="s">
        <v>48</v>
      </c>
      <c r="Q176" s="115"/>
      <c r="R176" s="115"/>
      <c r="S176" s="115"/>
      <c r="T176" s="548"/>
      <c r="U176" s="215"/>
      <c r="V176" s="552"/>
      <c r="W176" s="551" t="s">
        <v>47</v>
      </c>
      <c r="X176" s="216" t="s">
        <v>48</v>
      </c>
      <c r="Z176" s="843"/>
      <c r="AA176" s="37" t="s">
        <v>155</v>
      </c>
      <c r="AB176" s="37"/>
      <c r="AD176" s="284">
        <f>AD174-AD175</f>
        <v>-7.1938629187576986E-2</v>
      </c>
      <c r="AE176" s="284">
        <f>AE174-AE175</f>
        <v>-7.9375627820984285E-2</v>
      </c>
      <c r="AF176" s="284">
        <f>AF174-AF175</f>
        <v>-5.7427935064880531E-2</v>
      </c>
      <c r="AG176" s="284">
        <f>AG174-AG175</f>
        <v>-8.0292253009548675E-2</v>
      </c>
      <c r="AH176" s="116">
        <f>AG176-AF176</f>
        <v>-2.2864317944668144E-2</v>
      </c>
      <c r="AI176" s="227"/>
    </row>
    <row r="177" spans="2:83" ht="13.2" thickBot="1">
      <c r="E177" s="149" t="s">
        <v>156</v>
      </c>
      <c r="F177" s="148">
        <f>F176/F175</f>
        <v>-0.10796326272990123</v>
      </c>
      <c r="G177" s="148">
        <f>G176/G175</f>
        <v>-0.11660208112609052</v>
      </c>
      <c r="H177" s="148">
        <f>H176/H175</f>
        <v>-9.0485736711793621E-2</v>
      </c>
      <c r="I177" s="148">
        <f>I176/I175</f>
        <v>-0.11545613086038334</v>
      </c>
      <c r="L177" s="550" t="s">
        <v>75</v>
      </c>
      <c r="M177" s="205">
        <f>I149</f>
        <v>4.4818142567146602</v>
      </c>
      <c r="N177" s="206">
        <f>I148</f>
        <v>3.3394694726636662</v>
      </c>
      <c r="O177" s="549">
        <f>N177-M177</f>
        <v>-1.1423447840509939</v>
      </c>
      <c r="P177" s="207">
        <f>O177/M177</f>
        <v>-0.25488445495917894</v>
      </c>
      <c r="Q177" s="115"/>
      <c r="R177" s="115"/>
      <c r="S177" s="115"/>
      <c r="T177" s="548" t="s">
        <v>75</v>
      </c>
      <c r="U177" s="217">
        <f>AG148</f>
        <v>4.6590506421253837</v>
      </c>
      <c r="V177" s="218">
        <f>AG147</f>
        <v>3.3394694726636662</v>
      </c>
      <c r="W177" s="559">
        <f>V177-U177</f>
        <v>-1.3195811694617174</v>
      </c>
      <c r="X177" s="219">
        <f>W177/U177</f>
        <v>-0.28322962569467713</v>
      </c>
      <c r="AA177" s="659"/>
      <c r="AC177" s="149" t="s">
        <v>156</v>
      </c>
      <c r="AD177" s="148">
        <f>AD176/AD175</f>
        <v>-8.3544624046331492E-2</v>
      </c>
      <c r="AE177" s="148">
        <f>AE176/AE175</f>
        <v>-9.2183024701272764E-2</v>
      </c>
      <c r="AF177" s="148">
        <f>AF176/AF175</f>
        <v>-6.6234816018967399E-2</v>
      </c>
      <c r="AG177" s="148">
        <f>AG176/AG175</f>
        <v>-9.149580868962863E-2</v>
      </c>
      <c r="AI177" s="227"/>
    </row>
    <row r="178" spans="2:83">
      <c r="F178" s="115"/>
      <c r="G178" s="115"/>
      <c r="H178" s="115"/>
      <c r="I178" s="115"/>
      <c r="L178" s="550" t="s">
        <v>1</v>
      </c>
      <c r="M178" s="205">
        <f>I181</f>
        <v>1.3368425153278074</v>
      </c>
      <c r="N178" s="206">
        <f>I180</f>
        <v>1.1871997996394621</v>
      </c>
      <c r="O178" s="549">
        <f>N178-M178</f>
        <v>-0.14964271568834531</v>
      </c>
      <c r="P178" s="207">
        <f>O178/M178</f>
        <v>-0.11193743015545207</v>
      </c>
      <c r="Q178" s="115"/>
      <c r="R178" s="115"/>
      <c r="S178" s="115"/>
      <c r="T178" s="548" t="s">
        <v>1</v>
      </c>
      <c r="U178" s="217">
        <f>AG181</f>
        <v>1.3368425153278074</v>
      </c>
      <c r="V178" s="218">
        <f>AG180</f>
        <v>1.1871997996394621</v>
      </c>
      <c r="W178" s="547">
        <f>V178-U178</f>
        <v>-0.14964271568834531</v>
      </c>
      <c r="X178" s="219">
        <f>W178/U178</f>
        <v>-0.11193743015545207</v>
      </c>
      <c r="AA178" s="659"/>
      <c r="AD178" s="115"/>
      <c r="AE178" s="115"/>
      <c r="AF178" s="115"/>
      <c r="AG178" s="115"/>
      <c r="AI178" s="227"/>
    </row>
    <row r="179" spans="2:83" ht="13.2" thickBot="1">
      <c r="B179" s="86"/>
      <c r="C179" s="37" t="str">
        <f>C173</f>
        <v>£ billion, 2020-21 Prices</v>
      </c>
      <c r="D179" s="37"/>
      <c r="F179" s="124" t="s">
        <v>121</v>
      </c>
      <c r="G179" s="124" t="s">
        <v>137</v>
      </c>
      <c r="H179" s="124" t="s">
        <v>348</v>
      </c>
      <c r="I179" s="124" t="str">
        <f>I173</f>
        <v>RRP 21</v>
      </c>
      <c r="J179" s="78"/>
      <c r="L179" s="550" t="s">
        <v>70</v>
      </c>
      <c r="M179" s="205">
        <f>I213</f>
        <v>3.1544376612831648</v>
      </c>
      <c r="N179" s="206">
        <f>I212</f>
        <v>2.6611714035564278</v>
      </c>
      <c r="O179" s="549">
        <f>N179-M179</f>
        <v>-0.49326625772673705</v>
      </c>
      <c r="P179" s="207">
        <f>O179/M179</f>
        <v>-0.15637216857412417</v>
      </c>
      <c r="Q179" s="115"/>
      <c r="R179" s="115"/>
      <c r="S179" s="115"/>
      <c r="T179" s="548" t="s">
        <v>70</v>
      </c>
      <c r="U179" s="217">
        <f>AG214</f>
        <v>3.089705479903925</v>
      </c>
      <c r="V179" s="218">
        <f>AG213</f>
        <v>2.6611714035564278</v>
      </c>
      <c r="W179" s="547">
        <f>V179-U179</f>
        <v>-0.42853407634749718</v>
      </c>
      <c r="X179" s="219">
        <f>W179/U179</f>
        <v>-0.1386973868981268</v>
      </c>
      <c r="Z179" s="86"/>
      <c r="AA179" s="37" t="str">
        <f>AA173</f>
        <v>£ billion, 2020-21 Prices</v>
      </c>
      <c r="AB179" s="37"/>
      <c r="AD179" s="124" t="s">
        <v>121</v>
      </c>
      <c r="AE179" s="124" t="s">
        <v>137</v>
      </c>
      <c r="AF179" s="124" t="str">
        <f>AF173</f>
        <v>RRP 20</v>
      </c>
      <c r="AG179" s="124" t="s">
        <v>472</v>
      </c>
      <c r="AH179" s="78" t="s">
        <v>122</v>
      </c>
      <c r="AI179" s="227"/>
    </row>
    <row r="180" spans="2:83" ht="13.2" thickBot="1">
      <c r="B180" s="851" t="s">
        <v>136</v>
      </c>
      <c r="C180" s="37" t="s">
        <v>520</v>
      </c>
      <c r="D180" s="37"/>
      <c r="F180" s="123">
        <v>1.1942043850738442</v>
      </c>
      <c r="G180" s="123">
        <v>1.2266371864642356</v>
      </c>
      <c r="H180" s="123">
        <v>1.2233453572903377</v>
      </c>
      <c r="I180" s="123">
        <f>L42/1000</f>
        <v>1.1871997996394621</v>
      </c>
      <c r="J180" s="854"/>
      <c r="L180" s="208" t="s">
        <v>3</v>
      </c>
      <c r="M180" s="209">
        <f>SUM(M177:M179)</f>
        <v>8.9730944333256328</v>
      </c>
      <c r="N180" s="209">
        <f>SUM(N177:N179)</f>
        <v>7.1878406758595563</v>
      </c>
      <c r="O180" s="210">
        <f>N180-M180</f>
        <v>-1.7852537574660765</v>
      </c>
      <c r="P180" s="211">
        <f>O180/M180</f>
        <v>-0.19895630996991759</v>
      </c>
      <c r="Q180" s="115"/>
      <c r="R180" s="115"/>
      <c r="S180" s="115"/>
      <c r="T180" s="220" t="s">
        <v>3</v>
      </c>
      <c r="U180" s="221">
        <f>SUM(U177:U179)</f>
        <v>9.0855986373571156</v>
      </c>
      <c r="V180" s="221">
        <f>SUM(V177:V179)</f>
        <v>7.1878406758595563</v>
      </c>
      <c r="W180" s="222">
        <f>V180-U180</f>
        <v>-1.8977579614975593</v>
      </c>
      <c r="X180" s="223">
        <f>W180/U180</f>
        <v>-0.20887539030114946</v>
      </c>
      <c r="Z180" s="851" t="s">
        <v>136</v>
      </c>
      <c r="AA180" s="37" t="s">
        <v>520</v>
      </c>
      <c r="AB180" s="37"/>
      <c r="AD180" s="123">
        <f t="shared" ref="AD180:AG181" si="34">F180</f>
        <v>1.1942043850738442</v>
      </c>
      <c r="AE180" s="123">
        <f t="shared" si="34"/>
        <v>1.2266371864642356</v>
      </c>
      <c r="AF180" s="123">
        <f t="shared" si="34"/>
        <v>1.2233453572903377</v>
      </c>
      <c r="AG180" s="123">
        <f t="shared" si="34"/>
        <v>1.1871997996394621</v>
      </c>
      <c r="AH180" s="854"/>
      <c r="AI180" s="227"/>
    </row>
    <row r="181" spans="2:83" ht="23.25" customHeight="1" thickTop="1" thickBot="1">
      <c r="B181" s="843"/>
      <c r="C181" s="37" t="s">
        <v>521</v>
      </c>
      <c r="D181" s="37"/>
      <c r="F181" s="123">
        <v>1.250423147749935</v>
      </c>
      <c r="G181" s="123">
        <v>1.2850347726299742</v>
      </c>
      <c r="H181" s="123">
        <v>1.3819915792500104</v>
      </c>
      <c r="I181" s="123">
        <f>L36/1000</f>
        <v>1.3368425153278074</v>
      </c>
      <c r="J181" s="855"/>
      <c r="L181" s="202" t="str">
        <f>L174</f>
        <v>£m, 2020-21 prices </v>
      </c>
      <c r="M181" s="860" t="s">
        <v>476</v>
      </c>
      <c r="N181" s="861"/>
      <c r="O181" s="861"/>
      <c r="P181" s="861"/>
      <c r="Q181" s="115"/>
      <c r="R181" s="115"/>
      <c r="S181" s="115"/>
      <c r="T181" s="214" t="str">
        <f>L174</f>
        <v>£m, 2020-21 prices </v>
      </c>
      <c r="U181" s="874" t="s">
        <v>475</v>
      </c>
      <c r="V181" s="875"/>
      <c r="W181" s="875"/>
      <c r="X181" s="875"/>
      <c r="Z181" s="843"/>
      <c r="AA181" s="37" t="s">
        <v>521</v>
      </c>
      <c r="AB181" s="37"/>
      <c r="AD181" s="123">
        <f t="shared" si="34"/>
        <v>1.250423147749935</v>
      </c>
      <c r="AE181" s="123">
        <f t="shared" si="34"/>
        <v>1.2850347726299742</v>
      </c>
      <c r="AF181" s="123">
        <f t="shared" si="34"/>
        <v>1.3819915792500104</v>
      </c>
      <c r="AG181" s="123">
        <f t="shared" si="34"/>
        <v>1.3368425153278074</v>
      </c>
      <c r="AH181" s="855"/>
      <c r="AI181" s="227"/>
      <c r="BY181" s="25"/>
    </row>
    <row r="182" spans="2:83" ht="13.2" thickBot="1">
      <c r="B182" s="843"/>
      <c r="C182" s="37" t="s">
        <v>155</v>
      </c>
      <c r="D182" s="37"/>
      <c r="F182" s="124">
        <f>F180-F181</f>
        <v>-5.6218762676090828E-2</v>
      </c>
      <c r="G182" s="124">
        <f>G180-G181</f>
        <v>-5.8397586165738646E-2</v>
      </c>
      <c r="H182" s="124">
        <f>H180-H181</f>
        <v>-0.15864622195967271</v>
      </c>
      <c r="I182" s="124">
        <f>I180-I181</f>
        <v>-0.14964271568834531</v>
      </c>
      <c r="J182" s="120">
        <f>I182-H182</f>
        <v>9.0035062713273994E-3</v>
      </c>
      <c r="L182" s="550"/>
      <c r="M182" s="558" t="s">
        <v>2</v>
      </c>
      <c r="N182" s="557" t="s">
        <v>4</v>
      </c>
      <c r="O182" s="858" t="s">
        <v>46</v>
      </c>
      <c r="P182" s="859"/>
      <c r="Q182" s="115"/>
      <c r="R182" s="115"/>
      <c r="S182" s="115"/>
      <c r="T182" s="548"/>
      <c r="U182" s="556" t="s">
        <v>2</v>
      </c>
      <c r="V182" s="555" t="s">
        <v>4</v>
      </c>
      <c r="W182" s="872" t="s">
        <v>46</v>
      </c>
      <c r="X182" s="873"/>
      <c r="Z182" s="843"/>
      <c r="AA182" s="37" t="s">
        <v>155</v>
      </c>
      <c r="AB182" s="37"/>
      <c r="AD182" s="124">
        <f>AD180-AD181</f>
        <v>-5.6218762676090828E-2</v>
      </c>
      <c r="AE182" s="124">
        <f>AE180-AE181</f>
        <v>-5.8397586165738646E-2</v>
      </c>
      <c r="AF182" s="124">
        <f>AF180-AF181</f>
        <v>-0.15864622195967271</v>
      </c>
      <c r="AG182" s="124">
        <f>AG180-AG181</f>
        <v>-0.14964271568834531</v>
      </c>
      <c r="AH182" s="120">
        <f>AG182-AF182</f>
        <v>9.0035062713273994E-3</v>
      </c>
      <c r="AI182" s="227"/>
    </row>
    <row r="183" spans="2:83" ht="13.8" thickBot="1">
      <c r="E183" s="149" t="s">
        <v>156</v>
      </c>
      <c r="F183" s="148">
        <f>F182/F181</f>
        <v>-4.495979043354506E-2</v>
      </c>
      <c r="G183" s="148">
        <f>G182/G181</f>
        <v>-4.5444362603683591E-2</v>
      </c>
      <c r="H183" s="148">
        <f>H182/H181</f>
        <v>-0.11479536079790591</v>
      </c>
      <c r="I183" s="148">
        <f>I182/I181</f>
        <v>-0.11193743015545207</v>
      </c>
      <c r="J183" s="114"/>
      <c r="L183" s="550"/>
      <c r="M183" s="203"/>
      <c r="N183" s="554"/>
      <c r="O183" s="553" t="s">
        <v>47</v>
      </c>
      <c r="P183" s="204" t="s">
        <v>48</v>
      </c>
      <c r="Q183" s="115"/>
      <c r="R183" s="115"/>
      <c r="S183" s="115"/>
      <c r="T183" s="548"/>
      <c r="U183" s="215"/>
      <c r="V183" s="552"/>
      <c r="W183" s="551" t="s">
        <v>47</v>
      </c>
      <c r="X183" s="216" t="s">
        <v>48</v>
      </c>
      <c r="AA183" s="659"/>
      <c r="AC183" s="149" t="s">
        <v>156</v>
      </c>
      <c r="AD183" s="148">
        <f>AD182/AD181</f>
        <v>-4.495979043354506E-2</v>
      </c>
      <c r="AE183" s="148">
        <f>AE182/AE181</f>
        <v>-4.5444362603683591E-2</v>
      </c>
      <c r="AF183" s="148">
        <f>AF182/AF181</f>
        <v>-0.11479536079790591</v>
      </c>
      <c r="AG183" s="148">
        <f>AG182/AG181</f>
        <v>-0.11193743015545207</v>
      </c>
      <c r="AH183" s="114"/>
      <c r="AI183" s="227"/>
      <c r="BZ183" s="251"/>
    </row>
    <row r="184" spans="2:83">
      <c r="F184" s="115"/>
      <c r="G184" s="115"/>
      <c r="H184" s="115"/>
      <c r="I184" s="115"/>
      <c r="J184" s="114"/>
      <c r="L184" s="550" t="s">
        <v>75</v>
      </c>
      <c r="M184" s="205">
        <f>I143</f>
        <v>6.3019160492288036</v>
      </c>
      <c r="N184" s="206">
        <f>I149</f>
        <v>4.4818142567146602</v>
      </c>
      <c r="O184" s="549">
        <f>N184-M184</f>
        <v>-1.8201017925141434</v>
      </c>
      <c r="P184" s="207">
        <f>O184/M184</f>
        <v>-0.28881720706782155</v>
      </c>
      <c r="Q184" s="115"/>
      <c r="R184" s="115"/>
      <c r="S184" s="115"/>
      <c r="T184" s="548" t="s">
        <v>75</v>
      </c>
      <c r="U184" s="217">
        <f>AG142</f>
        <v>6.7790909330269056</v>
      </c>
      <c r="V184" s="218">
        <f>AG148</f>
        <v>4.6590506421253837</v>
      </c>
      <c r="W184" s="559">
        <f>V184-U184</f>
        <v>-2.1200402909015219</v>
      </c>
      <c r="X184" s="219">
        <f>W184/U184</f>
        <v>-0.31273223974219666</v>
      </c>
      <c r="AA184" s="659"/>
      <c r="AD184" s="115"/>
      <c r="AE184" s="115"/>
      <c r="AF184" s="115"/>
      <c r="AG184" s="115"/>
      <c r="AH184" s="114"/>
      <c r="AI184" s="227"/>
    </row>
    <row r="185" spans="2:83" ht="13.2" thickBot="1">
      <c r="B185" s="86"/>
      <c r="C185" s="37" t="str">
        <f>C173</f>
        <v>£ billion, 2020-21 Prices</v>
      </c>
      <c r="D185" s="37"/>
      <c r="F185" s="124" t="s">
        <v>121</v>
      </c>
      <c r="G185" s="124" t="s">
        <v>137</v>
      </c>
      <c r="H185" s="124" t="s">
        <v>348</v>
      </c>
      <c r="I185" s="124" t="str">
        <f>I173</f>
        <v>RRP 21</v>
      </c>
      <c r="J185" s="121"/>
      <c r="L185" s="550" t="s">
        <v>1</v>
      </c>
      <c r="M185" s="205">
        <f>I175</f>
        <v>0.87755115955000118</v>
      </c>
      <c r="N185" s="206">
        <f>I174</f>
        <v>0.77623249803631511</v>
      </c>
      <c r="O185" s="549">
        <f>N185-M185</f>
        <v>-0.10131866151368607</v>
      </c>
      <c r="P185" s="207">
        <f>O185/M185</f>
        <v>-0.11545613086038334</v>
      </c>
      <c r="Q185" s="115"/>
      <c r="R185" s="115"/>
      <c r="S185" s="115"/>
      <c r="T185" s="548" t="s">
        <v>1</v>
      </c>
      <c r="U185" s="217">
        <f>AG175</f>
        <v>0.87755115955000118</v>
      </c>
      <c r="V185" s="218">
        <f>AG174</f>
        <v>0.79725890654045251</v>
      </c>
      <c r="W185" s="547">
        <f>V185-U185</f>
        <v>-8.0292253009548675E-2</v>
      </c>
      <c r="X185" s="219">
        <f>W185/U185</f>
        <v>-9.149580868962863E-2</v>
      </c>
      <c r="Z185" s="86"/>
      <c r="AA185" s="37" t="str">
        <f>AA173</f>
        <v>£ billion, 2020-21 Prices</v>
      </c>
      <c r="AB185" s="37"/>
      <c r="AD185" s="124" t="s">
        <v>121</v>
      </c>
      <c r="AE185" s="124" t="s">
        <v>137</v>
      </c>
      <c r="AF185" s="124" t="str">
        <f>AF173</f>
        <v>RRP 20</v>
      </c>
      <c r="AG185" s="124" t="s">
        <v>472</v>
      </c>
      <c r="AH185" s="121" t="s">
        <v>122</v>
      </c>
      <c r="AI185" s="227"/>
      <c r="BZ185" s="1"/>
    </row>
    <row r="186" spans="2:83" ht="13.2" thickBot="1">
      <c r="B186" s="851" t="s">
        <v>138</v>
      </c>
      <c r="C186" s="37" t="s">
        <v>520</v>
      </c>
      <c r="D186" s="37"/>
      <c r="F186" s="122">
        <v>1.8348961959765025E-2</v>
      </c>
      <c r="G186" s="122">
        <v>1.8752139210161077E-2</v>
      </c>
      <c r="H186" s="122">
        <v>1.6409306026439974E-2</v>
      </c>
      <c r="I186" s="122">
        <f>L44/1000</f>
        <v>1.6611886263589008E-2</v>
      </c>
      <c r="J186" s="852"/>
      <c r="L186" s="550" t="s">
        <v>70</v>
      </c>
      <c r="M186" s="205">
        <f>I207</f>
        <v>0.30820069473286071</v>
      </c>
      <c r="N186" s="206">
        <f>I206</f>
        <v>0.41468434987672437</v>
      </c>
      <c r="O186" s="549">
        <f>N186-M186</f>
        <v>0.10648365514386365</v>
      </c>
      <c r="P186" s="207">
        <f>O186/M186</f>
        <v>0.34550102243007774</v>
      </c>
      <c r="Q186" s="115"/>
      <c r="R186" s="115"/>
      <c r="S186" s="115"/>
      <c r="T186" s="548" t="s">
        <v>70</v>
      </c>
      <c r="U186" s="217">
        <f>AG208</f>
        <v>0.30820069473286071</v>
      </c>
      <c r="V186" s="218">
        <f>AG207</f>
        <v>0.41468434987672437</v>
      </c>
      <c r="W186" s="547">
        <f>V186-U186</f>
        <v>0.10648365514386365</v>
      </c>
      <c r="X186" s="219">
        <f>W186/U186</f>
        <v>0.34550102243007774</v>
      </c>
      <c r="Z186" s="851" t="s">
        <v>138</v>
      </c>
      <c r="AA186" s="37" t="s">
        <v>520</v>
      </c>
      <c r="AB186" s="37"/>
      <c r="AD186" s="122">
        <f t="shared" ref="AD186:AG187" si="35">F186</f>
        <v>1.8348961959765025E-2</v>
      </c>
      <c r="AE186" s="122">
        <f t="shared" si="35"/>
        <v>1.8752139210161077E-2</v>
      </c>
      <c r="AF186" s="122">
        <f t="shared" si="35"/>
        <v>1.6409306026439974E-2</v>
      </c>
      <c r="AG186" s="122">
        <f t="shared" si="35"/>
        <v>1.6611886263589008E-2</v>
      </c>
      <c r="AH186" s="852"/>
      <c r="AI186" s="227"/>
    </row>
    <row r="187" spans="2:83" ht="13.2" thickBot="1">
      <c r="B187" s="843"/>
      <c r="C187" s="37" t="s">
        <v>521</v>
      </c>
      <c r="D187" s="37"/>
      <c r="F187" s="122">
        <v>9.4538109912233916E-3</v>
      </c>
      <c r="G187" s="122">
        <v>9.4538109912233916E-3</v>
      </c>
      <c r="H187" s="122">
        <v>9.6985419900290429E-3</v>
      </c>
      <c r="I187" s="122">
        <f>L38/1000</f>
        <v>9.8161690381323875E-3</v>
      </c>
      <c r="J187" s="853"/>
      <c r="L187" s="208" t="s">
        <v>3</v>
      </c>
      <c r="M187" s="209">
        <f>SUM(M184:M186)</f>
        <v>7.4876679035116656</v>
      </c>
      <c r="N187" s="209">
        <f>SUM(N184:N186)</f>
        <v>5.6727311046276991</v>
      </c>
      <c r="O187" s="210">
        <f>N187-M187</f>
        <v>-1.8149367988839664</v>
      </c>
      <c r="P187" s="211">
        <f>O187/M187</f>
        <v>-0.24239013031450998</v>
      </c>
      <c r="Q187" s="115"/>
      <c r="R187" s="115"/>
      <c r="S187" s="115"/>
      <c r="T187" s="220" t="s">
        <v>3</v>
      </c>
      <c r="U187" s="221">
        <f>SUM(U184:U186)</f>
        <v>7.9648427873097676</v>
      </c>
      <c r="V187" s="221">
        <f>SUM(V184:V186)</f>
        <v>5.8709938985425607</v>
      </c>
      <c r="W187" s="222">
        <f>V187-U187</f>
        <v>-2.0938488887672069</v>
      </c>
      <c r="X187" s="223">
        <f>W187/U187</f>
        <v>-0.2628864052537605</v>
      </c>
      <c r="Z187" s="843"/>
      <c r="AA187" s="37" t="s">
        <v>521</v>
      </c>
      <c r="AB187" s="37"/>
      <c r="AD187" s="122">
        <f t="shared" si="35"/>
        <v>9.4538109912233916E-3</v>
      </c>
      <c r="AE187" s="122">
        <f t="shared" si="35"/>
        <v>9.4538109912233916E-3</v>
      </c>
      <c r="AF187" s="122">
        <f t="shared" si="35"/>
        <v>9.6985419900290429E-3</v>
      </c>
      <c r="AG187" s="122">
        <f t="shared" si="35"/>
        <v>9.8161690381323875E-3</v>
      </c>
      <c r="AH187" s="853"/>
      <c r="AI187" s="227"/>
    </row>
    <row r="188" spans="2:83" ht="23.25" customHeight="1" thickTop="1" thickBot="1">
      <c r="B188" s="843"/>
      <c r="C188" s="37" t="s">
        <v>155</v>
      </c>
      <c r="D188" s="37"/>
      <c r="F188" s="120">
        <f>F186-F187</f>
        <v>8.8951509685416333E-3</v>
      </c>
      <c r="G188" s="120">
        <f>G186-G187</f>
        <v>9.2983282189376855E-3</v>
      </c>
      <c r="H188" s="120">
        <f>H186-H187</f>
        <v>6.7107640364109308E-3</v>
      </c>
      <c r="I188" s="120">
        <f>I186-I187</f>
        <v>6.7957172254566201E-3</v>
      </c>
      <c r="J188" s="120">
        <f>I188-H188</f>
        <v>8.4953189045689284E-5</v>
      </c>
      <c r="L188" s="202" t="str">
        <f>L174</f>
        <v>£m, 2020-21 prices </v>
      </c>
      <c r="M188" s="860" t="s">
        <v>474</v>
      </c>
      <c r="N188" s="861"/>
      <c r="O188" s="861"/>
      <c r="P188" s="861"/>
      <c r="Q188" s="115"/>
      <c r="R188" s="115"/>
      <c r="S188" s="115"/>
      <c r="T188" s="214" t="str">
        <f>L174</f>
        <v>£m, 2020-21 prices </v>
      </c>
      <c r="U188" s="874" t="s">
        <v>474</v>
      </c>
      <c r="V188" s="875"/>
      <c r="W188" s="875"/>
      <c r="X188" s="875"/>
      <c r="Z188" s="843"/>
      <c r="AA188" s="37" t="s">
        <v>155</v>
      </c>
      <c r="AB188" s="37"/>
      <c r="AD188" s="120">
        <f>AD186-AD187</f>
        <v>8.8951509685416333E-3</v>
      </c>
      <c r="AE188" s="120">
        <f>AE186-AE187</f>
        <v>9.2983282189376855E-3</v>
      </c>
      <c r="AF188" s="120">
        <f>AF186-AF187</f>
        <v>6.7107640364109308E-3</v>
      </c>
      <c r="AG188" s="120">
        <f>AG186-AG187</f>
        <v>6.7957172254566201E-3</v>
      </c>
      <c r="AH188" s="120">
        <f>AG188-AF188</f>
        <v>8.4953189045689284E-5</v>
      </c>
      <c r="AI188" s="227"/>
      <c r="BZ188" s="497"/>
      <c r="CA188" s="252"/>
      <c r="CB188" s="545"/>
      <c r="CC188" s="545"/>
      <c r="CD188" s="545"/>
      <c r="CE188" s="545"/>
    </row>
    <row r="189" spans="2:83" ht="13.2" thickBot="1">
      <c r="E189" s="149" t="s">
        <v>156</v>
      </c>
      <c r="F189" s="148">
        <f>F188/F187</f>
        <v>0.94090636853218246</v>
      </c>
      <c r="G189" s="148">
        <f>G188/G187</f>
        <v>0.98355342914830313</v>
      </c>
      <c r="H189" s="148">
        <f>H188/H187</f>
        <v>0.69193534897412301</v>
      </c>
      <c r="I189" s="148">
        <f>I188/I187</f>
        <v>0.69229830894900368</v>
      </c>
      <c r="J189" s="114"/>
      <c r="L189" s="550"/>
      <c r="M189" s="558" t="s">
        <v>2</v>
      </c>
      <c r="N189" s="557" t="s">
        <v>4</v>
      </c>
      <c r="O189" s="858" t="s">
        <v>46</v>
      </c>
      <c r="P189" s="859"/>
      <c r="Q189" s="115"/>
      <c r="R189" s="115"/>
      <c r="S189" s="115"/>
      <c r="T189" s="548"/>
      <c r="U189" s="556" t="s">
        <v>2</v>
      </c>
      <c r="V189" s="555" t="s">
        <v>4</v>
      </c>
      <c r="W189" s="872" t="s">
        <v>46</v>
      </c>
      <c r="X189" s="873"/>
      <c r="AA189" s="659"/>
      <c r="AC189" s="149" t="s">
        <v>156</v>
      </c>
      <c r="AD189" s="148">
        <f>AD188/AD187</f>
        <v>0.94090636853218246</v>
      </c>
      <c r="AE189" s="148">
        <f>AE188/AE187</f>
        <v>0.98355342914830313</v>
      </c>
      <c r="AF189" s="148">
        <f>AF188/AF187</f>
        <v>0.69193534897412301</v>
      </c>
      <c r="AG189" s="148">
        <f>AG188/AG187</f>
        <v>0.69229830894900368</v>
      </c>
      <c r="AH189" s="114"/>
      <c r="AI189" s="227"/>
      <c r="BZ189" s="497"/>
      <c r="CA189" s="545"/>
      <c r="CB189" s="545"/>
      <c r="CC189" s="545"/>
      <c r="CD189" s="545"/>
      <c r="CE189" s="545"/>
    </row>
    <row r="190" spans="2:83" ht="13.2">
      <c r="F190" s="115"/>
      <c r="G190" s="115"/>
      <c r="H190" s="115"/>
      <c r="I190" s="115"/>
      <c r="J190" s="114"/>
      <c r="L190" s="550"/>
      <c r="M190" s="203"/>
      <c r="N190" s="554"/>
      <c r="O190" s="553" t="s">
        <v>47</v>
      </c>
      <c r="P190" s="204" t="s">
        <v>48</v>
      </c>
      <c r="Q190" s="115"/>
      <c r="R190" s="115"/>
      <c r="S190" s="115"/>
      <c r="T190" s="548"/>
      <c r="U190" s="215"/>
      <c r="V190" s="552"/>
      <c r="W190" s="551" t="s">
        <v>47</v>
      </c>
      <c r="X190" s="216" t="s">
        <v>48</v>
      </c>
      <c r="AA190" s="659"/>
      <c r="AD190" s="115"/>
      <c r="AE190" s="115"/>
      <c r="AF190" s="115"/>
      <c r="AG190" s="115"/>
      <c r="AH190" s="114"/>
      <c r="AI190" s="227"/>
      <c r="BZ190" s="497"/>
      <c r="CA190" s="545"/>
      <c r="CB190" s="545"/>
      <c r="CC190" s="545"/>
      <c r="CD190" s="545"/>
      <c r="CE190" s="545"/>
    </row>
    <row r="191" spans="2:83" ht="13.2" thickBot="1">
      <c r="B191" s="86"/>
      <c r="C191" s="37" t="str">
        <f>C173</f>
        <v>£ billion, 2020-21 Prices</v>
      </c>
      <c r="D191" s="37"/>
      <c r="F191" s="124" t="s">
        <v>121</v>
      </c>
      <c r="G191" s="124" t="s">
        <v>137</v>
      </c>
      <c r="H191" s="124" t="s">
        <v>348</v>
      </c>
      <c r="I191" s="124" t="str">
        <f>I173</f>
        <v>RRP 21</v>
      </c>
      <c r="J191" s="121"/>
      <c r="L191" s="550" t="s">
        <v>75</v>
      </c>
      <c r="M191" s="205">
        <f>I155</f>
        <v>0.20144816138313795</v>
      </c>
      <c r="N191" s="206">
        <f>I154</f>
        <v>0.40766130627431313</v>
      </c>
      <c r="O191" s="549">
        <f>N191-M191</f>
        <v>0.20621314489117518</v>
      </c>
      <c r="P191" s="207">
        <f>O191/M191</f>
        <v>1.0236536460562409</v>
      </c>
      <c r="Q191" s="115"/>
      <c r="R191" s="115"/>
      <c r="S191" s="115"/>
      <c r="T191" s="548" t="s">
        <v>75</v>
      </c>
      <c r="U191" s="217">
        <f>AG154</f>
        <v>0.20144816138313795</v>
      </c>
      <c r="V191" s="218">
        <f>AG153</f>
        <v>0.40766130627431313</v>
      </c>
      <c r="W191" s="547">
        <f>V191-U191</f>
        <v>0.20621314489117518</v>
      </c>
      <c r="X191" s="219">
        <f>W191/U191</f>
        <v>1.0236536460562409</v>
      </c>
      <c r="Z191" s="86"/>
      <c r="AA191" s="37" t="str">
        <f>AA173</f>
        <v>£ billion, 2020-21 Prices</v>
      </c>
      <c r="AB191" s="37"/>
      <c r="AD191" s="124" t="s">
        <v>121</v>
      </c>
      <c r="AE191" s="124" t="s">
        <v>137</v>
      </c>
      <c r="AF191" s="124" t="str">
        <f>AF173</f>
        <v>RRP 20</v>
      </c>
      <c r="AG191" s="124" t="s">
        <v>472</v>
      </c>
      <c r="AH191" s="121" t="s">
        <v>122</v>
      </c>
      <c r="AI191" s="227"/>
      <c r="BZ191" s="497"/>
      <c r="CA191" s="545"/>
      <c r="CB191" s="545"/>
      <c r="CC191" s="545"/>
      <c r="CD191" s="545"/>
      <c r="CE191" s="545"/>
    </row>
    <row r="192" spans="2:83" ht="13.2" thickBot="1">
      <c r="B192" s="851" t="s">
        <v>139</v>
      </c>
      <c r="C192" s="37" t="s">
        <v>520</v>
      </c>
      <c r="D192" s="37"/>
      <c r="F192" s="123">
        <v>0.27864407349152398</v>
      </c>
      <c r="G192" s="123">
        <v>0.2801872469364417</v>
      </c>
      <c r="H192" s="123">
        <v>0.29481723257927916</v>
      </c>
      <c r="I192" s="123">
        <f>L45/1000</f>
        <v>0.29228807330435713</v>
      </c>
      <c r="J192" s="852"/>
      <c r="L192" s="550" t="s">
        <v>1</v>
      </c>
      <c r="M192" s="212">
        <f>I187</f>
        <v>9.8161690381323875E-3</v>
      </c>
      <c r="N192" s="213">
        <f>I186</f>
        <v>1.6611886263589008E-2</v>
      </c>
      <c r="O192" s="549">
        <f>N192-M192</f>
        <v>6.7957172254566201E-3</v>
      </c>
      <c r="P192" s="207">
        <f>O192/M192</f>
        <v>0.69229830894900368</v>
      </c>
      <c r="Q192" s="115"/>
      <c r="R192" s="115"/>
      <c r="S192" s="115"/>
      <c r="T192" s="548" t="s">
        <v>1</v>
      </c>
      <c r="U192" s="224">
        <f>AG187</f>
        <v>9.8161690381323875E-3</v>
      </c>
      <c r="V192" s="225">
        <f>AG186</f>
        <v>1.6611886263589008E-2</v>
      </c>
      <c r="W192" s="547">
        <f>V192-U192</f>
        <v>6.7957172254566201E-3</v>
      </c>
      <c r="X192" s="219">
        <f>W192/U192</f>
        <v>0.69229830894900368</v>
      </c>
      <c r="Z192" s="851" t="s">
        <v>139</v>
      </c>
      <c r="AA192" s="37" t="s">
        <v>520</v>
      </c>
      <c r="AB192" s="37"/>
      <c r="AD192" s="123">
        <f t="shared" ref="AD192:AG193" si="36">F192</f>
        <v>0.27864407349152398</v>
      </c>
      <c r="AE192" s="123">
        <f t="shared" si="36"/>
        <v>0.2801872469364417</v>
      </c>
      <c r="AF192" s="123">
        <f t="shared" si="36"/>
        <v>0.29481723257927916</v>
      </c>
      <c r="AG192" s="123">
        <f t="shared" si="36"/>
        <v>0.29228807330435713</v>
      </c>
      <c r="AH192" s="852"/>
      <c r="AI192" s="227"/>
      <c r="BZ192" s="497"/>
      <c r="CA192" s="252"/>
      <c r="CB192" s="545"/>
      <c r="CC192" s="545"/>
      <c r="CD192" s="545"/>
      <c r="CE192" s="545"/>
    </row>
    <row r="193" spans="1:83" ht="13.2" thickBot="1">
      <c r="B193" s="843"/>
      <c r="C193" s="37" t="s">
        <v>521</v>
      </c>
      <c r="D193" s="37"/>
      <c r="F193" s="123">
        <v>0.20637061888737507</v>
      </c>
      <c r="G193" s="123">
        <v>0.20671679030531565</v>
      </c>
      <c r="H193" s="123">
        <v>0.20788161808383951</v>
      </c>
      <c r="I193" s="123">
        <f>L39/1000</f>
        <v>0.21030183967681312</v>
      </c>
      <c r="J193" s="853"/>
      <c r="L193" s="550" t="s">
        <v>70</v>
      </c>
      <c r="M193" s="212">
        <f>I219</f>
        <v>1.0093815862934934E-2</v>
      </c>
      <c r="N193" s="213">
        <f>I218</f>
        <v>3.0074427336867226E-2</v>
      </c>
      <c r="O193" s="549">
        <f>N193-M193</f>
        <v>1.9980611473932292E-2</v>
      </c>
      <c r="P193" s="207">
        <f>O193/M193</f>
        <v>1.9794903875057037</v>
      </c>
      <c r="Q193" s="115"/>
      <c r="R193" s="115"/>
      <c r="S193" s="115"/>
      <c r="T193" s="548" t="s">
        <v>70</v>
      </c>
      <c r="U193" s="224">
        <f>AG220</f>
        <v>1.0093815862934934E-2</v>
      </c>
      <c r="V193" s="225">
        <f>AG219</f>
        <v>3.0074427336867226E-2</v>
      </c>
      <c r="W193" s="547">
        <f>V193-U193</f>
        <v>1.9980611473932292E-2</v>
      </c>
      <c r="X193" s="219">
        <f>W193/U193</f>
        <v>1.9794903875057037</v>
      </c>
      <c r="Z193" s="843"/>
      <c r="AA193" s="37" t="s">
        <v>521</v>
      </c>
      <c r="AB193" s="37"/>
      <c r="AD193" s="123">
        <f t="shared" si="36"/>
        <v>0.20637061888737507</v>
      </c>
      <c r="AE193" s="123">
        <f t="shared" si="36"/>
        <v>0.20671679030531565</v>
      </c>
      <c r="AF193" s="123">
        <f t="shared" si="36"/>
        <v>0.20788161808383951</v>
      </c>
      <c r="AG193" s="123">
        <f t="shared" si="36"/>
        <v>0.21030183967681312</v>
      </c>
      <c r="AH193" s="853"/>
      <c r="AI193" s="227"/>
      <c r="BZ193" s="497"/>
      <c r="CA193" s="545"/>
      <c r="CB193" s="545"/>
      <c r="CC193" s="545"/>
      <c r="CD193" s="545"/>
      <c r="CE193" s="545"/>
    </row>
    <row r="194" spans="1:83" ht="13.2" thickBot="1">
      <c r="B194" s="843"/>
      <c r="C194" s="37" t="s">
        <v>155</v>
      </c>
      <c r="D194" s="37"/>
      <c r="F194" s="124">
        <f>F192-F193</f>
        <v>7.2273454604148912E-2</v>
      </c>
      <c r="G194" s="124">
        <f>G192-G193</f>
        <v>7.3470456631126058E-2</v>
      </c>
      <c r="H194" s="124">
        <f>H192-H193</f>
        <v>8.6935614495439656E-2</v>
      </c>
      <c r="I194" s="124">
        <f>I192-I193</f>
        <v>8.1986233627544008E-2</v>
      </c>
      <c r="J194" s="120">
        <f>I194-H194</f>
        <v>-4.9493808678956475E-3</v>
      </c>
      <c r="L194" s="208" t="s">
        <v>3</v>
      </c>
      <c r="M194" s="209">
        <f>SUM(M191:M193)</f>
        <v>0.22135814628420528</v>
      </c>
      <c r="N194" s="209">
        <f>SUM(N191:N193)</f>
        <v>0.45434761987476935</v>
      </c>
      <c r="O194" s="210">
        <f>N194-M194</f>
        <v>0.23298947359056407</v>
      </c>
      <c r="P194" s="211">
        <f>O194/M194</f>
        <v>1.0525452869099525</v>
      </c>
      <c r="Q194" s="115"/>
      <c r="R194" s="115"/>
      <c r="S194" s="115"/>
      <c r="T194" s="220" t="s">
        <v>3</v>
      </c>
      <c r="U194" s="221">
        <f>SUM(U191:U193)</f>
        <v>0.22135814628420528</v>
      </c>
      <c r="V194" s="221">
        <f>SUM(V191:V193)</f>
        <v>0.45434761987476935</v>
      </c>
      <c r="W194" s="222">
        <f>V194-U194</f>
        <v>0.23298947359056407</v>
      </c>
      <c r="X194" s="223">
        <f>W194/U194</f>
        <v>1.0525452869099525</v>
      </c>
      <c r="Z194" s="843"/>
      <c r="AA194" s="37" t="s">
        <v>155</v>
      </c>
      <c r="AB194" s="37"/>
      <c r="AD194" s="124">
        <f>AD192-AD193</f>
        <v>7.2273454604148912E-2</v>
      </c>
      <c r="AE194" s="124">
        <f>AE192-AE193</f>
        <v>7.3470456631126058E-2</v>
      </c>
      <c r="AF194" s="124">
        <f>AF192-AF193</f>
        <v>8.6935614495439656E-2</v>
      </c>
      <c r="AG194" s="124">
        <f>AG192-AG193</f>
        <v>8.1986233627544008E-2</v>
      </c>
      <c r="AH194" s="120">
        <f>AG194-AF194</f>
        <v>-4.9493808678956475E-3</v>
      </c>
      <c r="AI194" s="227"/>
      <c r="BZ194" s="497"/>
      <c r="CA194" s="545"/>
      <c r="CB194" s="545"/>
      <c r="CC194" s="545"/>
      <c r="CD194" s="545"/>
      <c r="CE194" s="545"/>
    </row>
    <row r="195" spans="1:83" ht="13.2" thickBot="1">
      <c r="E195" s="149" t="s">
        <v>156</v>
      </c>
      <c r="F195" s="148">
        <f>F194/F193</f>
        <v>0.35021193905316295</v>
      </c>
      <c r="G195" s="148">
        <f>G194/G193</f>
        <v>0.35541600913313326</v>
      </c>
      <c r="H195" s="148">
        <f>H194/H193</f>
        <v>0.41819769971377729</v>
      </c>
      <c r="I195" s="148">
        <f>I194/I193</f>
        <v>0.38985029210176431</v>
      </c>
      <c r="L195" s="126"/>
      <c r="M195" s="115"/>
      <c r="N195" s="115"/>
      <c r="O195" s="127"/>
      <c r="P195" s="115"/>
      <c r="Q195" s="115"/>
      <c r="R195" s="115"/>
      <c r="S195" s="115"/>
      <c r="AC195" s="149" t="s">
        <v>156</v>
      </c>
      <c r="AD195" s="148">
        <f>AD194/AD193</f>
        <v>0.35021193905316295</v>
      </c>
      <c r="AE195" s="148">
        <f>AE194/AE193</f>
        <v>0.35541600913313326</v>
      </c>
      <c r="AF195" s="148">
        <f>AF194/AF193</f>
        <v>0.41819769971377729</v>
      </c>
      <c r="AG195" s="148">
        <f>AG194/AG193</f>
        <v>0.38985029210176431</v>
      </c>
      <c r="AI195" s="227"/>
      <c r="BZ195" s="497"/>
      <c r="CA195" s="545"/>
      <c r="CB195" s="545"/>
      <c r="CC195" s="545"/>
      <c r="CD195" s="545"/>
      <c r="CE195" s="545"/>
    </row>
    <row r="196" spans="1:83">
      <c r="A196" s="541" t="s">
        <v>281</v>
      </c>
      <c r="B196" s="541"/>
      <c r="E196" s="546"/>
      <c r="F196" s="148"/>
      <c r="G196" s="148"/>
      <c r="L196" s="126"/>
      <c r="M196" s="115"/>
      <c r="N196" s="115"/>
      <c r="O196" s="127"/>
      <c r="P196" s="115"/>
      <c r="Q196" s="115"/>
      <c r="R196" s="115"/>
      <c r="S196" s="115"/>
      <c r="AI196" s="227"/>
      <c r="BZ196" s="497"/>
      <c r="CA196" s="252"/>
      <c r="CB196" s="545"/>
      <c r="CC196" s="545"/>
      <c r="CD196" s="545"/>
      <c r="CE196" s="545"/>
    </row>
    <row r="197" spans="1:83">
      <c r="A197" s="540" t="s">
        <v>279</v>
      </c>
      <c r="B197" s="540" t="s">
        <v>280</v>
      </c>
      <c r="E197" s="151" t="s">
        <v>157</v>
      </c>
      <c r="F197" s="153">
        <f t="shared" ref="F197:I199" si="37">F174+F180+F186+F192</f>
        <v>2.259312673860665</v>
      </c>
      <c r="G197" s="153">
        <f t="shared" si="37"/>
        <v>2.2862400966555141</v>
      </c>
      <c r="H197" s="153">
        <f t="shared" si="37"/>
        <v>2.3231530257619637</v>
      </c>
      <c r="I197" s="153">
        <f t="shared" si="37"/>
        <v>2.2723322572437237</v>
      </c>
      <c r="J197" s="153">
        <f>SUM(AI6:AP7)/1000</f>
        <v>2.2723322572437237</v>
      </c>
      <c r="K197" s="153">
        <f>J197-I197</f>
        <v>0</v>
      </c>
      <c r="L197" s="126"/>
      <c r="M197" s="115"/>
      <c r="N197" s="115"/>
      <c r="O197" s="127"/>
      <c r="P197" s="115"/>
      <c r="Q197" s="115"/>
      <c r="R197" s="115"/>
      <c r="S197" s="115"/>
      <c r="AD197" s="153">
        <f t="shared" ref="AD197:AG199" si="38">AD174+AD180+AD186+AD192</f>
        <v>2.2803390823648022</v>
      </c>
      <c r="AE197" s="153">
        <f t="shared" si="38"/>
        <v>2.3072665051596513</v>
      </c>
      <c r="AF197" s="153">
        <f t="shared" si="38"/>
        <v>2.3441794342661009</v>
      </c>
      <c r="AG197" s="153">
        <f t="shared" si="38"/>
        <v>2.2933586657478608</v>
      </c>
      <c r="AI197" s="227"/>
      <c r="BZ197" s="497"/>
      <c r="CA197" s="545"/>
      <c r="CB197" s="545"/>
      <c r="CC197" s="545"/>
      <c r="CD197" s="545"/>
      <c r="CE197" s="545"/>
    </row>
    <row r="198" spans="1:83">
      <c r="A198" s="538">
        <v>1.1942043850738444</v>
      </c>
      <c r="B198" s="538">
        <v>1.2504231477499352</v>
      </c>
      <c r="C198" s="38"/>
      <c r="E198" s="151" t="s">
        <v>157</v>
      </c>
      <c r="F198" s="153">
        <f t="shared" si="37"/>
        <v>2.3273278686557797</v>
      </c>
      <c r="G198" s="153">
        <f t="shared" si="37"/>
        <v>2.3622709342963102</v>
      </c>
      <c r="H198" s="153">
        <f t="shared" si="37"/>
        <v>2.4666072127588037</v>
      </c>
      <c r="I198" s="153">
        <f t="shared" si="37"/>
        <v>2.434511683592754</v>
      </c>
      <c r="J198" s="153">
        <f>SUM(AI8:AP8)/1000</f>
        <v>2.4345116835927545</v>
      </c>
      <c r="K198" s="153">
        <f>J198-I198</f>
        <v>0</v>
      </c>
      <c r="L198" s="126"/>
      <c r="M198" s="115"/>
      <c r="N198" s="115"/>
      <c r="O198" s="127"/>
      <c r="P198" s="115"/>
      <c r="Q198" s="115"/>
      <c r="R198" s="115"/>
      <c r="S198" s="115"/>
      <c r="AD198" s="153">
        <f t="shared" si="38"/>
        <v>2.3273278686557797</v>
      </c>
      <c r="AE198" s="153">
        <f t="shared" si="38"/>
        <v>2.3622709342963102</v>
      </c>
      <c r="AF198" s="153">
        <f t="shared" si="38"/>
        <v>2.4666072127588037</v>
      </c>
      <c r="AG198" s="153">
        <f t="shared" si="38"/>
        <v>2.434511683592754</v>
      </c>
      <c r="AI198" s="227"/>
      <c r="BZ198" s="497"/>
      <c r="CA198" s="545"/>
      <c r="CB198" s="545"/>
      <c r="CC198" s="545"/>
      <c r="CD198" s="545"/>
      <c r="CE198" s="545"/>
    </row>
    <row r="199" spans="1:83">
      <c r="A199" s="538">
        <v>0.76811525333553188</v>
      </c>
      <c r="B199" s="538">
        <v>0.86108029102724626</v>
      </c>
      <c r="C199" s="38"/>
      <c r="E199" s="151" t="s">
        <v>157</v>
      </c>
      <c r="F199" s="153">
        <f t="shared" si="37"/>
        <v>-6.801519479511467E-2</v>
      </c>
      <c r="G199" s="153">
        <f t="shared" si="37"/>
        <v>-7.6030837640796572E-2</v>
      </c>
      <c r="H199" s="153">
        <f t="shared" si="37"/>
        <v>-0.14345418699684004</v>
      </c>
      <c r="I199" s="153">
        <f t="shared" si="37"/>
        <v>-0.16217942634903074</v>
      </c>
      <c r="J199" s="153">
        <f>J197-J198</f>
        <v>-0.16217942634903082</v>
      </c>
      <c r="K199" s="153">
        <f>J199-I199</f>
        <v>0</v>
      </c>
      <c r="L199" s="126"/>
      <c r="M199" s="115"/>
      <c r="N199" s="115"/>
      <c r="O199" s="127"/>
      <c r="P199" s="115"/>
      <c r="Q199" s="115"/>
      <c r="R199" s="115"/>
      <c r="S199" s="115"/>
      <c r="AD199" s="153">
        <f t="shared" si="38"/>
        <v>-4.6988786290977275E-2</v>
      </c>
      <c r="AE199" s="153">
        <f t="shared" si="38"/>
        <v>-5.5004429136659178E-2</v>
      </c>
      <c r="AF199" s="153">
        <f t="shared" si="38"/>
        <v>-0.12242777849270264</v>
      </c>
      <c r="AG199" s="153">
        <f t="shared" si="38"/>
        <v>-0.14115301784489334</v>
      </c>
      <c r="AI199" s="227"/>
      <c r="BZ199" s="497"/>
      <c r="CA199" s="545"/>
      <c r="CB199" s="545"/>
      <c r="CC199" s="545"/>
      <c r="CD199" s="545"/>
      <c r="CE199" s="545"/>
    </row>
    <row r="200" spans="1:83">
      <c r="A200" s="538">
        <v>1.8348961959765025E-2</v>
      </c>
      <c r="B200" s="538">
        <v>9.4538109912233916E-3</v>
      </c>
      <c r="C200" s="38"/>
      <c r="F200" s="201">
        <f>F199/F198</f>
        <v>-2.922458657894169E-2</v>
      </c>
      <c r="G200" s="201">
        <f>G199/G198</f>
        <v>-3.2185485812382134E-2</v>
      </c>
      <c r="H200" s="201">
        <f>H199/H198</f>
        <v>-5.8158504627249565E-2</v>
      </c>
      <c r="I200" s="201">
        <f>I199/I198</f>
        <v>-6.6616819891245252E-2</v>
      </c>
      <c r="J200" s="201"/>
      <c r="K200" s="201"/>
      <c r="L200" s="201"/>
      <c r="M200" s="201"/>
      <c r="N200" s="201"/>
      <c r="O200" s="201"/>
      <c r="P200" s="201"/>
      <c r="Q200" s="201"/>
      <c r="R200" s="201"/>
      <c r="S200" s="201"/>
      <c r="T200" s="201"/>
      <c r="U200" s="201"/>
      <c r="V200" s="201"/>
      <c r="W200" s="201"/>
      <c r="X200" s="201"/>
      <c r="Y200" s="201"/>
      <c r="Z200" s="201"/>
      <c r="AA200" s="201"/>
      <c r="AB200" s="201"/>
      <c r="AC200" s="201"/>
      <c r="AD200" s="201">
        <f>AD199/AD198</f>
        <v>-2.0190015735993872E-2</v>
      </c>
      <c r="AE200" s="201">
        <f>AE199/AE198</f>
        <v>-2.328455569515115E-2</v>
      </c>
      <c r="AF200" s="201">
        <f>AF199/AF198</f>
        <v>-4.9634079499740032E-2</v>
      </c>
      <c r="AG200" s="201">
        <f>AG199/AG198</f>
        <v>-5.7980012499502742E-2</v>
      </c>
      <c r="AI200" s="227"/>
    </row>
    <row r="201" spans="1:83">
      <c r="A201" s="538">
        <v>0.27864407349152404</v>
      </c>
      <c r="B201" s="538">
        <v>0.2063706188873751</v>
      </c>
      <c r="C201" s="38"/>
      <c r="L201" s="126"/>
      <c r="M201" s="115"/>
      <c r="N201" s="115"/>
      <c r="O201" s="127"/>
      <c r="P201" s="115"/>
      <c r="Q201" s="115"/>
      <c r="R201" s="115"/>
      <c r="S201" s="115"/>
      <c r="AI201" s="227"/>
    </row>
    <row r="202" spans="1:83">
      <c r="L202" s="126"/>
      <c r="M202" s="115"/>
      <c r="N202" s="115"/>
      <c r="O202" s="127"/>
      <c r="P202" s="115"/>
      <c r="Q202" s="115"/>
      <c r="R202" s="115"/>
      <c r="S202" s="115"/>
      <c r="AI202" s="227"/>
    </row>
    <row r="203" spans="1:83">
      <c r="A203" s="1" t="s">
        <v>564</v>
      </c>
      <c r="B203" s="23" t="s">
        <v>576</v>
      </c>
      <c r="L203" s="126"/>
      <c r="M203" s="115"/>
      <c r="N203" s="115"/>
      <c r="P203" s="115"/>
      <c r="Q203" s="115"/>
      <c r="R203" s="115"/>
      <c r="S203" s="115"/>
      <c r="AI203" s="227"/>
    </row>
    <row r="204" spans="1:83">
      <c r="B204" s="497"/>
      <c r="L204" s="126"/>
      <c r="M204" s="115"/>
      <c r="N204" s="115"/>
      <c r="P204" s="115"/>
      <c r="Q204" s="115"/>
      <c r="R204" s="115"/>
      <c r="S204" s="115"/>
      <c r="Z204" s="1" t="s">
        <v>151</v>
      </c>
      <c r="AA204" s="156" t="s">
        <v>473</v>
      </c>
      <c r="AI204" s="227"/>
    </row>
    <row r="205" spans="1:83" ht="13.2" thickBot="1">
      <c r="B205" s="86"/>
      <c r="C205" s="37" t="str">
        <f>C141</f>
        <v>£ billion, 2020-21 Prices</v>
      </c>
      <c r="D205" s="37"/>
      <c r="F205" s="77" t="s">
        <v>121</v>
      </c>
      <c r="G205" s="77" t="s">
        <v>137</v>
      </c>
      <c r="H205" s="77" t="s">
        <v>348</v>
      </c>
      <c r="I205" s="77" t="s">
        <v>472</v>
      </c>
      <c r="J205" s="78" t="s">
        <v>122</v>
      </c>
      <c r="L205" s="126"/>
      <c r="M205" s="115"/>
      <c r="N205" s="115"/>
      <c r="P205" s="115"/>
      <c r="Q205" s="115"/>
      <c r="R205" s="115"/>
      <c r="S205" s="115"/>
      <c r="Z205" s="115"/>
      <c r="AI205" s="227"/>
    </row>
    <row r="206" spans="1:83" ht="13.2" thickBot="1">
      <c r="B206" s="851" t="s">
        <v>77</v>
      </c>
      <c r="C206" s="37" t="s">
        <v>520</v>
      </c>
      <c r="D206" s="37"/>
      <c r="F206" s="117">
        <v>0.43857999287082716</v>
      </c>
      <c r="G206" s="117">
        <v>0.42950591729153664</v>
      </c>
      <c r="H206" s="117">
        <v>0.41761912171183341</v>
      </c>
      <c r="I206" s="117">
        <f>L60/1000</f>
        <v>0.41468434987672437</v>
      </c>
      <c r="J206" s="854"/>
      <c r="L206" s="126"/>
      <c r="M206" s="115"/>
      <c r="N206" s="115"/>
      <c r="P206" s="115"/>
      <c r="Q206" s="115"/>
      <c r="R206" s="115"/>
      <c r="Z206" s="115"/>
      <c r="AA206" s="86"/>
      <c r="AB206" s="37" t="str">
        <f>C205</f>
        <v>£ billion, 2020-21 Prices</v>
      </c>
      <c r="AD206" s="77" t="s">
        <v>121</v>
      </c>
      <c r="AE206" s="77" t="s">
        <v>137</v>
      </c>
      <c r="AF206" s="77" t="s">
        <v>348</v>
      </c>
      <c r="AG206" s="77" t="s">
        <v>472</v>
      </c>
      <c r="AH206" s="78" t="s">
        <v>122</v>
      </c>
      <c r="AI206" s="227"/>
    </row>
    <row r="207" spans="1:83" ht="13.2" thickBot="1">
      <c r="B207" s="843"/>
      <c r="C207" s="37" t="s">
        <v>521</v>
      </c>
      <c r="D207" s="37"/>
      <c r="F207" s="117">
        <v>0.33622637692204421</v>
      </c>
      <c r="G207" s="117">
        <v>0.33921883670603931</v>
      </c>
      <c r="H207" s="117">
        <v>0.30149345118192961</v>
      </c>
      <c r="I207" s="117">
        <f>L54/1000</f>
        <v>0.30820069473286071</v>
      </c>
      <c r="J207" s="855"/>
      <c r="L207" s="126"/>
      <c r="M207" s="115"/>
      <c r="N207" s="115"/>
      <c r="P207" s="115"/>
      <c r="Q207" s="115"/>
      <c r="R207" s="115"/>
      <c r="Z207" s="115"/>
      <c r="AA207" s="851" t="s">
        <v>77</v>
      </c>
      <c r="AB207" s="37" t="s">
        <v>520</v>
      </c>
      <c r="AD207" s="117">
        <f t="shared" ref="AD207:AG208" si="39">F206</f>
        <v>0.43857999287082716</v>
      </c>
      <c r="AE207" s="117">
        <f t="shared" si="39"/>
        <v>0.42950591729153664</v>
      </c>
      <c r="AF207" s="117">
        <f t="shared" si="39"/>
        <v>0.41761912171183341</v>
      </c>
      <c r="AG207" s="117">
        <f t="shared" si="39"/>
        <v>0.41468434987672437</v>
      </c>
      <c r="AH207" s="854"/>
      <c r="AI207" s="227"/>
    </row>
    <row r="208" spans="1:83" ht="13.2" thickBot="1">
      <c r="B208" s="843"/>
      <c r="C208" s="37" t="s">
        <v>155</v>
      </c>
      <c r="D208" s="37"/>
      <c r="F208" s="118">
        <f>F206-F207</f>
        <v>0.10235361594878295</v>
      </c>
      <c r="G208" s="118">
        <f>G206-G207</f>
        <v>9.0287080585497337E-2</v>
      </c>
      <c r="H208" s="118">
        <f>H206-H207</f>
        <v>0.1161256705299038</v>
      </c>
      <c r="I208" s="118">
        <f>I206-I207</f>
        <v>0.10648365514386365</v>
      </c>
      <c r="J208" s="116">
        <f>I208-H208</f>
        <v>-9.6420153860401481E-3</v>
      </c>
      <c r="L208" s="126"/>
      <c r="M208" s="115"/>
      <c r="N208" s="115"/>
      <c r="P208" s="115"/>
      <c r="Q208" s="115"/>
      <c r="R208" s="115"/>
      <c r="Z208" s="115"/>
      <c r="AA208" s="843"/>
      <c r="AB208" s="37" t="s">
        <v>521</v>
      </c>
      <c r="AD208" s="117">
        <f t="shared" si="39"/>
        <v>0.33622637692204421</v>
      </c>
      <c r="AE208" s="117">
        <f t="shared" si="39"/>
        <v>0.33921883670603931</v>
      </c>
      <c r="AF208" s="117">
        <f t="shared" si="39"/>
        <v>0.30149345118192961</v>
      </c>
      <c r="AG208" s="117">
        <f t="shared" si="39"/>
        <v>0.30820069473286071</v>
      </c>
      <c r="AH208" s="855"/>
      <c r="AI208" s="227"/>
    </row>
    <row r="209" spans="1:35" ht="13.5" customHeight="1" thickBot="1">
      <c r="E209" s="149" t="s">
        <v>156</v>
      </c>
      <c r="F209" s="148">
        <f>F208/F207</f>
        <v>0.30441875764111792</v>
      </c>
      <c r="G209" s="148">
        <f>G208/G207</f>
        <v>0.26616175405299924</v>
      </c>
      <c r="H209" s="148">
        <f>H208/H207</f>
        <v>0.38516813574113196</v>
      </c>
      <c r="I209" s="148">
        <f>I208/I207</f>
        <v>0.34550102243007774</v>
      </c>
      <c r="J209" s="38"/>
      <c r="K209" s="862"/>
      <c r="L209" s="862"/>
      <c r="M209" s="115"/>
      <c r="N209" s="862"/>
      <c r="O209" s="862"/>
      <c r="P209" s="862"/>
      <c r="Q209" s="543"/>
      <c r="R209" s="543"/>
      <c r="T209" s="862"/>
      <c r="Z209" s="115"/>
      <c r="AA209" s="843"/>
      <c r="AB209" s="37" t="s">
        <v>155</v>
      </c>
      <c r="AD209" s="118">
        <f>AD207-AD208</f>
        <v>0.10235361594878295</v>
      </c>
      <c r="AE209" s="118">
        <f>AE207-AE208</f>
        <v>9.0287080585497337E-2</v>
      </c>
      <c r="AF209" s="118">
        <f>AF207-AF208</f>
        <v>0.1161256705299038</v>
      </c>
      <c r="AG209" s="118">
        <f>AG207-AG208</f>
        <v>0.10648365514386365</v>
      </c>
      <c r="AH209" s="116">
        <f>AG209-AF209</f>
        <v>-9.6420153860401481E-3</v>
      </c>
      <c r="AI209" s="227"/>
    </row>
    <row r="210" spans="1:35" ht="13.2" thickBot="1">
      <c r="F210" s="119"/>
      <c r="G210" s="119"/>
      <c r="H210" s="119"/>
      <c r="I210" s="119"/>
      <c r="J210" s="38"/>
      <c r="K210" s="863"/>
      <c r="L210" s="863"/>
      <c r="M210" s="115"/>
      <c r="N210" s="863"/>
      <c r="O210" s="863"/>
      <c r="P210" s="863"/>
      <c r="Q210" s="542"/>
      <c r="R210" s="542"/>
      <c r="T210" s="863"/>
      <c r="Z210" s="115"/>
      <c r="AB210" s="659"/>
      <c r="AC210" s="149" t="s">
        <v>156</v>
      </c>
      <c r="AD210" s="148">
        <f>AD209/AD208</f>
        <v>0.30441875764111792</v>
      </c>
      <c r="AE210" s="148">
        <f>AE209/AE208</f>
        <v>0.26616175405299924</v>
      </c>
      <c r="AF210" s="148">
        <f>AF209/AF208</f>
        <v>0.38516813574113196</v>
      </c>
      <c r="AG210" s="148">
        <f>AG209/AG208</f>
        <v>0.34550102243007774</v>
      </c>
      <c r="AH210" s="38"/>
      <c r="AI210" s="227"/>
    </row>
    <row r="211" spans="1:35" ht="19.5" customHeight="1" thickBot="1">
      <c r="B211" s="86"/>
      <c r="C211" s="37" t="str">
        <f>C205</f>
        <v>£ billion, 2020-21 Prices</v>
      </c>
      <c r="D211" s="37"/>
      <c r="F211" s="118" t="s">
        <v>121</v>
      </c>
      <c r="G211" s="118" t="s">
        <v>137</v>
      </c>
      <c r="H211" s="118" t="s">
        <v>348</v>
      </c>
      <c r="I211" s="118" t="str">
        <f>I205</f>
        <v>RRP 21</v>
      </c>
      <c r="J211" s="125" t="s">
        <v>122</v>
      </c>
      <c r="K211" s="863"/>
      <c r="L211" s="863"/>
      <c r="M211" s="115"/>
      <c r="N211" s="863"/>
      <c r="O211" s="863"/>
      <c r="P211" s="863"/>
      <c r="Q211" s="542"/>
      <c r="R211" s="542"/>
      <c r="T211" s="863"/>
      <c r="Z211" s="115"/>
      <c r="AB211" s="659"/>
      <c r="AD211" s="119"/>
      <c r="AE211" s="119"/>
      <c r="AG211" s="119"/>
      <c r="AH211" s="38"/>
      <c r="AI211" s="227"/>
    </row>
    <row r="212" spans="1:35" ht="13.2" thickBot="1">
      <c r="A212" s="295">
        <v>4.6600000000000003E-2</v>
      </c>
      <c r="B212" s="851" t="s">
        <v>136</v>
      </c>
      <c r="C212" s="37" t="s">
        <v>520</v>
      </c>
      <c r="D212" s="37"/>
      <c r="F212" s="117">
        <v>2.7777890797817903</v>
      </c>
      <c r="G212" s="117">
        <v>3.0353874748730729</v>
      </c>
      <c r="H212" s="117">
        <v>2.6546273290170412</v>
      </c>
      <c r="I212" s="117">
        <f>L59/1000</f>
        <v>2.6611714035564278</v>
      </c>
      <c r="J212" s="856"/>
      <c r="K212" s="126"/>
      <c r="L212" s="126"/>
      <c r="M212" s="126"/>
      <c r="N212" s="126"/>
      <c r="O212" s="126"/>
      <c r="P212" s="126"/>
      <c r="Q212" s="126"/>
      <c r="R212" s="126"/>
      <c r="T212" s="126"/>
      <c r="Z212" s="115"/>
      <c r="AA212" s="86"/>
      <c r="AB212" s="37" t="str">
        <f>AB206</f>
        <v>£ billion, 2020-21 Prices</v>
      </c>
      <c r="AD212" s="118" t="s">
        <v>121</v>
      </c>
      <c r="AE212" s="118" t="s">
        <v>137</v>
      </c>
      <c r="AF212" s="118" t="s">
        <v>348</v>
      </c>
      <c r="AG212" s="118" t="s">
        <v>472</v>
      </c>
      <c r="AH212" s="125" t="s">
        <v>122</v>
      </c>
      <c r="AI212" s="227"/>
    </row>
    <row r="213" spans="1:35" ht="13.2" thickBot="1">
      <c r="A213" s="295">
        <v>8.1413898467851062E-2</v>
      </c>
      <c r="B213" s="843"/>
      <c r="C213" s="37" t="s">
        <v>521</v>
      </c>
      <c r="D213" s="37"/>
      <c r="F213" s="117">
        <v>3.2507814597696743</v>
      </c>
      <c r="G213" s="117">
        <v>3.5065580484662564</v>
      </c>
      <c r="H213" s="117">
        <v>3.1280571188798247</v>
      </c>
      <c r="I213" s="117">
        <f>L53/1000</f>
        <v>3.1544376612831648</v>
      </c>
      <c r="J213" s="857"/>
      <c r="K213" s="126"/>
      <c r="L213" s="126"/>
      <c r="M213" s="126"/>
      <c r="N213" s="126"/>
      <c r="O213" s="126"/>
      <c r="P213" s="126"/>
      <c r="Q213" s="126"/>
      <c r="R213" s="126"/>
      <c r="T213" s="126"/>
      <c r="Z213" s="115"/>
      <c r="AA213" s="851" t="s">
        <v>136</v>
      </c>
      <c r="AB213" s="37" t="s">
        <v>520</v>
      </c>
      <c r="AD213" s="117">
        <f>F212</f>
        <v>2.7777890797817903</v>
      </c>
      <c r="AE213" s="292">
        <f>G212</f>
        <v>3.0353874748730729</v>
      </c>
      <c r="AF213" s="292">
        <f>H212</f>
        <v>2.6546273290170412</v>
      </c>
      <c r="AG213" s="292">
        <f>I212</f>
        <v>2.6611714035564278</v>
      </c>
      <c r="AH213" s="856"/>
      <c r="AI213" s="227"/>
    </row>
    <row r="214" spans="1:35" ht="13.2" thickBot="1">
      <c r="B214" s="843"/>
      <c r="C214" s="37" t="s">
        <v>155</v>
      </c>
      <c r="D214" s="37"/>
      <c r="F214" s="267">
        <f>F212-F213</f>
        <v>-0.4729923799878839</v>
      </c>
      <c r="G214" s="267">
        <f>G212-G213</f>
        <v>-0.47117057359318348</v>
      </c>
      <c r="H214" s="267">
        <f>H212-H213</f>
        <v>-0.4734297898627835</v>
      </c>
      <c r="I214" s="267">
        <f>I212-I213</f>
        <v>-0.49326625772673705</v>
      </c>
      <c r="J214" s="267">
        <f>I214-H214</f>
        <v>-1.9836467863953544E-2</v>
      </c>
      <c r="K214" s="544"/>
      <c r="L214" s="544"/>
      <c r="M214" s="126"/>
      <c r="N214" s="126"/>
      <c r="O214" s="544"/>
      <c r="P214" s="544"/>
      <c r="Q214" s="544"/>
      <c r="R214" s="544"/>
      <c r="S214" s="126"/>
      <c r="T214" s="126"/>
      <c r="Z214" s="115"/>
      <c r="AA214" s="843"/>
      <c r="AB214" s="37" t="s">
        <v>521</v>
      </c>
      <c r="AD214" s="117">
        <f>F213+(($BD$52+$BE$52)/1000)</f>
        <v>3.1860492783904344</v>
      </c>
      <c r="AE214" s="292">
        <f>G213+(($BD$52+$BE$52)/1000)</f>
        <v>3.4418258670870165</v>
      </c>
      <c r="AF214" s="292">
        <f>H213+(($BD$52+$BE$52)/1000)</f>
        <v>3.0633249375005849</v>
      </c>
      <c r="AG214" s="292">
        <f>I213+(($BD$52+$BE$52)/1000)</f>
        <v>3.089705479903925</v>
      </c>
      <c r="AH214" s="857"/>
      <c r="AI214" s="227"/>
    </row>
    <row r="215" spans="1:35" ht="13.2" thickBot="1">
      <c r="E215" s="149" t="s">
        <v>156</v>
      </c>
      <c r="F215" s="148">
        <f>F214/F213</f>
        <v>-0.14550113129456466</v>
      </c>
      <c r="G215" s="148">
        <f>G214/G213</f>
        <v>-0.1343683940436321</v>
      </c>
      <c r="H215" s="148">
        <f>H214/H213</f>
        <v>-0.15134947089211767</v>
      </c>
      <c r="I215" s="148">
        <f>I214/I213</f>
        <v>-0.15637216857412417</v>
      </c>
      <c r="J215" s="38"/>
      <c r="K215" s="293"/>
      <c r="L215" s="293"/>
      <c r="M215" s="115"/>
      <c r="N215" s="253"/>
      <c r="O215" s="253"/>
      <c r="P215" s="253"/>
      <c r="Q215" s="253"/>
      <c r="R215" s="253"/>
      <c r="T215" s="253"/>
      <c r="Z215" s="115"/>
      <c r="AA215" s="843"/>
      <c r="AB215" s="37" t="s">
        <v>155</v>
      </c>
      <c r="AD215" s="267">
        <f>AD213-AD214</f>
        <v>-0.40826019860864404</v>
      </c>
      <c r="AE215" s="267">
        <f>AE213-AE214</f>
        <v>-0.40643839221394362</v>
      </c>
      <c r="AF215" s="267">
        <f>AF213-AF214</f>
        <v>-0.40869760848354364</v>
      </c>
      <c r="AG215" s="267">
        <f>AG213-AG214</f>
        <v>-0.42853407634749718</v>
      </c>
      <c r="AH215" s="267">
        <f>AG215-AF215</f>
        <v>-1.9836467863953544E-2</v>
      </c>
      <c r="AI215" s="227"/>
    </row>
    <row r="216" spans="1:35" ht="13.2" thickBot="1">
      <c r="F216" s="119"/>
      <c r="G216" s="119"/>
      <c r="H216" s="119"/>
      <c r="I216" s="119"/>
      <c r="J216" s="38"/>
      <c r="L216" s="126"/>
      <c r="M216" s="115"/>
      <c r="N216" s="115"/>
      <c r="Z216" s="115"/>
      <c r="AB216" s="659"/>
      <c r="AC216" s="149" t="s">
        <v>156</v>
      </c>
      <c r="AD216" s="148">
        <f>AD215/AD214</f>
        <v>-0.12813995106029674</v>
      </c>
      <c r="AE216" s="148">
        <f>AE215/AE214</f>
        <v>-0.1180880172063824</v>
      </c>
      <c r="AF216" s="148">
        <f>AF215/AF214</f>
        <v>-0.13341634231496396</v>
      </c>
      <c r="AG216" s="148">
        <f>AG215/AG214</f>
        <v>-0.1386973868981268</v>
      </c>
      <c r="AH216" s="38"/>
      <c r="AI216" s="227"/>
    </row>
    <row r="217" spans="1:35" ht="13.2" thickBot="1">
      <c r="B217" s="86"/>
      <c r="C217" s="37" t="str">
        <f>C205</f>
        <v>£ billion, 2020-21 Prices</v>
      </c>
      <c r="D217" s="37"/>
      <c r="F217" s="118" t="s">
        <v>121</v>
      </c>
      <c r="G217" s="118" t="s">
        <v>137</v>
      </c>
      <c r="H217" s="118" t="s">
        <v>348</v>
      </c>
      <c r="I217" s="118" t="str">
        <f>I205</f>
        <v>RRP 21</v>
      </c>
      <c r="J217" s="125" t="s">
        <v>122</v>
      </c>
      <c r="L217" s="126"/>
      <c r="M217" s="115"/>
      <c r="N217" s="115"/>
      <c r="O217" s="126"/>
      <c r="Z217" s="115"/>
      <c r="AB217" s="659"/>
      <c r="AD217" s="119"/>
      <c r="AE217" s="119"/>
      <c r="AG217" s="119"/>
      <c r="AH217" s="38"/>
      <c r="AI217" s="227"/>
    </row>
    <row r="218" spans="1:35" ht="13.2" thickBot="1">
      <c r="B218" s="851" t="s">
        <v>138</v>
      </c>
      <c r="C218" s="37" t="s">
        <v>520</v>
      </c>
      <c r="D218" s="37"/>
      <c r="F218" s="113">
        <v>2.9284165701411086E-2</v>
      </c>
      <c r="G218" s="113">
        <v>2.4414199999999997E-2</v>
      </c>
      <c r="H218" s="113">
        <v>3.2553336462083672E-2</v>
      </c>
      <c r="I218" s="113">
        <f>L61/1000</f>
        <v>3.0074427336867226E-2</v>
      </c>
      <c r="J218" s="856"/>
      <c r="L218" s="126"/>
      <c r="M218" s="115"/>
      <c r="N218" s="115"/>
      <c r="Z218" s="115"/>
      <c r="AA218" s="86"/>
      <c r="AB218" s="37" t="str">
        <f>AB206</f>
        <v>£ billion, 2020-21 Prices</v>
      </c>
      <c r="AD218" s="118" t="s">
        <v>121</v>
      </c>
      <c r="AE218" s="118" t="s">
        <v>137</v>
      </c>
      <c r="AF218" s="118" t="s">
        <v>348</v>
      </c>
      <c r="AG218" s="118" t="s">
        <v>472</v>
      </c>
      <c r="AH218" s="125" t="s">
        <v>122</v>
      </c>
      <c r="AI218" s="227"/>
    </row>
    <row r="219" spans="1:35" ht="13.2" thickBot="1">
      <c r="B219" s="843"/>
      <c r="C219" s="37" t="s">
        <v>521</v>
      </c>
      <c r="D219" s="37"/>
      <c r="F219" s="113">
        <v>9.7212086484764447E-3</v>
      </c>
      <c r="G219" s="113">
        <v>9.7212086484764447E-3</v>
      </c>
      <c r="H219" s="113">
        <v>9.9728617759134598E-3</v>
      </c>
      <c r="I219" s="113">
        <f>L55/1000</f>
        <v>1.0093815862934934E-2</v>
      </c>
      <c r="J219" s="857"/>
      <c r="L219" s="126"/>
      <c r="M219" s="115"/>
      <c r="N219" s="115"/>
      <c r="Z219" s="115"/>
      <c r="AA219" s="851" t="s">
        <v>138</v>
      </c>
      <c r="AB219" s="37" t="s">
        <v>520</v>
      </c>
      <c r="AD219" s="113">
        <f t="shared" ref="AD219:AG220" si="40">F218</f>
        <v>2.9284165701411086E-2</v>
      </c>
      <c r="AE219" s="113">
        <f t="shared" si="40"/>
        <v>2.4414199999999997E-2</v>
      </c>
      <c r="AF219" s="113">
        <f t="shared" si="40"/>
        <v>3.2553336462083672E-2</v>
      </c>
      <c r="AG219" s="113">
        <f t="shared" si="40"/>
        <v>3.0074427336867226E-2</v>
      </c>
      <c r="AH219" s="856"/>
      <c r="AI219" s="227"/>
    </row>
    <row r="220" spans="1:35" ht="13.2" thickBot="1">
      <c r="B220" s="843"/>
      <c r="C220" s="37" t="s">
        <v>155</v>
      </c>
      <c r="D220" s="37"/>
      <c r="F220" s="116">
        <f>F218-F219</f>
        <v>1.9562957052934642E-2</v>
      </c>
      <c r="G220" s="116">
        <f>G218-G219</f>
        <v>1.4692991351523552E-2</v>
      </c>
      <c r="H220" s="116">
        <f>H218-H219</f>
        <v>2.2580474686170214E-2</v>
      </c>
      <c r="I220" s="116">
        <f>I218-I219</f>
        <v>1.9980611473932292E-2</v>
      </c>
      <c r="J220" s="116">
        <f>I220-H220</f>
        <v>-2.5998632122379225E-3</v>
      </c>
      <c r="L220" s="126"/>
      <c r="M220" s="115"/>
      <c r="Z220" s="115"/>
      <c r="AA220" s="843"/>
      <c r="AB220" s="37" t="s">
        <v>521</v>
      </c>
      <c r="AD220" s="113">
        <f t="shared" si="40"/>
        <v>9.7212086484764447E-3</v>
      </c>
      <c r="AE220" s="113">
        <f t="shared" si="40"/>
        <v>9.7212086484764447E-3</v>
      </c>
      <c r="AF220" s="113">
        <f t="shared" si="40"/>
        <v>9.9728617759134598E-3</v>
      </c>
      <c r="AG220" s="113">
        <f t="shared" si="40"/>
        <v>1.0093815862934934E-2</v>
      </c>
      <c r="AH220" s="857"/>
      <c r="AI220" s="227"/>
    </row>
    <row r="221" spans="1:35" ht="13.2" thickBot="1">
      <c r="E221" s="149" t="s">
        <v>156</v>
      </c>
      <c r="F221" s="148">
        <f>F220/F219</f>
        <v>2.0123996676072418</v>
      </c>
      <c r="G221" s="148">
        <f>G220/G219</f>
        <v>1.5114366827036789</v>
      </c>
      <c r="H221" s="148">
        <f>H220/H219</f>
        <v>2.2641920838316207</v>
      </c>
      <c r="I221" s="148">
        <f>I220/I219</f>
        <v>1.9794903875057037</v>
      </c>
      <c r="J221" s="38"/>
      <c r="L221" s="126"/>
      <c r="M221" s="115"/>
      <c r="Z221" s="115"/>
      <c r="AA221" s="843"/>
      <c r="AB221" s="37" t="s">
        <v>155</v>
      </c>
      <c r="AD221" s="116">
        <f>AD219-AD220</f>
        <v>1.9562957052934642E-2</v>
      </c>
      <c r="AE221" s="116">
        <f>AE219-AE220</f>
        <v>1.4692991351523552E-2</v>
      </c>
      <c r="AF221" s="116">
        <f>AF219-AF220</f>
        <v>2.2580474686170214E-2</v>
      </c>
      <c r="AG221" s="116">
        <f>AG219-AG220</f>
        <v>1.9980611473932292E-2</v>
      </c>
      <c r="AH221" s="116">
        <f>AG221-AF221</f>
        <v>-2.5998632122379225E-3</v>
      </c>
      <c r="AI221" s="227"/>
    </row>
    <row r="222" spans="1:35" ht="13.2" thickBot="1">
      <c r="F222" s="119"/>
      <c r="G222" s="119"/>
      <c r="H222" s="119"/>
      <c r="I222" s="119"/>
      <c r="J222" s="38"/>
      <c r="L222" s="126"/>
      <c r="M222" s="115"/>
      <c r="Z222" s="115"/>
      <c r="AB222" s="659"/>
      <c r="AC222" s="149" t="s">
        <v>156</v>
      </c>
      <c r="AD222" s="148">
        <f>AD221/AD220</f>
        <v>2.0123996676072418</v>
      </c>
      <c r="AE222" s="148">
        <f>AE221/AE220</f>
        <v>1.5114366827036789</v>
      </c>
      <c r="AF222" s="148">
        <f>AF221/AF220</f>
        <v>2.2641920838316207</v>
      </c>
      <c r="AG222" s="148">
        <f>AG221/AG220</f>
        <v>1.9794903875057037</v>
      </c>
      <c r="AH222" s="38"/>
      <c r="AI222" s="227"/>
    </row>
    <row r="223" spans="1:35" ht="13.2" thickBot="1">
      <c r="B223" s="86"/>
      <c r="C223" s="37" t="str">
        <f>C205</f>
        <v>£ billion, 2020-21 Prices</v>
      </c>
      <c r="D223" s="37"/>
      <c r="F223" s="118" t="s">
        <v>121</v>
      </c>
      <c r="G223" s="118" t="s">
        <v>137</v>
      </c>
      <c r="H223" s="118" t="s">
        <v>348</v>
      </c>
      <c r="I223" s="118" t="str">
        <f>I205</f>
        <v>RRP 21</v>
      </c>
      <c r="J223" s="125" t="s">
        <v>122</v>
      </c>
      <c r="L223" s="126"/>
      <c r="M223" s="115"/>
      <c r="Z223" s="115"/>
      <c r="AB223" s="659"/>
      <c r="AD223" s="119"/>
      <c r="AE223" s="119"/>
      <c r="AG223" s="119"/>
      <c r="AH223" s="38"/>
      <c r="AI223" s="227"/>
    </row>
    <row r="224" spans="1:35" ht="13.2" thickBot="1">
      <c r="B224" s="851" t="s">
        <v>139</v>
      </c>
      <c r="C224" s="37" t="s">
        <v>520</v>
      </c>
      <c r="D224" s="37"/>
      <c r="F224" s="117">
        <v>0.25324125837847372</v>
      </c>
      <c r="G224" s="117">
        <v>0.2570211226373223</v>
      </c>
      <c r="H224" s="117">
        <v>0.25541054643709593</v>
      </c>
      <c r="I224" s="117">
        <f>L62/1000</f>
        <v>0.25519279626358377</v>
      </c>
      <c r="J224" s="856"/>
      <c r="L224" s="126"/>
      <c r="M224" s="115"/>
      <c r="Z224" s="115"/>
      <c r="AA224" s="86"/>
      <c r="AB224" s="37" t="str">
        <f>AB206</f>
        <v>£ billion, 2020-21 Prices</v>
      </c>
      <c r="AD224" s="118" t="s">
        <v>121</v>
      </c>
      <c r="AE224" s="118" t="s">
        <v>137</v>
      </c>
      <c r="AF224" s="118" t="s">
        <v>348</v>
      </c>
      <c r="AG224" s="118" t="s">
        <v>472</v>
      </c>
      <c r="AH224" s="125" t="s">
        <v>122</v>
      </c>
      <c r="AI224" s="227"/>
    </row>
    <row r="225" spans="1:35" ht="13.5" customHeight="1" thickBot="1">
      <c r="B225" s="843"/>
      <c r="C225" s="37" t="s">
        <v>521</v>
      </c>
      <c r="D225" s="37"/>
      <c r="F225" s="117">
        <v>0.25448982091592937</v>
      </c>
      <c r="G225" s="117">
        <v>0.25435112077614691</v>
      </c>
      <c r="H225" s="117">
        <v>0.25769873999258758</v>
      </c>
      <c r="I225" s="117">
        <f>L56/1000</f>
        <v>0.26052541869304574</v>
      </c>
      <c r="J225" s="857"/>
      <c r="L225" s="126"/>
      <c r="M225" s="115"/>
      <c r="Z225" s="115"/>
      <c r="AA225" s="851" t="s">
        <v>139</v>
      </c>
      <c r="AB225" s="37" t="s">
        <v>520</v>
      </c>
      <c r="AD225" s="117">
        <f t="shared" ref="AD225:AG226" si="41">F224</f>
        <v>0.25324125837847372</v>
      </c>
      <c r="AE225" s="117">
        <f t="shared" si="41"/>
        <v>0.2570211226373223</v>
      </c>
      <c r="AF225" s="117">
        <f t="shared" si="41"/>
        <v>0.25541054643709593</v>
      </c>
      <c r="AG225" s="117">
        <f t="shared" si="41"/>
        <v>0.25519279626358377</v>
      </c>
      <c r="AH225" s="856"/>
      <c r="AI225" s="227"/>
    </row>
    <row r="226" spans="1:35" ht="13.5" customHeight="1" thickBot="1">
      <c r="B226" s="843"/>
      <c r="C226" s="37" t="s">
        <v>155</v>
      </c>
      <c r="D226" s="37"/>
      <c r="F226" s="267">
        <f>F224-F225</f>
        <v>-1.2485625374556442E-3</v>
      </c>
      <c r="G226" s="118">
        <f>G224-G225</f>
        <v>2.6700018611753862E-3</v>
      </c>
      <c r="H226" s="118">
        <f>H224-H225</f>
        <v>-2.2881935554916466E-3</v>
      </c>
      <c r="I226" s="118">
        <f>I224-I225</f>
        <v>-5.3326224294619751E-3</v>
      </c>
      <c r="J226" s="116">
        <f>I226-H226</f>
        <v>-3.0444288739703285E-3</v>
      </c>
      <c r="K226" s="862"/>
      <c r="L226" s="862"/>
      <c r="M226" s="115"/>
      <c r="N226" s="115"/>
      <c r="O226" s="862"/>
      <c r="P226" s="862"/>
      <c r="Q226" s="543"/>
      <c r="R226" s="543"/>
      <c r="Z226" s="115"/>
      <c r="AA226" s="843"/>
      <c r="AB226" s="37" t="s">
        <v>521</v>
      </c>
      <c r="AD226" s="117">
        <f t="shared" si="41"/>
        <v>0.25448982091592937</v>
      </c>
      <c r="AE226" s="117">
        <f t="shared" si="41"/>
        <v>0.25435112077614691</v>
      </c>
      <c r="AF226" s="117">
        <f t="shared" si="41"/>
        <v>0.25769873999258758</v>
      </c>
      <c r="AG226" s="117">
        <f t="shared" si="41"/>
        <v>0.26052541869304574</v>
      </c>
      <c r="AH226" s="857"/>
      <c r="AI226" s="227"/>
    </row>
    <row r="227" spans="1:35" ht="13.2" thickBot="1">
      <c r="E227" s="149" t="s">
        <v>156</v>
      </c>
      <c r="F227" s="268">
        <f>F226/F225</f>
        <v>-4.9061394006328701E-3</v>
      </c>
      <c r="G227" s="148">
        <f>G226/G225</f>
        <v>1.0497307238230103E-2</v>
      </c>
      <c r="H227" s="148">
        <f>H226/H225</f>
        <v>-8.8793354424529358E-3</v>
      </c>
      <c r="I227" s="148">
        <f>I226/I225</f>
        <v>-2.0468722231456949E-2</v>
      </c>
      <c r="K227" s="863"/>
      <c r="L227" s="863"/>
      <c r="O227" s="863"/>
      <c r="P227" s="863"/>
      <c r="Q227" s="542"/>
      <c r="R227" s="542"/>
      <c r="Z227" s="115"/>
      <c r="AA227" s="843"/>
      <c r="AB227" s="37" t="s">
        <v>155</v>
      </c>
      <c r="AD227" s="267">
        <f>AD225-AD226</f>
        <v>-1.2485625374556442E-3</v>
      </c>
      <c r="AE227" s="118">
        <f>AE225-AE226</f>
        <v>2.6700018611753862E-3</v>
      </c>
      <c r="AF227" s="118">
        <f>AF225-AF226</f>
        <v>-2.2881935554916466E-3</v>
      </c>
      <c r="AG227" s="118">
        <f>AG225-AG226</f>
        <v>-5.3326224294619751E-3</v>
      </c>
      <c r="AH227" s="116">
        <f>AG227-AF227</f>
        <v>-3.0444288739703285E-3</v>
      </c>
      <c r="AI227" s="227"/>
    </row>
    <row r="228" spans="1:35" ht="18" customHeight="1" thickBot="1">
      <c r="F228" s="126"/>
      <c r="G228" s="126"/>
      <c r="K228" s="863"/>
      <c r="L228" s="863"/>
      <c r="O228" s="863"/>
      <c r="P228" s="863"/>
      <c r="Q228" s="542"/>
      <c r="R228" s="542"/>
      <c r="AC228" s="149" t="s">
        <v>156</v>
      </c>
      <c r="AD228" s="148">
        <f>AD227/AD226</f>
        <v>-4.9061394006328701E-3</v>
      </c>
      <c r="AE228" s="148">
        <f>AE227/AE226</f>
        <v>1.0497307238230103E-2</v>
      </c>
      <c r="AF228" s="148">
        <f>AF227/AF226</f>
        <v>-8.8793354424529358E-3</v>
      </c>
      <c r="AG228" s="148">
        <f>AG227/AG226</f>
        <v>-2.0468722231456949E-2</v>
      </c>
      <c r="AI228" s="227"/>
    </row>
    <row r="229" spans="1:35">
      <c r="A229" s="541" t="s">
        <v>281</v>
      </c>
      <c r="B229" s="541"/>
      <c r="E229" s="151" t="s">
        <v>157</v>
      </c>
      <c r="F229" s="153">
        <f t="shared" ref="F229:I231" si="42">F206+F212+F218+F224</f>
        <v>3.4988944967325022</v>
      </c>
      <c r="G229" s="153">
        <f t="shared" si="42"/>
        <v>3.746328714801932</v>
      </c>
      <c r="H229" s="153">
        <f t="shared" si="42"/>
        <v>3.360210333628054</v>
      </c>
      <c r="I229" s="153">
        <f t="shared" si="42"/>
        <v>3.3611229770336029</v>
      </c>
      <c r="J229" s="153">
        <f>SUM(AX6:BE7)/1000</f>
        <v>3.3611229770336033</v>
      </c>
      <c r="K229" s="115">
        <f>J229-I229</f>
        <v>0</v>
      </c>
      <c r="L229" s="115"/>
      <c r="O229" s="115"/>
      <c r="P229" s="115"/>
      <c r="Q229" s="115"/>
      <c r="R229" s="115"/>
      <c r="AI229" s="227"/>
    </row>
    <row r="230" spans="1:35">
      <c r="A230" s="540" t="s">
        <v>279</v>
      </c>
      <c r="B230" s="540" t="s">
        <v>280</v>
      </c>
      <c r="E230" s="151" t="s">
        <v>157</v>
      </c>
      <c r="F230" s="153">
        <f t="shared" si="42"/>
        <v>3.8512188662561244</v>
      </c>
      <c r="G230" s="153">
        <f t="shared" si="42"/>
        <v>4.1098492145969194</v>
      </c>
      <c r="H230" s="153">
        <f t="shared" si="42"/>
        <v>3.6972221718302554</v>
      </c>
      <c r="I230" s="153">
        <f t="shared" si="42"/>
        <v>3.7332575905720065</v>
      </c>
      <c r="J230" s="153">
        <f>SUM(AX8:BE8)/1000</f>
        <v>3.733257590572006</v>
      </c>
      <c r="K230" s="115">
        <f>J230-I230</f>
        <v>0</v>
      </c>
      <c r="L230" s="115"/>
      <c r="O230" s="115"/>
      <c r="P230" s="115"/>
      <c r="Q230" s="115"/>
      <c r="R230" s="115"/>
      <c r="AC230" s="151" t="s">
        <v>157</v>
      </c>
      <c r="AD230" s="153">
        <f t="shared" ref="AD230:AG232" si="43">AD207+AD213+AD219+AD225</f>
        <v>3.4988944967325022</v>
      </c>
      <c r="AE230" s="153">
        <f t="shared" si="43"/>
        <v>3.746328714801932</v>
      </c>
      <c r="AF230" s="153">
        <f t="shared" si="43"/>
        <v>3.360210333628054</v>
      </c>
      <c r="AG230" s="153">
        <f t="shared" si="43"/>
        <v>3.3611229770336029</v>
      </c>
      <c r="AI230" s="227"/>
    </row>
    <row r="231" spans="1:35">
      <c r="A231" s="538">
        <v>2.7777890797817903</v>
      </c>
      <c r="B231" s="538">
        <v>3.2507814597696743</v>
      </c>
      <c r="D231" s="265"/>
      <c r="E231" s="151" t="s">
        <v>157</v>
      </c>
      <c r="F231" s="153">
        <f t="shared" si="42"/>
        <v>-0.35232436952362195</v>
      </c>
      <c r="G231" s="153">
        <f t="shared" si="42"/>
        <v>-0.36352049979498718</v>
      </c>
      <c r="H231" s="153">
        <f t="shared" si="42"/>
        <v>-0.33701183820220115</v>
      </c>
      <c r="I231" s="153">
        <f t="shared" si="42"/>
        <v>-0.37213461353840305</v>
      </c>
      <c r="J231" s="153">
        <f>J229-J230</f>
        <v>-0.37213461353840271</v>
      </c>
      <c r="K231" s="115">
        <f>J231-I231</f>
        <v>0</v>
      </c>
      <c r="L231" s="539"/>
      <c r="O231" s="539"/>
      <c r="P231" s="539"/>
      <c r="Q231" s="539"/>
      <c r="R231" s="539"/>
      <c r="AC231" s="151" t="s">
        <v>157</v>
      </c>
      <c r="AD231" s="153">
        <f t="shared" si="43"/>
        <v>3.7864866848768846</v>
      </c>
      <c r="AE231" s="153">
        <f t="shared" si="43"/>
        <v>4.0451170332176796</v>
      </c>
      <c r="AF231" s="153">
        <f t="shared" si="43"/>
        <v>3.6324899904510155</v>
      </c>
      <c r="AG231" s="153">
        <f t="shared" si="43"/>
        <v>3.6685254091927666</v>
      </c>
      <c r="AI231" s="227"/>
    </row>
    <row r="232" spans="1:35">
      <c r="A232" s="538">
        <v>0.43857999287082722</v>
      </c>
      <c r="B232" s="538">
        <v>0.33622637692204421</v>
      </c>
      <c r="D232" s="38"/>
      <c r="F232" s="201">
        <f>F231/F230</f>
        <v>-9.1483860502097655E-2</v>
      </c>
      <c r="G232" s="201">
        <f>G231/G230</f>
        <v>-8.8451055212408827E-2</v>
      </c>
      <c r="H232" s="201">
        <f>H231/H230</f>
        <v>-9.1152714805712742E-2</v>
      </c>
      <c r="I232" s="201">
        <f>I231/I230</f>
        <v>-9.9680936691374913E-2</v>
      </c>
      <c r="K232" s="293"/>
      <c r="L232" s="293"/>
      <c r="O232" s="253"/>
      <c r="P232" s="253"/>
      <c r="Q232" s="253"/>
      <c r="R232" s="253"/>
      <c r="AC232" s="151" t="s">
        <v>157</v>
      </c>
      <c r="AD232" s="153">
        <f t="shared" si="43"/>
        <v>-0.28759218814438209</v>
      </c>
      <c r="AE232" s="153">
        <f t="shared" si="43"/>
        <v>-0.29878831841574732</v>
      </c>
      <c r="AF232" s="153">
        <f t="shared" si="43"/>
        <v>-0.27227965682296129</v>
      </c>
      <c r="AG232" s="153">
        <f t="shared" si="43"/>
        <v>-0.30740243215916319</v>
      </c>
      <c r="AI232" s="227"/>
    </row>
    <row r="233" spans="1:35">
      <c r="A233" s="538">
        <v>2.9284165701411086E-2</v>
      </c>
      <c r="B233" s="538">
        <v>9.7212086484764447E-3</v>
      </c>
      <c r="D233" s="38"/>
      <c r="AD233" s="236">
        <f>AD232/AD231</f>
        <v>-7.5952251276365707E-2</v>
      </c>
      <c r="AE233" s="236">
        <f>AE232/AE231</f>
        <v>-7.386394904329302E-2</v>
      </c>
      <c r="AF233" s="236">
        <f>AF232/AF231</f>
        <v>-7.4956753504819604E-2</v>
      </c>
      <c r="AG233" s="236">
        <f>AG232/AG231</f>
        <v>-8.3794549000222124E-2</v>
      </c>
      <c r="AI233" s="227"/>
    </row>
    <row r="234" spans="1:35">
      <c r="A234" s="538">
        <v>0.25324125837847378</v>
      </c>
      <c r="B234" s="538">
        <v>0.25448982091592942</v>
      </c>
      <c r="D234" s="38"/>
      <c r="N234" s="240"/>
      <c r="O234" s="537"/>
      <c r="P234" s="285"/>
      <c r="Q234" s="285"/>
      <c r="R234" s="285"/>
      <c r="AI234" s="227"/>
    </row>
    <row r="235" spans="1:35">
      <c r="A235" s="266"/>
      <c r="B235" s="266"/>
      <c r="C235" s="126"/>
      <c r="D235" s="264"/>
      <c r="F235" s="38"/>
      <c r="G235" s="38"/>
      <c r="I235" s="38"/>
      <c r="J235" s="38"/>
      <c r="N235" s="240"/>
      <c r="O235" s="240"/>
      <c r="P235" s="270"/>
      <c r="Q235" s="270"/>
      <c r="R235" s="270"/>
      <c r="AI235" s="227"/>
    </row>
    <row r="236" spans="1:35">
      <c r="A236" s="266"/>
      <c r="B236" s="266"/>
      <c r="C236" s="126"/>
      <c r="D236" s="264"/>
      <c r="F236" s="38"/>
      <c r="G236" s="38"/>
      <c r="I236" s="38"/>
      <c r="J236" s="38"/>
      <c r="N236" s="240"/>
      <c r="O236" s="240"/>
      <c r="P236" s="270"/>
      <c r="Q236" s="270"/>
      <c r="R236" s="270"/>
      <c r="AI236" s="227"/>
    </row>
    <row r="237" spans="1:35">
      <c r="A237" s="266"/>
      <c r="B237" s="266"/>
      <c r="C237" s="126"/>
      <c r="D237" s="264"/>
      <c r="F237" s="38"/>
      <c r="G237" s="38"/>
      <c r="I237" s="38"/>
      <c r="J237" s="38"/>
      <c r="N237" s="240"/>
      <c r="O237" s="240"/>
      <c r="P237" s="270"/>
      <c r="Q237" s="270"/>
      <c r="R237" s="270"/>
      <c r="AI237" s="227"/>
    </row>
    <row r="238" spans="1:35" ht="13.2" thickBot="1">
      <c r="A238" s="1" t="s">
        <v>297</v>
      </c>
      <c r="B238" s="22" t="s">
        <v>446</v>
      </c>
      <c r="G238" s="38"/>
      <c r="H238" s="880" t="s">
        <v>579</v>
      </c>
      <c r="I238" s="845"/>
      <c r="J238" s="38"/>
      <c r="N238" s="240"/>
      <c r="O238" s="240"/>
      <c r="P238" s="270"/>
      <c r="Q238" s="270"/>
      <c r="R238" s="270"/>
      <c r="AI238" s="227"/>
    </row>
    <row r="239" spans="1:35" ht="28.5" customHeight="1" thickTop="1" thickBot="1">
      <c r="A239" s="266"/>
      <c r="B239" s="35" t="str">
        <f>B70</f>
        <v>£m, 2020-21 prices </v>
      </c>
      <c r="C239" s="876" t="s">
        <v>533</v>
      </c>
      <c r="D239" s="877"/>
      <c r="E239" s="877"/>
      <c r="F239" s="877"/>
      <c r="G239" s="38"/>
      <c r="H239" s="845"/>
      <c r="I239" s="845"/>
      <c r="J239" s="38"/>
      <c r="N239" s="240"/>
      <c r="O239" s="240"/>
      <c r="P239" s="270"/>
      <c r="Q239" s="270"/>
      <c r="R239" s="270"/>
      <c r="AI239" s="227"/>
    </row>
    <row r="240" spans="1:35" ht="16.95" customHeight="1">
      <c r="A240" s="266"/>
      <c r="B240" s="534"/>
      <c r="C240" s="536" t="s">
        <v>2</v>
      </c>
      <c r="D240" s="535" t="s">
        <v>4</v>
      </c>
      <c r="E240" s="870" t="s">
        <v>46</v>
      </c>
      <c r="F240" s="871"/>
      <c r="G240" s="38"/>
      <c r="H240" s="845"/>
      <c r="I240" s="845"/>
      <c r="J240" s="278"/>
      <c r="N240" s="240"/>
      <c r="O240" s="240"/>
      <c r="P240" s="270"/>
      <c r="Q240" s="270"/>
      <c r="R240" s="270"/>
      <c r="X240" s="155"/>
      <c r="AI240" s="227"/>
    </row>
    <row r="241" spans="1:35" ht="18.45" customHeight="1">
      <c r="A241" s="266"/>
      <c r="B241" s="534"/>
      <c r="C241" s="102"/>
      <c r="D241" s="36"/>
      <c r="E241" s="533" t="s">
        <v>47</v>
      </c>
      <c r="F241" s="103" t="s">
        <v>48</v>
      </c>
      <c r="G241" s="38"/>
      <c r="H241" s="240"/>
      <c r="I241" s="278"/>
      <c r="J241" s="278"/>
      <c r="N241" s="240"/>
      <c r="O241" s="240"/>
      <c r="P241" s="270"/>
      <c r="Q241" s="270"/>
      <c r="R241" s="270"/>
      <c r="X241" s="155"/>
      <c r="AI241" s="227"/>
    </row>
    <row r="242" spans="1:35">
      <c r="A242" s="266"/>
      <c r="B242" s="294" t="s">
        <v>570</v>
      </c>
      <c r="C242" s="531">
        <f>C7+'Forecast "True up" 1'!I26-AB66</f>
        <v>13631.747928638471</v>
      </c>
      <c r="D242" s="21">
        <f>D7</f>
        <v>9914.0902052150996</v>
      </c>
      <c r="E242" s="531">
        <f>D242-C242</f>
        <v>-3717.6577234233719</v>
      </c>
      <c r="F242" s="105">
        <f>E242/C242</f>
        <v>-0.27272054492828995</v>
      </c>
      <c r="G242" s="38"/>
      <c r="H242" s="686">
        <f>E7-E242</f>
        <v>414.93834947606592</v>
      </c>
      <c r="I242" s="279"/>
      <c r="K242" s="281"/>
      <c r="N242" s="240"/>
      <c r="O242" s="240"/>
      <c r="P242" s="270"/>
      <c r="Q242" s="270"/>
      <c r="R242" s="270"/>
      <c r="X242" s="155"/>
      <c r="AI242" s="227"/>
    </row>
    <row r="243" spans="1:35">
      <c r="A243" s="266"/>
      <c r="B243" s="294" t="s">
        <v>326</v>
      </c>
      <c r="C243" s="531">
        <f>C8+'Forecast "True up" 1'!I17</f>
        <v>2399.042969154938</v>
      </c>
      <c r="D243" s="21">
        <f>D8</f>
        <v>2272.3322572437237</v>
      </c>
      <c r="E243" s="531">
        <f>D243-C243</f>
        <v>-126.71071191121428</v>
      </c>
      <c r="F243" s="105">
        <f>E243/C243</f>
        <v>-5.2817191496927658E-2</v>
      </c>
      <c r="G243" s="38"/>
      <c r="H243" s="686">
        <f>E8-E243</f>
        <v>-35.468714437816743</v>
      </c>
      <c r="I243" s="279"/>
      <c r="K243" s="282"/>
      <c r="N243" s="240"/>
      <c r="O243" s="240"/>
      <c r="P243" s="270"/>
      <c r="Q243" s="270"/>
      <c r="R243" s="270"/>
      <c r="X243" s="155"/>
      <c r="AI243" s="227"/>
    </row>
    <row r="244" spans="1:35">
      <c r="A244" s="266"/>
      <c r="B244" s="294" t="s">
        <v>565</v>
      </c>
      <c r="C244" s="531">
        <f>C9+'Forecast "True up" 1'!I9</f>
        <v>3519.5979569510228</v>
      </c>
      <c r="D244" s="21">
        <f>D9</f>
        <v>3361.1229770336031</v>
      </c>
      <c r="E244" s="531">
        <f>D244-C244</f>
        <v>-158.47497991741966</v>
      </c>
      <c r="F244" s="105">
        <f>E244/C244</f>
        <v>-4.5026443888126433E-2</v>
      </c>
      <c r="G244" s="38"/>
      <c r="H244" s="686">
        <f>E9-E244</f>
        <v>-213.65963362098319</v>
      </c>
      <c r="I244" s="279"/>
      <c r="K244" s="282"/>
      <c r="N244" s="240"/>
      <c r="O244" s="240"/>
      <c r="P244" s="270"/>
      <c r="Q244" s="270"/>
      <c r="R244" s="270"/>
      <c r="X244" s="155"/>
      <c r="AI244" s="227"/>
    </row>
    <row r="245" spans="1:35" ht="13.2" thickBot="1">
      <c r="A245" s="266"/>
      <c r="B245" s="101" t="s">
        <v>3</v>
      </c>
      <c r="C245" s="106">
        <f>SUM(C242:C244)</f>
        <v>19550.388854744433</v>
      </c>
      <c r="D245" s="106">
        <f>SUM(D242:D244)</f>
        <v>15547.545439492427</v>
      </c>
      <c r="E245" s="107">
        <f>D245-C245</f>
        <v>-4002.8434152520058</v>
      </c>
      <c r="F245" s="108">
        <f>E245/C245</f>
        <v>-0.20474495136604953</v>
      </c>
      <c r="G245" s="38"/>
      <c r="I245" s="38"/>
      <c r="J245" s="38"/>
      <c r="N245" s="240"/>
      <c r="O245" s="240"/>
      <c r="P245" s="270"/>
      <c r="Q245" s="270"/>
      <c r="R245" s="270"/>
      <c r="X245" s="155"/>
      <c r="AI245" s="227"/>
    </row>
    <row r="246" spans="1:35" ht="13.2" thickTop="1">
      <c r="A246" s="266"/>
      <c r="B246" s="76" t="s">
        <v>119</v>
      </c>
      <c r="G246" s="38"/>
      <c r="I246" s="38"/>
      <c r="J246" s="38"/>
      <c r="N246" s="240"/>
      <c r="O246" s="240"/>
      <c r="P246" s="270"/>
      <c r="Q246" s="270"/>
      <c r="R246" s="270"/>
      <c r="X246" s="155"/>
      <c r="AI246" s="227"/>
    </row>
    <row r="247" spans="1:35">
      <c r="A247" s="266"/>
      <c r="B247" s="266"/>
      <c r="C247" s="126"/>
      <c r="D247" s="126"/>
      <c r="E247" s="126"/>
      <c r="F247" s="38"/>
      <c r="G247" s="38"/>
      <c r="I247" s="38"/>
      <c r="J247" s="38"/>
      <c r="N247" s="240"/>
      <c r="O247" s="240"/>
      <c r="P247" s="270"/>
      <c r="Q247" s="270"/>
      <c r="R247" s="270"/>
      <c r="X247" s="155"/>
      <c r="AI247" s="227"/>
    </row>
    <row r="248" spans="1:35">
      <c r="A248" s="266"/>
      <c r="G248" s="38"/>
      <c r="I248" s="38"/>
      <c r="J248" s="38"/>
      <c r="N248" s="240"/>
      <c r="O248" s="240"/>
      <c r="P248" s="270"/>
      <c r="Q248" s="270"/>
      <c r="R248" s="270"/>
      <c r="X248" s="155"/>
      <c r="AI248" s="227"/>
    </row>
    <row r="249" spans="1:35">
      <c r="A249" s="266"/>
      <c r="C249" s="197"/>
      <c r="G249" s="38"/>
      <c r="I249" s="38"/>
      <c r="J249" s="38"/>
      <c r="N249" s="240"/>
      <c r="O249" s="240"/>
      <c r="P249" s="270"/>
      <c r="Q249" s="270"/>
      <c r="R249" s="270"/>
      <c r="X249" s="155"/>
      <c r="AI249" s="227"/>
    </row>
    <row r="250" spans="1:35">
      <c r="A250" s="266"/>
      <c r="G250" s="38"/>
      <c r="I250" s="38"/>
      <c r="J250" s="38"/>
      <c r="N250" s="240"/>
      <c r="O250" s="240"/>
      <c r="P250" s="270"/>
      <c r="Q250" s="270"/>
      <c r="R250" s="270"/>
      <c r="X250" s="155"/>
      <c r="AI250" s="227"/>
    </row>
    <row r="251" spans="1:35">
      <c r="A251" s="266"/>
      <c r="B251" s="271"/>
      <c r="C251" s="126"/>
      <c r="D251" s="264"/>
      <c r="F251" s="38"/>
      <c r="G251" s="38"/>
      <c r="I251" s="38"/>
      <c r="J251" s="38"/>
      <c r="N251" s="240"/>
      <c r="O251" s="240"/>
      <c r="P251" s="270"/>
      <c r="Q251" s="270"/>
      <c r="R251" s="270"/>
      <c r="X251" s="155"/>
      <c r="AI251" s="227"/>
    </row>
    <row r="252" spans="1:35">
      <c r="A252" s="266"/>
      <c r="B252" s="271"/>
      <c r="C252" s="126"/>
      <c r="D252" s="264"/>
      <c r="F252" s="38"/>
      <c r="G252" s="38"/>
      <c r="I252" s="38"/>
      <c r="J252" s="38"/>
      <c r="N252" s="240"/>
      <c r="O252" s="240"/>
      <c r="P252" s="270"/>
      <c r="Q252" s="270"/>
      <c r="R252" s="270"/>
      <c r="X252" s="155"/>
      <c r="AI252" s="227"/>
    </row>
    <row r="253" spans="1:35" ht="13.2" thickBot="1">
      <c r="A253" s="273" t="s">
        <v>298</v>
      </c>
      <c r="B253" s="22" t="s">
        <v>446</v>
      </c>
      <c r="G253" s="38"/>
      <c r="H253" s="880" t="s">
        <v>578</v>
      </c>
      <c r="I253" s="845"/>
      <c r="J253" s="38"/>
      <c r="N253" s="240"/>
      <c r="O253" s="240"/>
      <c r="P253" s="270"/>
      <c r="Q253" s="270"/>
      <c r="R253" s="270"/>
      <c r="X253" s="155"/>
      <c r="AI253" s="227"/>
    </row>
    <row r="254" spans="1:35" ht="30" customHeight="1" thickTop="1" thickBot="1">
      <c r="A254" s="266"/>
      <c r="B254" s="35" t="str">
        <f>B239</f>
        <v>£m, 2020-21 prices </v>
      </c>
      <c r="C254" s="876" t="s">
        <v>577</v>
      </c>
      <c r="D254" s="877"/>
      <c r="E254" s="877"/>
      <c r="F254" s="877"/>
      <c r="G254" s="38"/>
      <c r="H254" s="845"/>
      <c r="I254" s="845"/>
      <c r="J254" s="38"/>
      <c r="N254" s="240"/>
      <c r="O254" s="240"/>
      <c r="P254" s="270"/>
      <c r="Q254" s="270"/>
      <c r="R254" s="270"/>
      <c r="X254" s="155"/>
      <c r="AI254" s="227"/>
    </row>
    <row r="255" spans="1:35">
      <c r="A255" s="266"/>
      <c r="B255" s="534"/>
      <c r="C255" s="536" t="s">
        <v>2</v>
      </c>
      <c r="D255" s="535" t="s">
        <v>4</v>
      </c>
      <c r="E255" s="870" t="s">
        <v>46</v>
      </c>
      <c r="F255" s="871"/>
      <c r="G255" s="38"/>
      <c r="H255" s="845"/>
      <c r="I255" s="845"/>
      <c r="J255" s="278"/>
      <c r="N255" s="240"/>
      <c r="O255" s="240"/>
      <c r="P255" s="270"/>
      <c r="Q255" s="270"/>
      <c r="R255" s="270"/>
      <c r="X255" s="155"/>
      <c r="AI255" s="227"/>
    </row>
    <row r="256" spans="1:35" ht="13.2">
      <c r="A256" s="266"/>
      <c r="B256" s="534"/>
      <c r="C256" s="102"/>
      <c r="D256" s="36"/>
      <c r="E256" s="533" t="s">
        <v>47</v>
      </c>
      <c r="F256" s="103" t="s">
        <v>48</v>
      </c>
      <c r="G256" s="38"/>
      <c r="H256" s="240"/>
      <c r="I256" s="278"/>
      <c r="J256" s="278"/>
      <c r="N256" s="240"/>
      <c r="O256" s="240"/>
      <c r="P256" s="270"/>
      <c r="Q256" s="270"/>
      <c r="R256" s="270"/>
      <c r="X256" s="155"/>
      <c r="AI256" s="227"/>
    </row>
    <row r="257" spans="1:35">
      <c r="A257" s="266"/>
      <c r="B257" s="532" t="s">
        <v>572</v>
      </c>
      <c r="C257" s="280">
        <f>C7-AB66</f>
        <v>13923.180040609823</v>
      </c>
      <c r="D257" s="280">
        <f>D7</f>
        <v>9914.0902052150996</v>
      </c>
      <c r="E257" s="531">
        <f>D257-C257</f>
        <v>-4009.0898353947232</v>
      </c>
      <c r="F257" s="105">
        <f>E257/C257</f>
        <v>-0.28794354620865253</v>
      </c>
      <c r="G257" s="38"/>
      <c r="H257" s="686">
        <f>E7-E257</f>
        <v>706.37046144741726</v>
      </c>
      <c r="I257" s="278"/>
      <c r="N257" s="240"/>
      <c r="O257" s="240"/>
      <c r="P257" s="270"/>
      <c r="Q257" s="270"/>
      <c r="R257" s="270"/>
      <c r="X257" s="155"/>
      <c r="AI257" s="227"/>
    </row>
    <row r="258" spans="1:35">
      <c r="A258" s="266"/>
      <c r="B258" s="272" t="s">
        <v>296</v>
      </c>
      <c r="C258" s="280">
        <f>C8</f>
        <v>2434.5116835927547</v>
      </c>
      <c r="D258" s="280">
        <f>D8</f>
        <v>2272.3322572437237</v>
      </c>
      <c r="E258" s="531">
        <f>D258-C258</f>
        <v>-162.17942634903102</v>
      </c>
      <c r="F258" s="105">
        <f>E258/C258</f>
        <v>-6.6616819891245349E-2</v>
      </c>
      <c r="G258" s="38"/>
      <c r="H258" s="686">
        <f>E8-E258</f>
        <v>0</v>
      </c>
      <c r="I258" s="278"/>
      <c r="N258" s="240"/>
      <c r="O258" s="240"/>
      <c r="P258" s="270"/>
      <c r="Q258" s="270"/>
      <c r="R258" s="270"/>
      <c r="X258" s="155"/>
      <c r="AI258" s="227"/>
    </row>
    <row r="259" spans="1:35" ht="34.5" customHeight="1">
      <c r="A259" s="266"/>
      <c r="B259" s="294" t="s">
        <v>569</v>
      </c>
      <c r="C259" s="280">
        <f>C9+BD52+BE52</f>
        <v>3668.5254091927663</v>
      </c>
      <c r="D259" s="280">
        <f>D9</f>
        <v>3361.1229770336031</v>
      </c>
      <c r="E259" s="531">
        <f>D259-C259</f>
        <v>-307.40243215916325</v>
      </c>
      <c r="F259" s="105">
        <f>E259/C259</f>
        <v>-8.3794549000222152E-2</v>
      </c>
      <c r="G259" s="38"/>
      <c r="H259" s="686">
        <f>E9-E259</f>
        <v>-64.732181379239591</v>
      </c>
      <c r="I259" s="278"/>
      <c r="N259" s="240"/>
      <c r="O259" s="240"/>
      <c r="P259" s="270"/>
      <c r="Q259" s="270"/>
      <c r="R259" s="270"/>
      <c r="X259" s="155"/>
      <c r="AI259" s="227"/>
    </row>
    <row r="260" spans="1:35" ht="13.2" thickBot="1">
      <c r="A260" s="266"/>
      <c r="B260" s="101" t="s">
        <v>3</v>
      </c>
      <c r="C260" s="106">
        <f>SUM(C257:C259)</f>
        <v>20026.217133395345</v>
      </c>
      <c r="D260" s="106">
        <f>SUM(D257:D259)</f>
        <v>15547.545439492427</v>
      </c>
      <c r="E260" s="107">
        <f>D260-C260</f>
        <v>-4478.6716939029175</v>
      </c>
      <c r="F260" s="108">
        <f>E260/C260</f>
        <v>-0.22364042415351468</v>
      </c>
      <c r="G260" s="38"/>
      <c r="I260" s="279"/>
      <c r="J260" s="38"/>
      <c r="N260" s="240"/>
      <c r="O260" s="240"/>
      <c r="P260" s="270"/>
      <c r="Q260" s="270"/>
      <c r="R260" s="270"/>
      <c r="X260" s="155"/>
      <c r="AI260" s="227"/>
    </row>
    <row r="261" spans="1:35" ht="13.2" thickTop="1">
      <c r="A261" s="266"/>
      <c r="B261" s="76" t="s">
        <v>119</v>
      </c>
      <c r="G261" s="38"/>
      <c r="I261" s="38"/>
      <c r="J261" s="38"/>
      <c r="N261" s="240"/>
      <c r="O261" s="240"/>
      <c r="P261" s="270"/>
      <c r="Q261" s="270"/>
      <c r="R261" s="270"/>
      <c r="X261" s="155"/>
      <c r="AI261" s="227"/>
    </row>
    <row r="262" spans="1:35">
      <c r="A262" s="266"/>
      <c r="B262" s="266"/>
      <c r="C262" s="126"/>
      <c r="D262" s="264"/>
      <c r="F262" s="38"/>
      <c r="G262" s="38"/>
      <c r="I262" s="38"/>
      <c r="J262" s="38"/>
      <c r="N262" s="240"/>
      <c r="O262" s="240"/>
      <c r="P262" s="270"/>
      <c r="Q262" s="270"/>
      <c r="R262" s="270"/>
      <c r="X262" s="155"/>
      <c r="AI262" s="227"/>
    </row>
    <row r="263" spans="1:35">
      <c r="A263" s="266"/>
      <c r="B263" s="266"/>
      <c r="C263" s="126"/>
      <c r="D263" s="264"/>
      <c r="F263" s="38"/>
      <c r="G263" s="38"/>
      <c r="I263" s="38"/>
      <c r="J263" s="38"/>
      <c r="N263" s="240"/>
      <c r="O263" s="240"/>
      <c r="P263" s="270"/>
      <c r="Q263" s="270"/>
      <c r="R263" s="270"/>
      <c r="X263" s="155"/>
      <c r="AI263" s="227"/>
    </row>
    <row r="264" spans="1:35">
      <c r="A264" s="227"/>
      <c r="B264" s="227"/>
      <c r="C264" s="227"/>
      <c r="D264" s="227"/>
      <c r="E264" s="227"/>
      <c r="F264" s="227"/>
      <c r="G264" s="227"/>
      <c r="H264" s="227"/>
      <c r="I264" s="227"/>
      <c r="J264" s="227"/>
      <c r="K264" s="227"/>
      <c r="L264" s="227"/>
      <c r="M264" s="227"/>
      <c r="N264" s="227"/>
      <c r="O264" s="227"/>
      <c r="P264" s="227"/>
      <c r="Q264" s="227"/>
      <c r="R264" s="227"/>
      <c r="S264" s="227"/>
      <c r="T264" s="227"/>
      <c r="U264" s="227"/>
      <c r="V264" s="227"/>
      <c r="W264" s="227"/>
      <c r="X264" s="227"/>
      <c r="Y264" s="227"/>
      <c r="Z264" s="227"/>
      <c r="AA264" s="227"/>
      <c r="AB264" s="227"/>
      <c r="AC264" s="227"/>
      <c r="AD264" s="227"/>
      <c r="AE264" s="227"/>
      <c r="AF264" s="227"/>
      <c r="AG264" s="227"/>
      <c r="AH264" s="227"/>
      <c r="AI264" s="227"/>
    </row>
    <row r="265" spans="1:35">
      <c r="H265" s="240" t="s">
        <v>363</v>
      </c>
      <c r="K265" s="530">
        <v>1.2740983664300378</v>
      </c>
      <c r="L265" s="529" t="s">
        <v>362</v>
      </c>
      <c r="N265" s="528">
        <v>0.78486875609294737</v>
      </c>
      <c r="AI265" s="227"/>
    </row>
    <row r="266" spans="1:35">
      <c r="A266" s="1" t="s">
        <v>283</v>
      </c>
      <c r="B266" s="1" t="s">
        <v>282</v>
      </c>
      <c r="H266" s="240" t="s">
        <v>471</v>
      </c>
      <c r="K266" s="530">
        <v>1.3130293043365822</v>
      </c>
      <c r="L266" s="529" t="s">
        <v>470</v>
      </c>
      <c r="N266" s="530">
        <v>0.76159762519942953</v>
      </c>
      <c r="AI266" s="227"/>
    </row>
    <row r="267" spans="1:35">
      <c r="H267" s="240" t="s">
        <v>364</v>
      </c>
      <c r="K267" s="530">
        <v>1.3470197208373675</v>
      </c>
      <c r="L267" s="529" t="s">
        <v>469</v>
      </c>
      <c r="N267" s="530">
        <v>0.74237962854645911</v>
      </c>
      <c r="AI267" s="227"/>
    </row>
    <row r="268" spans="1:35">
      <c r="H268" s="240" t="s">
        <v>468</v>
      </c>
      <c r="K268" s="530">
        <v>1.3633568108517209</v>
      </c>
      <c r="L268" s="529" t="s">
        <v>467</v>
      </c>
      <c r="N268" s="530">
        <v>0.73348370143489916</v>
      </c>
      <c r="AI268" s="227"/>
    </row>
    <row r="269" spans="1:35" ht="13.2" thickBot="1">
      <c r="H269" s="529"/>
      <c r="K269" s="528"/>
      <c r="AI269" s="227"/>
    </row>
    <row r="270" spans="1:35" ht="29.25" customHeight="1" thickBot="1">
      <c r="B270" s="248" t="s">
        <v>466</v>
      </c>
      <c r="C270" s="255" t="s">
        <v>243</v>
      </c>
      <c r="D270" s="256" t="s">
        <v>244</v>
      </c>
      <c r="E270" s="256" t="s">
        <v>245</v>
      </c>
      <c r="F270" s="258"/>
      <c r="G270" s="259" t="s">
        <v>271</v>
      </c>
      <c r="M270" s="527"/>
      <c r="N270" s="889"/>
      <c r="O270" s="889"/>
      <c r="P270" s="889"/>
      <c r="Q270" s="527"/>
      <c r="R270" s="527"/>
      <c r="AI270" s="227"/>
    </row>
    <row r="271" spans="1:35" ht="36" customHeight="1" thickBot="1">
      <c r="A271" s="842" t="s">
        <v>269</v>
      </c>
      <c r="B271" s="249" t="s">
        <v>239</v>
      </c>
      <c r="C271" s="245">
        <v>-208.27503746707987</v>
      </c>
      <c r="D271" s="239">
        <v>68.7201900272091</v>
      </c>
      <c r="E271" s="239">
        <v>-139.5548474398708</v>
      </c>
      <c r="G271" s="245">
        <v>128.98251051260783</v>
      </c>
      <c r="P271" s="526"/>
      <c r="Q271" s="526"/>
      <c r="R271" s="526"/>
      <c r="AI271" s="227"/>
    </row>
    <row r="272" spans="1:35" ht="14.4" thickBot="1">
      <c r="A272" s="842"/>
      <c r="B272" s="249" t="s">
        <v>240</v>
      </c>
      <c r="C272" s="245">
        <v>-24.316374932704758</v>
      </c>
      <c r="D272" s="239">
        <v>-75.063592183566868</v>
      </c>
      <c r="E272" s="239">
        <v>-99.379967116271615</v>
      </c>
      <c r="G272" s="245">
        <v>58.147853099946154</v>
      </c>
      <c r="P272" s="526"/>
      <c r="Q272" s="526"/>
      <c r="R272" s="526"/>
      <c r="AI272" s="227"/>
    </row>
    <row r="273" spans="1:35" ht="14.4" thickBot="1">
      <c r="A273" s="842"/>
      <c r="B273" s="249" t="s">
        <v>241</v>
      </c>
      <c r="C273" s="245">
        <v>-161.75675498712295</v>
      </c>
      <c r="D273" s="239">
        <v>574.07789515037757</v>
      </c>
      <c r="E273" s="239">
        <v>412.3211401632546</v>
      </c>
      <c r="G273" s="245">
        <v>189.24483099800662</v>
      </c>
      <c r="P273" s="526"/>
      <c r="Q273" s="526"/>
      <c r="R273" s="526"/>
      <c r="AI273" s="227"/>
    </row>
    <row r="274" spans="1:35" ht="14.4" thickBot="1">
      <c r="A274" s="843"/>
      <c r="B274" s="341" t="s">
        <v>352</v>
      </c>
      <c r="C274" s="337">
        <v>0</v>
      </c>
      <c r="D274" s="340">
        <v>65.548488949030215</v>
      </c>
      <c r="E274" s="239">
        <v>65.548488949030215</v>
      </c>
      <c r="F274" s="673"/>
      <c r="G274" s="245" t="s">
        <v>358</v>
      </c>
      <c r="P274" s="526"/>
      <c r="Q274" s="526"/>
      <c r="R274" s="526"/>
      <c r="AI274" s="227"/>
    </row>
    <row r="275" spans="1:35" ht="14.4" thickBot="1">
      <c r="A275" s="843"/>
      <c r="B275" s="341" t="s">
        <v>353</v>
      </c>
      <c r="C275" s="337">
        <v>0</v>
      </c>
      <c r="D275" s="340">
        <v>3.1717010781788817</v>
      </c>
      <c r="E275" s="239">
        <v>3.1717010781788817</v>
      </c>
      <c r="F275" s="673"/>
      <c r="G275" s="245" t="s">
        <v>358</v>
      </c>
      <c r="P275" s="526"/>
      <c r="Q275" s="526"/>
      <c r="R275" s="526"/>
      <c r="AI275" s="227"/>
    </row>
    <row r="276" spans="1:35" ht="14.4" thickBot="1">
      <c r="A276" s="843"/>
      <c r="B276" s="341" t="s">
        <v>354</v>
      </c>
      <c r="C276" s="337">
        <v>-5.2861684636314683</v>
      </c>
      <c r="D276" s="340">
        <v>27.488076010883638</v>
      </c>
      <c r="E276" s="239">
        <v>21.144673854525873</v>
      </c>
      <c r="F276" s="673"/>
      <c r="G276" s="245" t="s">
        <v>358</v>
      </c>
      <c r="P276" s="526"/>
      <c r="Q276" s="526"/>
      <c r="R276" s="526"/>
      <c r="AI276" s="227"/>
    </row>
    <row r="277" spans="1:35" ht="14.4" thickBot="1">
      <c r="A277" s="843"/>
      <c r="B277" s="341" t="s">
        <v>360</v>
      </c>
      <c r="C277" s="337">
        <v>0</v>
      </c>
      <c r="D277" s="340">
        <v>0</v>
      </c>
      <c r="E277" s="239">
        <v>0</v>
      </c>
      <c r="F277" s="673"/>
      <c r="G277" s="245" t="s">
        <v>358</v>
      </c>
      <c r="P277" s="526"/>
      <c r="Q277" s="526"/>
      <c r="R277" s="526"/>
      <c r="AI277" s="227"/>
    </row>
    <row r="278" spans="1:35" ht="14.4" thickBot="1">
      <c r="A278" s="843"/>
      <c r="B278" s="341" t="s">
        <v>356</v>
      </c>
      <c r="C278" s="337">
        <v>0</v>
      </c>
      <c r="D278" s="340">
        <v>37.003179245420284</v>
      </c>
      <c r="E278" s="239">
        <v>37.003179245420284</v>
      </c>
      <c r="F278" s="673"/>
      <c r="G278" s="245" t="s">
        <v>358</v>
      </c>
      <c r="P278" s="526"/>
      <c r="Q278" s="526"/>
      <c r="R278" s="526"/>
      <c r="AI278" s="227"/>
    </row>
    <row r="279" spans="1:35" ht="14.4" thickBot="1">
      <c r="A279" s="843"/>
      <c r="B279" s="341" t="s">
        <v>361</v>
      </c>
      <c r="C279" s="337">
        <v>0</v>
      </c>
      <c r="D279" s="340">
        <v>101.49443450172421</v>
      </c>
      <c r="E279" s="239">
        <v>101.49443450172421</v>
      </c>
      <c r="F279" s="673"/>
      <c r="G279" s="245">
        <v>5.2861684636314692</v>
      </c>
      <c r="P279" s="526"/>
      <c r="Q279" s="526"/>
      <c r="R279" s="526"/>
      <c r="AI279" s="227"/>
    </row>
    <row r="280" spans="1:35" ht="14.4" thickBot="1">
      <c r="A280" s="497"/>
      <c r="B280" s="170"/>
      <c r="C280" s="689">
        <f>SUM(C271:C273)</f>
        <v>-394.34816738690756</v>
      </c>
      <c r="D280" s="690">
        <f>SUM(D271:D273)</f>
        <v>567.73449299401977</v>
      </c>
      <c r="E280" s="691">
        <f>SUM(E271:E273)</f>
        <v>173.38632560711218</v>
      </c>
      <c r="F280" s="673"/>
      <c r="G280" s="692">
        <f>SUM(G271:G273)</f>
        <v>376.37519461056058</v>
      </c>
      <c r="H280" s="364" t="s">
        <v>368</v>
      </c>
      <c r="P280" s="526"/>
      <c r="Q280" s="526"/>
      <c r="R280" s="526"/>
      <c r="AI280" s="227"/>
    </row>
    <row r="281" spans="1:35" ht="13.8">
      <c r="A281" s="497"/>
      <c r="B281" s="170"/>
      <c r="F281" s="673"/>
      <c r="P281" s="526"/>
      <c r="Q281" s="526"/>
      <c r="R281" s="526"/>
      <c r="AI281" s="227"/>
    </row>
    <row r="282" spans="1:35" ht="14.4" thickBot="1">
      <c r="A282" s="842" t="s">
        <v>270</v>
      </c>
      <c r="B282" s="249" t="s">
        <v>239</v>
      </c>
      <c r="C282" s="245">
        <v>-199.02266</v>
      </c>
      <c r="D282" s="239">
        <v>-59.501619999999988</v>
      </c>
      <c r="E282" s="239">
        <v>-258.52427999999998</v>
      </c>
      <c r="F282" s="673"/>
      <c r="G282" s="245">
        <v>270.83495999999991</v>
      </c>
      <c r="P282" s="526"/>
      <c r="Q282" s="526"/>
      <c r="R282" s="526"/>
      <c r="AI282" s="227"/>
    </row>
    <row r="283" spans="1:35" ht="14.4" thickBot="1">
      <c r="A283" s="842"/>
      <c r="B283" s="249" t="s">
        <v>240</v>
      </c>
      <c r="C283" s="245">
        <v>-25.64725</v>
      </c>
      <c r="D283" s="239">
        <v>-73.864080000000001</v>
      </c>
      <c r="E283" s="239">
        <v>-99.511330000000001</v>
      </c>
      <c r="F283" s="673"/>
      <c r="G283" s="245">
        <v>144.65048999999996</v>
      </c>
      <c r="P283" s="526"/>
      <c r="Q283" s="526"/>
      <c r="R283" s="526"/>
      <c r="AI283" s="227"/>
    </row>
    <row r="284" spans="1:35" ht="14.4" thickBot="1">
      <c r="A284" s="842"/>
      <c r="B284" s="249" t="s">
        <v>241</v>
      </c>
      <c r="C284" s="245">
        <v>-150.80582999999999</v>
      </c>
      <c r="D284" s="241">
        <v>1260.8188099999998</v>
      </c>
      <c r="E284" s="241">
        <v>1110.01298</v>
      </c>
      <c r="F284" s="673"/>
      <c r="G284" s="246">
        <v>239.03236999999996</v>
      </c>
      <c r="P284" s="526"/>
      <c r="Q284" s="526"/>
      <c r="R284" s="526"/>
      <c r="AI284" s="227"/>
    </row>
    <row r="285" spans="1:35" ht="14.4" thickBot="1">
      <c r="A285" s="843"/>
      <c r="B285" s="249" t="s">
        <v>352</v>
      </c>
      <c r="C285" s="245">
        <v>0</v>
      </c>
      <c r="D285" s="241">
        <v>24.621359999999996</v>
      </c>
      <c r="E285" s="241">
        <v>24.621359999999996</v>
      </c>
      <c r="F285" s="673"/>
      <c r="G285" s="339" t="s">
        <v>358</v>
      </c>
      <c r="P285" s="526"/>
      <c r="Q285" s="526"/>
      <c r="R285" s="526"/>
      <c r="AI285" s="227"/>
    </row>
    <row r="286" spans="1:35" ht="14.4" thickBot="1">
      <c r="A286" s="843"/>
      <c r="B286" s="249" t="s">
        <v>353</v>
      </c>
      <c r="C286" s="245">
        <v>0</v>
      </c>
      <c r="D286" s="241">
        <v>4.1035599999999999</v>
      </c>
      <c r="E286" s="241">
        <v>4.1035599999999999</v>
      </c>
      <c r="F286" s="673"/>
      <c r="G286" s="339" t="s">
        <v>358</v>
      </c>
      <c r="AI286" s="227"/>
    </row>
    <row r="287" spans="1:35" ht="14.4" thickBot="1">
      <c r="A287" s="843"/>
      <c r="B287" s="249" t="s">
        <v>354</v>
      </c>
      <c r="C287" s="245">
        <v>-3.0776699999999995</v>
      </c>
      <c r="D287" s="241">
        <v>26.67314</v>
      </c>
      <c r="E287" s="241">
        <v>23.595469999999995</v>
      </c>
      <c r="F287" s="673"/>
      <c r="G287" s="339" t="s">
        <v>358</v>
      </c>
      <c r="AI287" s="227"/>
    </row>
    <row r="288" spans="1:35" ht="14.4" thickBot="1">
      <c r="A288" s="843"/>
      <c r="B288" s="249" t="s">
        <v>355</v>
      </c>
      <c r="C288" s="245">
        <v>0</v>
      </c>
      <c r="D288" s="241">
        <v>0</v>
      </c>
      <c r="E288" s="241">
        <v>0</v>
      </c>
      <c r="F288" s="673"/>
      <c r="G288" s="339" t="s">
        <v>358</v>
      </c>
      <c r="AI288" s="227"/>
    </row>
    <row r="289" spans="1:35" ht="14.4" thickBot="1">
      <c r="A289" s="843"/>
      <c r="B289" s="249" t="s">
        <v>356</v>
      </c>
      <c r="C289" s="245">
        <v>0</v>
      </c>
      <c r="D289" s="241">
        <v>38.983820000000001</v>
      </c>
      <c r="E289" s="241">
        <v>38.983820000000001</v>
      </c>
      <c r="F289" s="673"/>
      <c r="G289" s="339" t="s">
        <v>358</v>
      </c>
      <c r="AI289" s="227"/>
    </row>
    <row r="290" spans="1:35" ht="14.4" thickBot="1">
      <c r="A290" s="843"/>
      <c r="B290" s="338" t="s">
        <v>357</v>
      </c>
      <c r="C290" s="245">
        <v>0</v>
      </c>
      <c r="D290" s="241">
        <v>106.69256</v>
      </c>
      <c r="E290" s="241">
        <v>106.69256</v>
      </c>
      <c r="F290" s="673"/>
      <c r="G290" s="246">
        <v>5</v>
      </c>
      <c r="AI290" s="227"/>
    </row>
    <row r="291" spans="1:35" ht="13.2" thickBot="1">
      <c r="B291" s="170"/>
      <c r="C291" s="689">
        <f>SUM(C282:C290)</f>
        <v>-378.55340999999999</v>
      </c>
      <c r="D291" s="689">
        <f>SUM(D282:D290)</f>
        <v>1328.5275499999998</v>
      </c>
      <c r="E291" s="689">
        <f>SUM(E282:E290)</f>
        <v>949.97414000000003</v>
      </c>
      <c r="F291" s="673"/>
      <c r="G291" s="692">
        <f>SUM(G282:G290)</f>
        <v>659.5178199999998</v>
      </c>
      <c r="H291" s="364" t="s">
        <v>369</v>
      </c>
      <c r="AI291" s="227"/>
    </row>
    <row r="292" spans="1:35" ht="14.4" thickBot="1">
      <c r="B292" s="242" t="s">
        <v>242</v>
      </c>
      <c r="C292" s="250">
        <f>(C291-C280)/C291</f>
        <v>-4.1723986548972247E-2</v>
      </c>
      <c r="D292" s="243">
        <f>(D291-D280)/D291</f>
        <v>0.57265884851690141</v>
      </c>
      <c r="E292" s="244">
        <f>(E291-E280)/E291</f>
        <v>0.81748311000643425</v>
      </c>
      <c r="F292" s="673"/>
      <c r="G292" s="247">
        <f>(G291-G280)/G291</f>
        <v>0.42931762691330966</v>
      </c>
      <c r="AI292" s="227"/>
    </row>
    <row r="293" spans="1:35">
      <c r="F293" s="673"/>
      <c r="AI293" s="227"/>
    </row>
    <row r="294" spans="1:35" ht="14.4" thickBot="1">
      <c r="A294" s="842" t="s">
        <v>359</v>
      </c>
      <c r="B294" s="249" t="s">
        <v>239</v>
      </c>
      <c r="C294" s="336">
        <v>-191</v>
      </c>
      <c r="D294" s="336">
        <v>-56.999999999999993</v>
      </c>
      <c r="E294" s="336">
        <v>-247.99999999999997</v>
      </c>
      <c r="F294" s="673"/>
      <c r="G294" s="336">
        <v>329.99999999999994</v>
      </c>
      <c r="AI294" s="227"/>
    </row>
    <row r="295" spans="1:35" ht="14.4" thickBot="1">
      <c r="A295" s="842"/>
      <c r="B295" s="249" t="s">
        <v>240</v>
      </c>
      <c r="C295" s="336">
        <v>-25</v>
      </c>
      <c r="D295" s="336">
        <v>-68</v>
      </c>
      <c r="E295" s="336">
        <v>-92.999999999999986</v>
      </c>
      <c r="F295" s="673"/>
      <c r="G295" s="336">
        <v>216.99999999999997</v>
      </c>
      <c r="AI295" s="227"/>
    </row>
    <row r="296" spans="1:35" ht="14.4" thickBot="1">
      <c r="A296" s="842"/>
      <c r="B296" s="249" t="s">
        <v>241</v>
      </c>
      <c r="C296" s="336">
        <v>-147</v>
      </c>
      <c r="D296" s="336">
        <v>845.99999999999989</v>
      </c>
      <c r="E296" s="336">
        <v>697.99999999999989</v>
      </c>
      <c r="F296" s="673"/>
      <c r="G296" s="336">
        <v>251</v>
      </c>
      <c r="AI296" s="227"/>
    </row>
    <row r="297" spans="1:35" ht="14.4" thickBot="1">
      <c r="A297" s="843"/>
      <c r="B297" s="249" t="s">
        <v>352</v>
      </c>
      <c r="C297" s="336">
        <v>0</v>
      </c>
      <c r="D297" s="336">
        <v>25</v>
      </c>
      <c r="E297" s="336">
        <v>25</v>
      </c>
      <c r="F297" s="673"/>
      <c r="G297" s="339" t="s">
        <v>358</v>
      </c>
      <c r="AI297" s="227"/>
    </row>
    <row r="298" spans="1:35" ht="14.4" thickBot="1">
      <c r="A298" s="843"/>
      <c r="B298" s="249" t="s">
        <v>353</v>
      </c>
      <c r="C298" s="336">
        <v>0</v>
      </c>
      <c r="D298" s="336">
        <v>3.9999999999999996</v>
      </c>
      <c r="E298" s="336">
        <v>3.9999999999999996</v>
      </c>
      <c r="F298" s="673"/>
      <c r="G298" s="339" t="s">
        <v>358</v>
      </c>
      <c r="AI298" s="227"/>
    </row>
    <row r="299" spans="1:35" ht="14.4" thickBot="1">
      <c r="A299" s="843"/>
      <c r="B299" s="249" t="s">
        <v>354</v>
      </c>
      <c r="C299" s="336">
        <v>-3</v>
      </c>
      <c r="D299" s="336">
        <v>26.999999999999996</v>
      </c>
      <c r="E299" s="336">
        <v>24</v>
      </c>
      <c r="F299" s="673"/>
      <c r="G299" s="339" t="s">
        <v>358</v>
      </c>
      <c r="AI299" s="227"/>
    </row>
    <row r="300" spans="1:35" ht="14.4" thickBot="1">
      <c r="A300" s="843"/>
      <c r="B300" s="249" t="s">
        <v>355</v>
      </c>
      <c r="C300" s="336">
        <v>0</v>
      </c>
      <c r="D300" s="336">
        <v>0</v>
      </c>
      <c r="E300" s="336">
        <v>0</v>
      </c>
      <c r="F300" s="673"/>
      <c r="G300" s="339" t="s">
        <v>358</v>
      </c>
      <c r="AI300" s="227"/>
    </row>
    <row r="301" spans="1:35" ht="14.4" thickBot="1">
      <c r="A301" s="843"/>
      <c r="B301" s="249" t="s">
        <v>356</v>
      </c>
      <c r="C301" s="336">
        <v>0</v>
      </c>
      <c r="D301" s="336">
        <v>140</v>
      </c>
      <c r="E301" s="336">
        <v>140</v>
      </c>
      <c r="F301" s="673"/>
      <c r="G301" s="339" t="s">
        <v>358</v>
      </c>
      <c r="AI301" s="227"/>
    </row>
    <row r="302" spans="1:35" ht="14.4" thickBot="1">
      <c r="A302" s="843"/>
      <c r="B302" s="338" t="s">
        <v>357</v>
      </c>
      <c r="C302" s="336">
        <v>0</v>
      </c>
      <c r="D302" s="336">
        <v>172.99999999999997</v>
      </c>
      <c r="E302" s="336">
        <v>172.99999999999997</v>
      </c>
      <c r="F302" s="673"/>
      <c r="G302" s="246">
        <v>5</v>
      </c>
      <c r="AI302" s="227"/>
    </row>
    <row r="303" spans="1:35" ht="13.2" thickBot="1">
      <c r="B303" s="170"/>
      <c r="C303" s="689">
        <f>SUM(C294:C302)</f>
        <v>-366</v>
      </c>
      <c r="D303" s="689">
        <f>SUM(D294:D302)</f>
        <v>1089.9999999999998</v>
      </c>
      <c r="E303" s="689">
        <f>SUM(E294:E302)</f>
        <v>723</v>
      </c>
      <c r="F303" s="673"/>
      <c r="G303" s="692">
        <f>SUM(G294:G302)</f>
        <v>802.99999999999989</v>
      </c>
      <c r="H303" s="364" t="s">
        <v>370</v>
      </c>
      <c r="AI303" s="227"/>
    </row>
    <row r="304" spans="1:35" ht="15" thickBot="1">
      <c r="B304" s="242" t="s">
        <v>350</v>
      </c>
      <c r="C304" s="250">
        <f>(C303-C291)/C303</f>
        <v>-3.4298934426229465E-2</v>
      </c>
      <c r="D304" s="250">
        <f>(D303-D291)/D303</f>
        <v>-0.21883261467889914</v>
      </c>
      <c r="E304" s="250">
        <f>(E303-E291)/E303</f>
        <v>-0.31393380359612727</v>
      </c>
      <c r="F304" s="673"/>
      <c r="G304" s="247">
        <f>(G303-G291)/G303</f>
        <v>0.17868266500622679</v>
      </c>
      <c r="I304" s="525"/>
      <c r="J304" s="525"/>
      <c r="AI304" s="227"/>
    </row>
    <row r="305" spans="1:35">
      <c r="B305" s="262" t="s">
        <v>277</v>
      </c>
      <c r="F305" s="673"/>
      <c r="AI305" s="227"/>
    </row>
    <row r="306" spans="1:35">
      <c r="F306" s="673"/>
      <c r="AI306" s="227"/>
    </row>
    <row r="307" spans="1:35" ht="14.4" thickBot="1">
      <c r="A307" s="842" t="s">
        <v>465</v>
      </c>
      <c r="B307" s="249" t="s">
        <v>239</v>
      </c>
      <c r="C307" s="336">
        <v>-115</v>
      </c>
      <c r="D307" s="336">
        <v>-30</v>
      </c>
      <c r="E307" s="336">
        <v>-145</v>
      </c>
      <c r="F307" s="673"/>
      <c r="G307" s="524">
        <v>472</v>
      </c>
      <c r="AI307" s="227"/>
    </row>
    <row r="308" spans="1:35" ht="14.4" thickBot="1">
      <c r="A308" s="842"/>
      <c r="B308" s="249" t="s">
        <v>240</v>
      </c>
      <c r="C308" s="336">
        <v>-28</v>
      </c>
      <c r="D308" s="336">
        <v>-78</v>
      </c>
      <c r="E308" s="336">
        <v>-106</v>
      </c>
      <c r="F308" s="673"/>
      <c r="G308" s="524">
        <v>343</v>
      </c>
      <c r="AI308" s="227"/>
    </row>
    <row r="309" spans="1:35" ht="14.4" thickBot="1">
      <c r="A309" s="842"/>
      <c r="B309" s="249" t="s">
        <v>241</v>
      </c>
      <c r="C309" s="336">
        <v>-61</v>
      </c>
      <c r="D309" s="336">
        <v>806</v>
      </c>
      <c r="E309" s="336">
        <v>746</v>
      </c>
      <c r="F309" s="673"/>
      <c r="G309" s="524">
        <v>250</v>
      </c>
      <c r="AI309" s="227"/>
    </row>
    <row r="310" spans="1:35" ht="14.4" thickBot="1">
      <c r="A310" s="843"/>
      <c r="B310" s="249" t="s">
        <v>352</v>
      </c>
      <c r="C310" s="336">
        <v>0</v>
      </c>
      <c r="D310" s="336">
        <v>25</v>
      </c>
      <c r="E310" s="336">
        <v>25</v>
      </c>
      <c r="F310" s="673"/>
      <c r="G310" s="339" t="s">
        <v>358</v>
      </c>
      <c r="AI310" s="227"/>
    </row>
    <row r="311" spans="1:35" ht="14.4" thickBot="1">
      <c r="A311" s="843"/>
      <c r="B311" s="249" t="s">
        <v>353</v>
      </c>
      <c r="C311" s="336">
        <v>0</v>
      </c>
      <c r="D311" s="336">
        <v>0</v>
      </c>
      <c r="E311" s="336">
        <v>0</v>
      </c>
      <c r="F311" s="673"/>
      <c r="G311" s="339" t="s">
        <v>358</v>
      </c>
      <c r="AI311" s="227"/>
    </row>
    <row r="312" spans="1:35" ht="14.4" thickBot="1">
      <c r="A312" s="843"/>
      <c r="B312" s="249" t="s">
        <v>354</v>
      </c>
      <c r="C312" s="336">
        <v>-3</v>
      </c>
      <c r="D312" s="336">
        <v>27</v>
      </c>
      <c r="E312" s="336">
        <v>24</v>
      </c>
      <c r="F312" s="673"/>
      <c r="G312" s="339" t="s">
        <v>358</v>
      </c>
      <c r="AI312" s="227"/>
    </row>
    <row r="313" spans="1:35" ht="14.4" thickBot="1">
      <c r="A313" s="843"/>
      <c r="B313" s="249" t="s">
        <v>355</v>
      </c>
      <c r="C313" s="336">
        <v>0</v>
      </c>
      <c r="D313" s="336">
        <v>-5</v>
      </c>
      <c r="E313" s="336">
        <v>-5</v>
      </c>
      <c r="F313" s="673"/>
      <c r="G313" s="339" t="s">
        <v>358</v>
      </c>
      <c r="AI313" s="227"/>
    </row>
    <row r="314" spans="1:35" ht="14.4" thickBot="1">
      <c r="A314" s="843"/>
      <c r="B314" s="249" t="s">
        <v>356</v>
      </c>
      <c r="C314" s="336">
        <v>0</v>
      </c>
      <c r="D314" s="336">
        <v>143</v>
      </c>
      <c r="E314" s="336">
        <v>143</v>
      </c>
      <c r="F314" s="673"/>
      <c r="G314" s="339" t="s">
        <v>358</v>
      </c>
      <c r="AI314" s="227"/>
    </row>
    <row r="315" spans="1:35" ht="14.4" thickBot="1">
      <c r="A315" s="843"/>
      <c r="B315" s="338" t="s">
        <v>357</v>
      </c>
      <c r="C315" s="336">
        <v>0</v>
      </c>
      <c r="D315" s="336">
        <v>399</v>
      </c>
      <c r="E315" s="336">
        <v>399</v>
      </c>
      <c r="F315" s="673"/>
      <c r="G315" s="246">
        <v>5</v>
      </c>
      <c r="AI315" s="227"/>
    </row>
    <row r="316" spans="1:35" ht="13.2" thickBot="1">
      <c r="B316" s="170"/>
      <c r="C316" s="689">
        <f>SUM(C307:C315)</f>
        <v>-207</v>
      </c>
      <c r="D316" s="689">
        <f>SUM(D307:D315)</f>
        <v>1287</v>
      </c>
      <c r="E316" s="689">
        <f>SUM(E307:E315)</f>
        <v>1081</v>
      </c>
      <c r="F316" s="673"/>
      <c r="G316" s="692">
        <f>SUM(G307:G315)</f>
        <v>1070</v>
      </c>
      <c r="H316" s="364" t="s">
        <v>464</v>
      </c>
      <c r="AI316" s="227"/>
    </row>
    <row r="317" spans="1:35" ht="14.4" thickBot="1">
      <c r="B317" s="242" t="s">
        <v>458</v>
      </c>
      <c r="C317" s="250">
        <f>(C316-C304)/C316</f>
        <v>0.99983430466460754</v>
      </c>
      <c r="D317" s="250">
        <f>(D316-D304)/D316</f>
        <v>1.0001700331116385</v>
      </c>
      <c r="E317" s="250">
        <f>(E316-E304)/E316</f>
        <v>1.0002904105491177</v>
      </c>
      <c r="G317" s="247">
        <f>(G316-G304)/G316</f>
        <v>0.99983300685513443</v>
      </c>
      <c r="AI317" s="227"/>
    </row>
    <row r="318" spans="1:35">
      <c r="B318" s="262" t="s">
        <v>277</v>
      </c>
      <c r="AI318" s="227"/>
    </row>
    <row r="319" spans="1:35">
      <c r="AI319" s="227"/>
    </row>
    <row r="320" spans="1:35">
      <c r="B320" s="137" t="s">
        <v>266</v>
      </c>
      <c r="AI320" s="227"/>
    </row>
    <row r="321" spans="1:35">
      <c r="P321" s="1"/>
      <c r="Q321" s="1"/>
      <c r="R321" s="1"/>
      <c r="AI321" s="227"/>
    </row>
    <row r="322" spans="1:35">
      <c r="B322" s="844" t="s">
        <v>253</v>
      </c>
      <c r="C322" s="845"/>
      <c r="D322" s="845"/>
      <c r="E322" s="845"/>
      <c r="F322" s="845"/>
      <c r="G322" s="846"/>
      <c r="AI322" s="227"/>
    </row>
    <row r="323" spans="1:35">
      <c r="B323" s="845"/>
      <c r="C323" s="845"/>
      <c r="D323" s="845"/>
      <c r="E323" s="845"/>
      <c r="F323" s="845"/>
      <c r="G323" s="846"/>
      <c r="AI323" s="227"/>
    </row>
    <row r="324" spans="1:35">
      <c r="AI324" s="227"/>
    </row>
    <row r="325" spans="1:35">
      <c r="B325" s="850" t="s">
        <v>254</v>
      </c>
      <c r="C325" s="845"/>
      <c r="D325" s="845"/>
      <c r="E325" s="845"/>
      <c r="F325" s="845"/>
      <c r="G325" s="846"/>
      <c r="AI325" s="227"/>
    </row>
    <row r="326" spans="1:35">
      <c r="B326" s="845"/>
      <c r="C326" s="845"/>
      <c r="D326" s="845"/>
      <c r="E326" s="845"/>
      <c r="F326" s="845"/>
      <c r="G326" s="846"/>
      <c r="AI326" s="227"/>
    </row>
    <row r="327" spans="1:35">
      <c r="AI327" s="227"/>
    </row>
    <row r="328" spans="1:35">
      <c r="B328" s="364" t="s">
        <v>272</v>
      </c>
      <c r="AI328" s="227"/>
    </row>
    <row r="329" spans="1:35">
      <c r="A329" s="849">
        <v>1</v>
      </c>
      <c r="B329" s="847" t="s">
        <v>246</v>
      </c>
      <c r="C329" s="848"/>
      <c r="D329" s="848"/>
      <c r="E329" s="848"/>
      <c r="F329" s="848"/>
      <c r="G329" s="846"/>
      <c r="AI329" s="227"/>
    </row>
    <row r="330" spans="1:35">
      <c r="A330" s="849"/>
      <c r="B330" s="848"/>
      <c r="C330" s="848"/>
      <c r="D330" s="848"/>
      <c r="E330" s="848"/>
      <c r="F330" s="848"/>
      <c r="G330" s="846"/>
      <c r="AI330" s="227"/>
    </row>
    <row r="331" spans="1:35">
      <c r="A331" s="849"/>
      <c r="B331" s="848"/>
      <c r="C331" s="848"/>
      <c r="D331" s="848"/>
      <c r="E331" s="848"/>
      <c r="F331" s="848"/>
      <c r="G331" s="846"/>
      <c r="AI331" s="227"/>
    </row>
    <row r="332" spans="1:35">
      <c r="A332" s="849"/>
      <c r="B332" s="848"/>
      <c r="C332" s="848"/>
      <c r="D332" s="848"/>
      <c r="E332" s="848"/>
      <c r="F332" s="848"/>
      <c r="G332" s="846"/>
      <c r="AI332" s="227"/>
    </row>
    <row r="333" spans="1:35">
      <c r="AI333" s="227"/>
    </row>
    <row r="334" spans="1:35">
      <c r="A334" s="849">
        <v>2</v>
      </c>
      <c r="B334" s="847" t="s">
        <v>247</v>
      </c>
      <c r="C334" s="846"/>
      <c r="D334" s="846"/>
      <c r="E334" s="846"/>
      <c r="F334" s="846"/>
      <c r="G334" s="846"/>
      <c r="AI334" s="227"/>
    </row>
    <row r="335" spans="1:35">
      <c r="A335" s="849"/>
      <c r="B335" s="846"/>
      <c r="C335" s="846"/>
      <c r="D335" s="846"/>
      <c r="E335" s="846"/>
      <c r="F335" s="846"/>
      <c r="G335" s="846"/>
      <c r="AI335" s="227"/>
    </row>
    <row r="336" spans="1:35">
      <c r="A336" s="497"/>
      <c r="B336" s="523"/>
      <c r="C336" s="523"/>
      <c r="D336" s="523"/>
      <c r="E336" s="523"/>
      <c r="F336" s="523"/>
      <c r="AI336" s="227"/>
    </row>
    <row r="337" spans="1:35">
      <c r="A337" s="849">
        <v>3</v>
      </c>
      <c r="B337" s="847" t="s">
        <v>248</v>
      </c>
      <c r="C337" s="846"/>
      <c r="D337" s="846"/>
      <c r="E337" s="846"/>
      <c r="F337" s="846"/>
      <c r="G337" s="846"/>
      <c r="AI337" s="227"/>
    </row>
    <row r="338" spans="1:35">
      <c r="A338" s="846"/>
      <c r="B338" s="846"/>
      <c r="C338" s="846"/>
      <c r="D338" s="846"/>
      <c r="E338" s="846"/>
      <c r="F338" s="846"/>
      <c r="G338" s="846"/>
      <c r="AI338" s="227"/>
    </row>
    <row r="339" spans="1:35">
      <c r="A339" s="846"/>
      <c r="B339" s="846"/>
      <c r="C339" s="846"/>
      <c r="D339" s="846"/>
      <c r="E339" s="846"/>
      <c r="F339" s="846"/>
      <c r="G339" s="846"/>
      <c r="AI339" s="227"/>
    </row>
    <row r="340" spans="1:35">
      <c r="A340" s="497"/>
      <c r="AI340" s="227"/>
    </row>
    <row r="341" spans="1:35">
      <c r="A341" s="497"/>
      <c r="B341" s="1" t="s">
        <v>261</v>
      </c>
      <c r="AI341" s="227"/>
    </row>
    <row r="342" spans="1:35">
      <c r="A342" s="497"/>
      <c r="B342" s="523"/>
      <c r="C342" s="523"/>
      <c r="D342" s="523"/>
      <c r="E342" s="523"/>
      <c r="F342" s="523"/>
      <c r="AI342" s="227"/>
    </row>
    <row r="343" spans="1:35">
      <c r="AI343" s="227"/>
    </row>
    <row r="344" spans="1:35">
      <c r="AI344" s="227"/>
    </row>
    <row r="345" spans="1:35">
      <c r="AI345" s="227"/>
    </row>
    <row r="346" spans="1:35">
      <c r="AI346" s="227"/>
    </row>
    <row r="347" spans="1:35">
      <c r="AI347" s="227"/>
    </row>
    <row r="348" spans="1:35">
      <c r="A348" s="1" t="s">
        <v>285</v>
      </c>
      <c r="B348" s="1" t="s">
        <v>284</v>
      </c>
      <c r="AI348" s="227"/>
    </row>
    <row r="349" spans="1:35" ht="13.2" thickBot="1">
      <c r="AI349" s="227"/>
    </row>
    <row r="350" spans="1:35" ht="23.4" thickBot="1">
      <c r="B350" s="248" t="str">
        <f>B270</f>
        <v>Load-Related                                     (£m, 2020-21 prices)</v>
      </c>
      <c r="C350" s="255" t="s">
        <v>249</v>
      </c>
      <c r="D350" s="256" t="s">
        <v>250</v>
      </c>
      <c r="E350" s="256" t="s">
        <v>251</v>
      </c>
      <c r="F350" s="257" t="s">
        <v>252</v>
      </c>
      <c r="AI350" s="227"/>
    </row>
    <row r="351" spans="1:35" ht="14.4" thickBot="1">
      <c r="B351" s="170" t="s">
        <v>273</v>
      </c>
      <c r="C351" s="245">
        <v>68.78308766727676</v>
      </c>
      <c r="D351" s="239">
        <v>196.51487543751222</v>
      </c>
      <c r="E351" s="239">
        <v>-184.55416643491645</v>
      </c>
      <c r="F351" s="245">
        <f>SUM(C351:E351)</f>
        <v>80.743796669872552</v>
      </c>
      <c r="G351" s="159" t="s">
        <v>366</v>
      </c>
      <c r="AI351" s="227"/>
    </row>
    <row r="352" spans="1:35" ht="14.4" thickBot="1">
      <c r="B352" s="170" t="s">
        <v>274</v>
      </c>
      <c r="C352" s="245">
        <v>76.513076859859638</v>
      </c>
      <c r="D352" s="239">
        <v>128.93142696504074</v>
      </c>
      <c r="E352" s="239">
        <v>-123.08301828256668</v>
      </c>
      <c r="F352" s="245">
        <f>SUM(C352:E352)</f>
        <v>82.361485542333696</v>
      </c>
      <c r="G352" s="159" t="s">
        <v>367</v>
      </c>
      <c r="AI352" s="227"/>
    </row>
    <row r="353" spans="2:35" ht="14.4" thickBot="1">
      <c r="B353" s="170" t="s">
        <v>351</v>
      </c>
      <c r="C353" s="245" t="s">
        <v>608</v>
      </c>
      <c r="D353" s="245" t="s">
        <v>608</v>
      </c>
      <c r="E353" s="245" t="s">
        <v>608</v>
      </c>
      <c r="F353" s="245" t="s">
        <v>608</v>
      </c>
      <c r="G353" s="334"/>
      <c r="AI353" s="227"/>
    </row>
    <row r="354" spans="2:35" ht="14.4" thickBot="1">
      <c r="B354" s="170" t="s">
        <v>463</v>
      </c>
      <c r="C354" s="245">
        <v>75.756549393769745</v>
      </c>
      <c r="D354" s="245">
        <v>213.78250837971274</v>
      </c>
      <c r="E354" s="245">
        <v>-140.27467252513148</v>
      </c>
      <c r="F354" s="245">
        <v>149.26438524835098</v>
      </c>
      <c r="G354" s="334"/>
      <c r="AI354" s="227"/>
    </row>
    <row r="355" spans="2:35" ht="14.4" thickBot="1">
      <c r="B355" s="242" t="s">
        <v>242</v>
      </c>
      <c r="C355" s="250">
        <f>(C352-C351)/C352</f>
        <v>0.10102834064222807</v>
      </c>
      <c r="D355" s="250">
        <f>(D352-D351)/D352</f>
        <v>-0.52418134246506454</v>
      </c>
      <c r="E355" s="250">
        <f>(E352-E351)/E352</f>
        <v>-0.49942834527528368</v>
      </c>
      <c r="F355" s="247">
        <f>(F352-F351)/F352</f>
        <v>1.9641327033005671E-2</v>
      </c>
      <c r="AI355" s="227"/>
    </row>
    <row r="356" spans="2:35" ht="14.4" thickBot="1">
      <c r="B356" s="242" t="s">
        <v>609</v>
      </c>
      <c r="C356" s="250">
        <f>(C354-C352)/C354</f>
        <v>-9.9862978467721679E-3</v>
      </c>
      <c r="D356" s="250">
        <f t="shared" ref="D356:F356" si="44">(D354-D352)/D354</f>
        <v>0.3969037600773333</v>
      </c>
      <c r="E356" s="250">
        <f t="shared" si="44"/>
        <v>0.12255707985691254</v>
      </c>
      <c r="F356" s="250">
        <f t="shared" si="44"/>
        <v>0.44821743374819145</v>
      </c>
      <c r="AI356" s="227"/>
    </row>
    <row r="357" spans="2:35">
      <c r="B357" s="262" t="s">
        <v>275</v>
      </c>
      <c r="AI357" s="227"/>
    </row>
    <row r="358" spans="2:35">
      <c r="AI358" s="227"/>
    </row>
    <row r="359" spans="2:35">
      <c r="B359" s="137" t="s">
        <v>265</v>
      </c>
      <c r="AI359" s="227"/>
    </row>
    <row r="360" spans="2:35">
      <c r="AI360" s="227"/>
    </row>
    <row r="361" spans="2:35">
      <c r="B361" s="1" t="s">
        <v>263</v>
      </c>
      <c r="I361" s="115"/>
      <c r="J361" s="115"/>
      <c r="N361" s="115"/>
      <c r="AI361" s="227"/>
    </row>
    <row r="362" spans="2:35">
      <c r="B362" s="845" t="s">
        <v>262</v>
      </c>
      <c r="C362" s="845"/>
      <c r="D362" s="845"/>
      <c r="E362" s="845"/>
      <c r="F362" s="845"/>
      <c r="AI362" s="227"/>
    </row>
    <row r="363" spans="2:35">
      <c r="B363" s="845"/>
      <c r="C363" s="845"/>
      <c r="D363" s="845"/>
      <c r="E363" s="845"/>
      <c r="F363" s="845"/>
      <c r="AI363" s="227"/>
    </row>
    <row r="364" spans="2:35">
      <c r="B364" s="845"/>
      <c r="C364" s="845"/>
      <c r="D364" s="845"/>
      <c r="E364" s="845"/>
      <c r="F364" s="845"/>
      <c r="AI364" s="227"/>
    </row>
    <row r="365" spans="2:35">
      <c r="AI365" s="227"/>
    </row>
    <row r="366" spans="2:35">
      <c r="B366" s="1" t="s">
        <v>260</v>
      </c>
      <c r="AI366" s="227"/>
    </row>
    <row r="367" spans="2:35">
      <c r="B367" s="841" t="s">
        <v>257</v>
      </c>
      <c r="C367" s="845"/>
      <c r="D367" s="845"/>
      <c r="E367" s="845"/>
      <c r="F367" s="845"/>
      <c r="AI367" s="227"/>
    </row>
    <row r="368" spans="2:35">
      <c r="B368" s="845"/>
      <c r="C368" s="845"/>
      <c r="D368" s="845"/>
      <c r="E368" s="845"/>
      <c r="F368" s="845"/>
      <c r="AI368" s="227"/>
    </row>
    <row r="369" spans="1:35">
      <c r="B369" s="841" t="s">
        <v>258</v>
      </c>
      <c r="C369" s="845"/>
      <c r="D369" s="845"/>
      <c r="E369" s="845"/>
      <c r="F369" s="845"/>
      <c r="AI369" s="227"/>
    </row>
    <row r="370" spans="1:35">
      <c r="B370" s="845"/>
      <c r="C370" s="845"/>
      <c r="D370" s="845"/>
      <c r="E370" s="845"/>
      <c r="F370" s="845"/>
      <c r="AI370" s="227"/>
    </row>
    <row r="371" spans="1:35">
      <c r="AI371" s="227"/>
    </row>
    <row r="372" spans="1:35">
      <c r="B372" s="1" t="s">
        <v>264</v>
      </c>
      <c r="AI372" s="227"/>
    </row>
    <row r="373" spans="1:35">
      <c r="B373" s="841" t="s">
        <v>259</v>
      </c>
      <c r="C373" s="845"/>
      <c r="D373" s="845"/>
      <c r="E373" s="845"/>
      <c r="F373" s="845"/>
      <c r="AI373" s="227"/>
    </row>
    <row r="374" spans="1:35">
      <c r="B374" s="845"/>
      <c r="C374" s="845"/>
      <c r="D374" s="845"/>
      <c r="E374" s="845"/>
      <c r="F374" s="845"/>
      <c r="AI374" s="227"/>
    </row>
    <row r="375" spans="1:35">
      <c r="AI375" s="227"/>
    </row>
    <row r="376" spans="1:35">
      <c r="N376" s="494"/>
      <c r="O376" s="494"/>
      <c r="P376" s="494"/>
      <c r="Q376" s="494"/>
      <c r="R376" s="494"/>
      <c r="S376" s="841"/>
      <c r="AI376" s="227"/>
    </row>
    <row r="377" spans="1:35">
      <c r="B377" s="364" t="s">
        <v>261</v>
      </c>
      <c r="N377" s="494"/>
      <c r="O377" s="494"/>
      <c r="P377" s="494"/>
      <c r="Q377" s="494"/>
      <c r="R377" s="494"/>
      <c r="S377" s="841"/>
      <c r="U377" s="517"/>
      <c r="V377" s="517"/>
      <c r="W377" s="517"/>
      <c r="X377" s="517"/>
      <c r="Y377" s="517"/>
      <c r="Z377" s="517"/>
      <c r="AI377" s="227"/>
    </row>
    <row r="378" spans="1:35">
      <c r="B378" s="845" t="s">
        <v>267</v>
      </c>
      <c r="C378" s="845"/>
      <c r="D378" s="845"/>
      <c r="E378" s="845"/>
      <c r="F378" s="845"/>
      <c r="N378" s="517"/>
      <c r="O378" s="517"/>
      <c r="P378" s="517"/>
      <c r="Q378" s="517"/>
      <c r="R378" s="517"/>
      <c r="S378" s="517"/>
      <c r="U378" s="517"/>
      <c r="V378" s="517"/>
      <c r="W378" s="517"/>
      <c r="X378" s="517"/>
      <c r="Y378" s="517"/>
      <c r="Z378" s="517"/>
      <c r="AI378" s="227"/>
    </row>
    <row r="379" spans="1:35">
      <c r="B379" s="845"/>
      <c r="C379" s="845"/>
      <c r="D379" s="845"/>
      <c r="E379" s="845"/>
      <c r="F379" s="845"/>
      <c r="N379" s="517"/>
      <c r="O379" s="517"/>
      <c r="P379" s="517"/>
      <c r="Q379" s="517"/>
      <c r="R379" s="517"/>
      <c r="S379" s="517"/>
      <c r="U379" s="517"/>
      <c r="V379" s="517"/>
      <c r="W379" s="517"/>
      <c r="X379" s="517"/>
      <c r="Y379" s="517"/>
      <c r="Z379" s="517"/>
      <c r="AI379" s="227"/>
    </row>
    <row r="380" spans="1:35">
      <c r="N380" s="517"/>
      <c r="O380" s="517"/>
      <c r="P380" s="517"/>
      <c r="Q380" s="517"/>
      <c r="R380" s="517"/>
      <c r="S380" s="517"/>
      <c r="U380" s="840"/>
      <c r="V380" s="517"/>
      <c r="W380" s="517"/>
      <c r="X380" s="517"/>
      <c r="Y380" s="517"/>
      <c r="Z380" s="517"/>
      <c r="AI380" s="227"/>
    </row>
    <row r="381" spans="1:35">
      <c r="N381" s="517"/>
      <c r="O381" s="517"/>
      <c r="P381" s="517"/>
      <c r="Q381" s="517"/>
      <c r="R381" s="517"/>
      <c r="S381" s="517"/>
      <c r="U381" s="840"/>
      <c r="V381" s="517"/>
      <c r="W381" s="517"/>
      <c r="X381" s="517"/>
      <c r="Y381" s="517"/>
      <c r="Z381" s="517"/>
      <c r="AI381" s="227"/>
    </row>
    <row r="382" spans="1:35">
      <c r="N382" s="517"/>
      <c r="O382" s="517"/>
      <c r="P382" s="517"/>
      <c r="Q382" s="517"/>
      <c r="R382" s="517"/>
      <c r="S382" s="517"/>
      <c r="U382" s="840"/>
      <c r="V382" s="517"/>
      <c r="W382" s="517"/>
      <c r="X382" s="517"/>
      <c r="Y382" s="517"/>
      <c r="Z382" s="517"/>
      <c r="AI382" s="227"/>
    </row>
    <row r="383" spans="1:35">
      <c r="B383" s="1" t="s">
        <v>286</v>
      </c>
      <c r="N383" s="517"/>
      <c r="O383" s="517"/>
      <c r="P383" s="517"/>
      <c r="Q383" s="517"/>
      <c r="R383" s="517"/>
      <c r="S383" s="517"/>
      <c r="U383" s="840"/>
      <c r="V383" s="517"/>
      <c r="W383" s="517"/>
      <c r="X383" s="517"/>
      <c r="Y383" s="517"/>
      <c r="Z383" s="517"/>
      <c r="AI383" s="227"/>
    </row>
    <row r="384" spans="1:35" ht="13.2" thickBot="1">
      <c r="A384" s="1" t="s">
        <v>256</v>
      </c>
      <c r="N384" s="517"/>
      <c r="O384" s="517"/>
      <c r="P384" s="517"/>
      <c r="Q384" s="517"/>
      <c r="R384" s="517"/>
      <c r="S384" s="517"/>
      <c r="U384" s="517"/>
      <c r="V384" s="517"/>
      <c r="W384" s="517"/>
      <c r="X384" s="517"/>
      <c r="Y384" s="517"/>
      <c r="Z384" s="517"/>
      <c r="AI384" s="227"/>
    </row>
    <row r="385" spans="2:35" ht="23.4" thickBot="1">
      <c r="B385" s="248" t="str">
        <f>B350</f>
        <v>Load-Related                                     (£m, 2020-21 prices)</v>
      </c>
      <c r="C385" s="734" t="s">
        <v>249</v>
      </c>
      <c r="D385" s="735" t="s">
        <v>250</v>
      </c>
      <c r="E385" s="735" t="s">
        <v>251</v>
      </c>
      <c r="F385" s="736" t="s">
        <v>252</v>
      </c>
      <c r="N385" s="517"/>
      <c r="O385" s="517"/>
      <c r="P385" s="517"/>
      <c r="Q385" s="517"/>
      <c r="R385" s="517"/>
      <c r="S385" s="517"/>
      <c r="U385" s="517"/>
      <c r="V385" s="517"/>
      <c r="W385" s="517"/>
      <c r="X385" s="517"/>
      <c r="Y385" s="517"/>
      <c r="Z385" s="517"/>
      <c r="AI385" s="227"/>
    </row>
    <row r="386" spans="2:35" ht="13.8">
      <c r="B386" s="170" t="s">
        <v>462</v>
      </c>
      <c r="C386" s="737">
        <v>-148.7913096381335</v>
      </c>
      <c r="D386" s="737">
        <v>54.947384033931357</v>
      </c>
      <c r="E386" s="737">
        <v>-28.570499585315812</v>
      </c>
      <c r="F386" s="737">
        <f>SUM(C386:E386)</f>
        <v>-122.41442518951796</v>
      </c>
      <c r="N386" s="517"/>
      <c r="O386" s="517"/>
      <c r="P386" s="517"/>
      <c r="Q386" s="517"/>
      <c r="R386" s="517"/>
      <c r="S386" s="517"/>
      <c r="U386" s="517"/>
      <c r="V386" s="517"/>
      <c r="W386" s="517"/>
      <c r="X386" s="517"/>
      <c r="Y386" s="517"/>
      <c r="Z386" s="517"/>
      <c r="AI386" s="227"/>
    </row>
    <row r="387" spans="2:35" ht="13.8">
      <c r="B387" s="170" t="s">
        <v>461</v>
      </c>
      <c r="C387" s="737">
        <v>-268.92729114603185</v>
      </c>
      <c r="D387" s="737">
        <v>14.640443263162346</v>
      </c>
      <c r="E387" s="737">
        <v>-74.759710279977966</v>
      </c>
      <c r="F387" s="737">
        <f>SUM(C387:E387)</f>
        <v>-329.04655816284748</v>
      </c>
      <c r="G387" s="364" t="s">
        <v>365</v>
      </c>
      <c r="N387" s="517"/>
      <c r="O387" s="517"/>
      <c r="P387" s="517"/>
      <c r="Q387" s="517"/>
      <c r="R387" s="517"/>
      <c r="S387" s="517"/>
      <c r="U387" s="517"/>
      <c r="V387" s="517"/>
      <c r="W387" s="517"/>
      <c r="X387" s="517"/>
      <c r="Y387" s="517"/>
      <c r="Z387" s="517"/>
      <c r="AI387" s="227"/>
    </row>
    <row r="388" spans="2:35" ht="13.8">
      <c r="B388" s="170" t="s">
        <v>460</v>
      </c>
      <c r="C388" s="737">
        <v>-252.1717716297025</v>
      </c>
      <c r="D388" s="737">
        <v>-33.096596156095863</v>
      </c>
      <c r="E388" s="737">
        <v>-55.818877003323678</v>
      </c>
      <c r="F388" s="737">
        <f>SUM(C388:E388)</f>
        <v>-341.08724478912205</v>
      </c>
      <c r="G388" s="364" t="s">
        <v>365</v>
      </c>
      <c r="N388" s="517"/>
      <c r="O388" s="517"/>
      <c r="P388" s="517"/>
      <c r="Q388" s="517"/>
      <c r="R388" s="517"/>
      <c r="S388" s="517"/>
      <c r="U388" s="517"/>
      <c r="V388" s="517"/>
      <c r="W388" s="517"/>
      <c r="X388" s="517"/>
      <c r="Y388" s="517"/>
      <c r="Z388" s="517"/>
      <c r="AI388" s="227"/>
    </row>
    <row r="389" spans="2:35" ht="13.8">
      <c r="B389" s="170" t="s">
        <v>459</v>
      </c>
      <c r="C389" s="737">
        <v>-251.64999999999998</v>
      </c>
      <c r="D389" s="737">
        <v>-65.249999999999986</v>
      </c>
      <c r="E389" s="737">
        <v>-55.300000000000004</v>
      </c>
      <c r="F389" s="737">
        <f>SUM(C389:E389)</f>
        <v>-372.2</v>
      </c>
      <c r="G389" s="364" t="s">
        <v>365</v>
      </c>
      <c r="N389" s="517"/>
      <c r="O389" s="517"/>
      <c r="P389" s="517"/>
      <c r="Q389" s="517"/>
      <c r="R389" s="517"/>
      <c r="S389" s="517"/>
      <c r="U389" s="517"/>
      <c r="V389" s="517"/>
      <c r="W389" s="517"/>
      <c r="X389" s="517"/>
      <c r="Y389" s="517"/>
      <c r="Z389" s="517"/>
      <c r="AI389" s="227"/>
    </row>
    <row r="390" spans="2:35" ht="14.4" thickBot="1">
      <c r="B390" s="242" t="s">
        <v>242</v>
      </c>
      <c r="C390" s="250">
        <f t="shared" ref="C390:F392" si="45">(C387-C386)/C387</f>
        <v>0.44672290787572977</v>
      </c>
      <c r="D390" s="250">
        <f t="shared" si="45"/>
        <v>-2.7531229790144129</v>
      </c>
      <c r="E390" s="250">
        <f t="shared" si="45"/>
        <v>0.61783560318361042</v>
      </c>
      <c r="F390" s="247">
        <f t="shared" si="45"/>
        <v>0.62797232746335496</v>
      </c>
      <c r="G390" s="364" t="s">
        <v>365</v>
      </c>
      <c r="N390" s="517"/>
      <c r="O390" s="517"/>
      <c r="P390" s="517"/>
      <c r="Q390" s="517"/>
      <c r="R390" s="517"/>
      <c r="S390" s="517"/>
      <c r="U390" s="517"/>
      <c r="V390" s="517"/>
      <c r="W390" s="517"/>
      <c r="X390" s="517"/>
      <c r="Y390" s="517"/>
      <c r="Z390" s="517"/>
      <c r="AI390" s="227"/>
    </row>
    <row r="391" spans="2:35" ht="14.4" thickBot="1">
      <c r="B391" s="242" t="s">
        <v>350</v>
      </c>
      <c r="C391" s="250">
        <f t="shared" si="45"/>
        <v>-6.6444865767662967E-2</v>
      </c>
      <c r="D391" s="250">
        <f t="shared" si="45"/>
        <v>1.4423549537877722</v>
      </c>
      <c r="E391" s="250">
        <f t="shared" si="45"/>
        <v>-0.33932666319185312</v>
      </c>
      <c r="F391" s="247">
        <f t="shared" si="45"/>
        <v>3.5300899726457842E-2</v>
      </c>
      <c r="K391" s="517"/>
      <c r="L391" s="521"/>
      <c r="M391" s="517"/>
      <c r="N391" s="517"/>
      <c r="O391" s="517"/>
      <c r="P391" s="517"/>
      <c r="Q391" s="517"/>
      <c r="R391" s="517"/>
      <c r="S391" s="517"/>
      <c r="U391" s="517"/>
      <c r="V391" s="522"/>
      <c r="W391" s="517"/>
      <c r="X391" s="517"/>
      <c r="Y391" s="517"/>
      <c r="Z391" s="517"/>
      <c r="AI391" s="227"/>
    </row>
    <row r="392" spans="2:35" ht="14.4" thickBot="1">
      <c r="B392" s="242" t="s">
        <v>458</v>
      </c>
      <c r="C392" s="250">
        <f t="shared" si="45"/>
        <v>-2.0734020651799233E-3</v>
      </c>
      <c r="D392" s="250">
        <f t="shared" si="45"/>
        <v>0.49277247270351154</v>
      </c>
      <c r="E392" s="250">
        <f t="shared" si="45"/>
        <v>-9.3829476188729399E-3</v>
      </c>
      <c r="F392" s="247">
        <f t="shared" si="45"/>
        <v>8.3591497073825724E-2</v>
      </c>
      <c r="L392" s="521"/>
      <c r="M392" s="517"/>
      <c r="N392" s="517"/>
      <c r="O392" s="517"/>
      <c r="P392" s="517"/>
      <c r="Q392" s="517"/>
      <c r="R392" s="517"/>
      <c r="S392" s="517"/>
      <c r="U392" s="517"/>
      <c r="V392" s="517"/>
      <c r="W392" s="517"/>
      <c r="X392" s="517"/>
      <c r="Y392" s="517"/>
      <c r="Z392" s="517"/>
      <c r="AI392" s="227"/>
    </row>
    <row r="393" spans="2:35">
      <c r="B393" s="262" t="s">
        <v>302</v>
      </c>
      <c r="K393" s="517"/>
      <c r="L393" s="521"/>
      <c r="N393" s="517"/>
      <c r="O393" s="517"/>
      <c r="P393" s="517"/>
      <c r="Q393" s="517"/>
      <c r="R393" s="517"/>
      <c r="S393" s="517"/>
      <c r="U393" s="517"/>
      <c r="V393" s="517"/>
      <c r="W393" s="517"/>
      <c r="X393" s="517"/>
      <c r="Y393" s="517"/>
      <c r="Z393" s="517"/>
      <c r="AI393" s="227"/>
    </row>
    <row r="394" spans="2:35" ht="13.8">
      <c r="C394" s="514"/>
      <c r="D394" s="513"/>
      <c r="E394" s="513"/>
      <c r="F394" s="513"/>
      <c r="K394" s="517"/>
      <c r="L394" s="521"/>
      <c r="M394" s="517"/>
      <c r="N394" s="517"/>
      <c r="O394" s="517"/>
      <c r="P394" s="517"/>
      <c r="Q394" s="517"/>
      <c r="R394" s="517"/>
      <c r="S394" s="517"/>
      <c r="U394" s="517"/>
      <c r="V394" s="517"/>
      <c r="W394" s="517"/>
      <c r="X394" s="517"/>
      <c r="Y394" s="517"/>
      <c r="Z394" s="517"/>
      <c r="AI394" s="227"/>
    </row>
    <row r="395" spans="2:35" ht="13.8">
      <c r="B395" s="137" t="s">
        <v>268</v>
      </c>
      <c r="H395" s="513"/>
      <c r="L395" s="521"/>
      <c r="M395" s="517"/>
      <c r="N395" s="517"/>
      <c r="O395" s="517"/>
      <c r="P395" s="517"/>
      <c r="Q395" s="517"/>
      <c r="R395" s="517"/>
      <c r="S395" s="517"/>
      <c r="U395" s="517"/>
      <c r="V395" s="517"/>
      <c r="W395" s="517"/>
      <c r="X395" s="517"/>
      <c r="Y395" s="517"/>
      <c r="Z395" s="517"/>
      <c r="AI395" s="227"/>
    </row>
    <row r="396" spans="2:35" ht="23.25" customHeight="1">
      <c r="H396" s="513"/>
      <c r="K396" s="517"/>
      <c r="L396" s="520"/>
      <c r="M396" s="519"/>
      <c r="N396" s="519"/>
      <c r="O396" s="840"/>
      <c r="P396" s="840"/>
      <c r="Q396" s="517"/>
      <c r="R396" s="517"/>
      <c r="S396" s="840"/>
      <c r="AI396" s="227"/>
    </row>
    <row r="397" spans="2:35" ht="13.8">
      <c r="B397" s="845" t="s">
        <v>255</v>
      </c>
      <c r="C397" s="845"/>
      <c r="D397" s="845"/>
      <c r="E397" s="845"/>
      <c r="F397" s="845"/>
      <c r="H397" s="513"/>
      <c r="K397" s="519"/>
      <c r="L397" s="520"/>
      <c r="M397" s="519"/>
      <c r="N397" s="519"/>
      <c r="O397" s="840"/>
      <c r="P397" s="840"/>
      <c r="Q397" s="517"/>
      <c r="R397" s="517"/>
      <c r="S397" s="840"/>
      <c r="AI397" s="227"/>
    </row>
    <row r="398" spans="2:35" ht="13.8">
      <c r="B398" s="845"/>
      <c r="C398" s="845"/>
      <c r="D398" s="845"/>
      <c r="E398" s="845"/>
      <c r="F398" s="845"/>
      <c r="H398" s="513"/>
      <c r="K398" s="517"/>
      <c r="L398" s="518"/>
      <c r="M398" s="517"/>
      <c r="N398" s="517"/>
      <c r="O398" s="517"/>
      <c r="P398" s="517"/>
      <c r="Q398" s="517"/>
      <c r="R398" s="517"/>
      <c r="S398" s="517"/>
      <c r="AI398" s="227"/>
    </row>
    <row r="399" spans="2:35" ht="13.8">
      <c r="B399" s="845"/>
      <c r="C399" s="845"/>
      <c r="D399" s="845"/>
      <c r="E399" s="845"/>
      <c r="F399" s="845"/>
      <c r="H399" s="513"/>
      <c r="L399" s="516"/>
      <c r="AI399" s="227"/>
    </row>
    <row r="400" spans="2:35" ht="13.8">
      <c r="H400" s="515"/>
      <c r="U400" s="1"/>
      <c r="V400" s="1"/>
      <c r="W400" s="1"/>
      <c r="X400" s="1"/>
      <c r="AI400" s="227"/>
    </row>
    <row r="401" spans="1:35" ht="13.8">
      <c r="B401" s="1" t="s">
        <v>276</v>
      </c>
      <c r="H401" s="513"/>
      <c r="AI401" s="227"/>
    </row>
    <row r="402" spans="1:35" ht="13.8">
      <c r="B402" s="841" t="s">
        <v>257</v>
      </c>
      <c r="C402" s="845"/>
      <c r="D402" s="845"/>
      <c r="E402" s="845"/>
      <c r="F402" s="845"/>
      <c r="H402" s="513"/>
      <c r="AI402" s="227"/>
    </row>
    <row r="403" spans="1:35" ht="13.8">
      <c r="B403" s="845"/>
      <c r="C403" s="845"/>
      <c r="D403" s="845"/>
      <c r="E403" s="845"/>
      <c r="F403" s="845"/>
      <c r="H403" s="513"/>
      <c r="AI403" s="227"/>
    </row>
    <row r="404" spans="1:35" ht="28.5" customHeight="1">
      <c r="B404" s="841" t="s">
        <v>258</v>
      </c>
      <c r="C404" s="845"/>
      <c r="D404" s="845"/>
      <c r="E404" s="845"/>
      <c r="F404" s="845"/>
      <c r="H404" s="513"/>
      <c r="AI404" s="227"/>
    </row>
    <row r="405" spans="1:35">
      <c r="B405" s="845"/>
      <c r="C405" s="845"/>
      <c r="D405" s="845"/>
      <c r="E405" s="845"/>
      <c r="F405" s="845"/>
      <c r="L405" s="147"/>
      <c r="M405" s="147"/>
      <c r="N405" s="147"/>
      <c r="AI405" s="227"/>
    </row>
    <row r="406" spans="1:35">
      <c r="B406" s="846"/>
      <c r="C406" s="846"/>
      <c r="D406" s="846"/>
      <c r="E406" s="846"/>
      <c r="F406" s="846"/>
      <c r="AI406" s="227"/>
    </row>
    <row r="407" spans="1:35" ht="20.25" customHeight="1">
      <c r="H407" s="513"/>
      <c r="AI407" s="227"/>
    </row>
    <row r="408" spans="1:35" ht="13.8">
      <c r="B408" s="841" t="s">
        <v>259</v>
      </c>
      <c r="C408" s="845"/>
      <c r="D408" s="845"/>
      <c r="E408" s="845"/>
      <c r="F408" s="845"/>
      <c r="H408" s="513"/>
      <c r="AI408" s="227"/>
    </row>
    <row r="409" spans="1:35" ht="13.8">
      <c r="B409" s="845"/>
      <c r="C409" s="845"/>
      <c r="D409" s="845"/>
      <c r="E409" s="845"/>
      <c r="F409" s="845"/>
      <c r="H409" s="513"/>
      <c r="AI409" s="227"/>
    </row>
    <row r="410" spans="1:35" ht="24" customHeight="1">
      <c r="C410" s="514"/>
      <c r="D410" s="513"/>
      <c r="E410" s="513"/>
      <c r="F410" s="513"/>
      <c r="H410" s="513"/>
      <c r="AI410" s="227"/>
    </row>
    <row r="411" spans="1:35" ht="13.8">
      <c r="B411" s="1" t="s">
        <v>261</v>
      </c>
      <c r="C411" s="514"/>
      <c r="D411" s="513"/>
      <c r="E411" s="513"/>
      <c r="F411" s="513"/>
      <c r="H411" s="513"/>
      <c r="AI411" s="227"/>
    </row>
    <row r="412" spans="1:35" ht="13.8">
      <c r="B412" s="845" t="s">
        <v>278</v>
      </c>
      <c r="C412" s="845"/>
      <c r="D412" s="845"/>
      <c r="E412" s="845"/>
      <c r="F412" s="845"/>
      <c r="H412" s="513"/>
      <c r="AI412" s="227"/>
    </row>
    <row r="413" spans="1:35" ht="13.8">
      <c r="B413" s="845"/>
      <c r="C413" s="845"/>
      <c r="D413" s="845"/>
      <c r="E413" s="845"/>
      <c r="F413" s="845"/>
      <c r="H413" s="513"/>
      <c r="AI413" s="227"/>
    </row>
    <row r="414" spans="1:35" ht="39.75" customHeight="1">
      <c r="B414" s="227"/>
      <c r="C414" s="227"/>
      <c r="D414" s="227"/>
      <c r="E414" s="227"/>
      <c r="F414" s="227"/>
      <c r="H414" s="513"/>
      <c r="AI414" s="227"/>
    </row>
    <row r="415" spans="1:35">
      <c r="A415" s="227"/>
      <c r="G415" s="227"/>
      <c r="H415" s="227"/>
      <c r="I415" s="227"/>
      <c r="J415" s="227"/>
      <c r="K415" s="227"/>
      <c r="L415" s="227"/>
      <c r="M415" s="227"/>
      <c r="N415" s="227"/>
      <c r="O415" s="227"/>
      <c r="P415" s="227"/>
      <c r="Q415" s="227"/>
      <c r="R415" s="227"/>
      <c r="S415" s="227"/>
      <c r="T415" s="227"/>
      <c r="U415" s="227"/>
      <c r="V415" s="227"/>
      <c r="W415" s="227"/>
      <c r="X415" s="227"/>
      <c r="Y415" s="227"/>
      <c r="Z415" s="227"/>
      <c r="AA415" s="227"/>
      <c r="AB415" s="227"/>
      <c r="AC415" s="227"/>
      <c r="AD415" s="227"/>
      <c r="AE415" s="227"/>
      <c r="AF415" s="227"/>
      <c r="AG415" s="227"/>
      <c r="AH415" s="227"/>
      <c r="AI415" s="227"/>
    </row>
  </sheetData>
  <mergeCells count="148">
    <mergeCell ref="B402:F403"/>
    <mergeCell ref="B408:F409"/>
    <mergeCell ref="A334:A335"/>
    <mergeCell ref="A337:A339"/>
    <mergeCell ref="B412:F413"/>
    <mergeCell ref="B373:F374"/>
    <mergeCell ref="B378:F379"/>
    <mergeCell ref="B362:F364"/>
    <mergeCell ref="B404:F406"/>
    <mergeCell ref="B192:B194"/>
    <mergeCell ref="A307:A315"/>
    <mergeCell ref="H103:J103"/>
    <mergeCell ref="L114:O119"/>
    <mergeCell ref="H70:I71"/>
    <mergeCell ref="B212:B214"/>
    <mergeCell ref="C92:F92"/>
    <mergeCell ref="H92:I93"/>
    <mergeCell ref="E93:F93"/>
    <mergeCell ref="C103:F103"/>
    <mergeCell ref="C239:F239"/>
    <mergeCell ref="E240:F240"/>
    <mergeCell ref="B206:B208"/>
    <mergeCell ref="J174:J175"/>
    <mergeCell ref="J180:J181"/>
    <mergeCell ref="J186:J187"/>
    <mergeCell ref="J192:J193"/>
    <mergeCell ref="O189:P189"/>
    <mergeCell ref="M174:P174"/>
    <mergeCell ref="B154:B156"/>
    <mergeCell ref="B160:B162"/>
    <mergeCell ref="N270:P270"/>
    <mergeCell ref="O209:O211"/>
    <mergeCell ref="B218:B220"/>
    <mergeCell ref="B224:B226"/>
    <mergeCell ref="C254:F254"/>
    <mergeCell ref="E255:F255"/>
    <mergeCell ref="P209:P211"/>
    <mergeCell ref="K209:K211"/>
    <mergeCell ref="L209:L211"/>
    <mergeCell ref="J218:J219"/>
    <mergeCell ref="J224:J225"/>
    <mergeCell ref="H238:I240"/>
    <mergeCell ref="H253:I255"/>
    <mergeCell ref="C4:F4"/>
    <mergeCell ref="E5:F5"/>
    <mergeCell ref="J142:J143"/>
    <mergeCell ref="J148:J149"/>
    <mergeCell ref="J154:J155"/>
    <mergeCell ref="C70:F70"/>
    <mergeCell ref="E71:F71"/>
    <mergeCell ref="Z153:Z155"/>
    <mergeCell ref="Z159:Z161"/>
    <mergeCell ref="J160:J161"/>
    <mergeCell ref="C114:F114"/>
    <mergeCell ref="H114:J114"/>
    <mergeCell ref="E115:F115"/>
    <mergeCell ref="C81:F81"/>
    <mergeCell ref="E82:F82"/>
    <mergeCell ref="K80:L82"/>
    <mergeCell ref="H80:I82"/>
    <mergeCell ref="K91:L93"/>
    <mergeCell ref="C124:F124"/>
    <mergeCell ref="E125:F125"/>
    <mergeCell ref="B142:B144"/>
    <mergeCell ref="B148:B150"/>
    <mergeCell ref="Z141:Z143"/>
    <mergeCell ref="Z147:Z149"/>
    <mergeCell ref="E104:F104"/>
    <mergeCell ref="AH159:AH160"/>
    <mergeCell ref="W189:X189"/>
    <mergeCell ref="U174:X174"/>
    <mergeCell ref="W175:X175"/>
    <mergeCell ref="U181:X181"/>
    <mergeCell ref="W182:X182"/>
    <mergeCell ref="U188:X188"/>
    <mergeCell ref="Z180:Z182"/>
    <mergeCell ref="AH180:AH181"/>
    <mergeCell ref="AH141:AH142"/>
    <mergeCell ref="AH147:AH148"/>
    <mergeCell ref="AH153:AH154"/>
    <mergeCell ref="B174:B176"/>
    <mergeCell ref="B180:B182"/>
    <mergeCell ref="B186:B188"/>
    <mergeCell ref="Z174:Z176"/>
    <mergeCell ref="Z186:Z188"/>
    <mergeCell ref="AH186:AH187"/>
    <mergeCell ref="CF22:CF23"/>
    <mergeCell ref="CG22:CG23"/>
    <mergeCell ref="CF24:CF25"/>
    <mergeCell ref="CF26:CF27"/>
    <mergeCell ref="CF28:CF29"/>
    <mergeCell ref="BY151:CC153"/>
    <mergeCell ref="BO157:BO160"/>
    <mergeCell ref="BP152:BU153"/>
    <mergeCell ref="BP154:BU155"/>
    <mergeCell ref="BP157:BT160"/>
    <mergeCell ref="BY166:CC167"/>
    <mergeCell ref="BP161:BT164"/>
    <mergeCell ref="BP165:BT168"/>
    <mergeCell ref="BY162:CC163"/>
    <mergeCell ref="BO161:BO164"/>
    <mergeCell ref="BO165:BO168"/>
    <mergeCell ref="CM142:CM143"/>
    <mergeCell ref="CH146:CK147"/>
    <mergeCell ref="CM146:CM147"/>
    <mergeCell ref="BY156:CC157"/>
    <mergeCell ref="BY159:CC160"/>
    <mergeCell ref="AA225:AA227"/>
    <mergeCell ref="K226:K228"/>
    <mergeCell ref="L226:L228"/>
    <mergeCell ref="AH219:AH220"/>
    <mergeCell ref="AH225:AH226"/>
    <mergeCell ref="AH207:AH208"/>
    <mergeCell ref="T209:T211"/>
    <mergeCell ref="AA219:AA221"/>
    <mergeCell ref="AH213:AH214"/>
    <mergeCell ref="N209:N211"/>
    <mergeCell ref="O226:O228"/>
    <mergeCell ref="P226:P228"/>
    <mergeCell ref="Z192:Z194"/>
    <mergeCell ref="AH192:AH193"/>
    <mergeCell ref="J206:J207"/>
    <mergeCell ref="J212:J213"/>
    <mergeCell ref="O175:P175"/>
    <mergeCell ref="M181:P181"/>
    <mergeCell ref="AH174:AH175"/>
    <mergeCell ref="O182:P182"/>
    <mergeCell ref="M188:P188"/>
    <mergeCell ref="AA213:AA215"/>
    <mergeCell ref="AA207:AA209"/>
    <mergeCell ref="U380:U381"/>
    <mergeCell ref="U382:U383"/>
    <mergeCell ref="S376:S377"/>
    <mergeCell ref="O396:O397"/>
    <mergeCell ref="P396:P397"/>
    <mergeCell ref="S396:S397"/>
    <mergeCell ref="A271:A279"/>
    <mergeCell ref="A282:A290"/>
    <mergeCell ref="A294:A302"/>
    <mergeCell ref="B322:G323"/>
    <mergeCell ref="B329:G332"/>
    <mergeCell ref="B334:G335"/>
    <mergeCell ref="B337:G339"/>
    <mergeCell ref="A329:A332"/>
    <mergeCell ref="B369:F370"/>
    <mergeCell ref="B325:G326"/>
    <mergeCell ref="B367:F368"/>
    <mergeCell ref="B397:F399"/>
  </mergeCells>
  <hyperlinks>
    <hyperlink ref="A34" r:id="rId1" xr:uid="{E31AF674-EC54-4E9F-9001-BAC3F7EDF0B3}"/>
    <hyperlink ref="A51" r:id="rId2" xr:uid="{F782DF53-D7B5-47DB-9E40-2D6215C6E170}"/>
    <hyperlink ref="A17" r:id="rId3" xr:uid="{2E5DB287-2EA9-4DEE-92D2-292951D30F90}"/>
  </hyperlinks>
  <pageMargins left="0.7" right="0.7" top="0.75" bottom="0.75" header="0.3" footer="0.3"/>
  <pageSetup paperSize="9"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ca9306fc-8436-45f0-b931-e34f519be3a3" ContentTypeId="0x01010033282546F0D44441B574BEAA5FBE93E4" PreviousValue="true"/>
</file>

<file path=customXml/item2.xml><?xml version="1.0" encoding="utf-8"?>
<ct:contentTypeSchema xmlns:ct="http://schemas.microsoft.com/office/2006/metadata/contentType" xmlns:ma="http://schemas.microsoft.com/office/2006/metadata/properties/metaAttributes" ct:_="" ma:_="" ma:contentTypeName="Information" ma:contentTypeID="0x01010033282546F0D44441B574BEAA5FBE93E400C598187FB64C704AACFADDF5580A0668" ma:contentTypeVersion="8" ma:contentTypeDescription="" ma:contentTypeScope="" ma:versionID="8c5c0bef262f0deade4cd69390cd3d85">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6f72f569daad8a307bc554182c40c1a7" ns2:_="" ns3:_="">
    <xsd:import namespace="631298fc-6a88-4548-b7d9-3b164918c4a3"/>
    <xsd:import namespace="http://schemas.microsoft.com/sharepoint/v3/fields"/>
    <xsd:element name="properties">
      <xsd:complexType>
        <xsd:sequence>
          <xsd:element name="documentManagement">
            <xsd:complexType>
              <xsd:all>
                <xsd:element ref="ns2:Organisation" minOccurs="0"/>
                <xsd:element ref="ns2:_x003a_" minOccurs="0"/>
                <xsd:element ref="ns2:_x003a__x003a_"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Organisation" ma:index="8"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_x003a_" ma:index="9" nillable="true" ma:displayName=":" ma:description="To group documents together eg Responses with a Consultation Doc.  The format is Main Document Publication Date as YYYY/MM/DD - Main Document Title - Ref No &#10;(keep the Title part short and use copy and paste to ensure grouping works - check in Publication view)" ma:internalName="_x003A_">
      <xsd:simpleType>
        <xsd:restriction base="dms:Text">
          <xsd:maxLength value="255"/>
        </xsd:restriction>
      </xsd:simpleType>
    </xsd:element>
    <xsd:element name="_x003a__x003a_" ma:index="10" nillable="true" ma:displayName="::" ma:default="-Main Document" ma:description="Used to place Subsidiary Documents and Responses as 'children' to the Main Document, with Subsidiary Documents first" ma:format="Dropdown" ma:internalName="_x003A__x003A_">
      <xsd:simpleType>
        <xsd:restriction base="dms:Choice">
          <xsd:enumeration value="-Main Document"/>
          <xsd:enumeration value="-Subsidiary Document"/>
          <xsd:enumeration value="Response"/>
        </xsd:restrict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3a__x003a_ xmlns="631298fc-6a88-4548-b7d9-3b164918c4a3">-Main Document</_x003a__x003a_>
    <_x003a_ xmlns="631298fc-6a88-4548-b7d9-3b164918c4a3" xsi:nil="true"/>
    <Organisation xmlns="631298fc-6a88-4548-b7d9-3b164918c4a3">Choose an Organisation</Organisation>
    <_Status xmlns="http://schemas.microsoft.com/sharepoint/v3/fields">Draft</_Status>
    <Descriptor xmlns="631298fc-6a88-4548-b7d9-3b164918c4a3" xsi:nil="true"/>
    <Classification xmlns="631298fc-6a88-4548-b7d9-3b164918c4a3">Unclassified</Classification>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sisl xmlns:xsd="http://www.w3.org/2001/XMLSchema" xmlns:xsi="http://www.w3.org/2001/XMLSchema-instance" xmlns="http://www.boldonjames.com/2008/01/sie/internal/label" sislVersion="0" policy="973096ae-7329-4b3b-9368-47aeba6959e1" origin="userSelected"/>
</file>

<file path=customXml/itemProps1.xml><?xml version="1.0" encoding="utf-8"?>
<ds:datastoreItem xmlns:ds="http://schemas.openxmlformats.org/officeDocument/2006/customXml" ds:itemID="{CA3039E6-186A-4904-B2D6-F1120AB2041F}">
  <ds:schemaRefs>
    <ds:schemaRef ds:uri="Microsoft.SharePoint.Taxonomy.ContentTypeSync"/>
  </ds:schemaRefs>
</ds:datastoreItem>
</file>

<file path=customXml/itemProps2.xml><?xml version="1.0" encoding="utf-8"?>
<ds:datastoreItem xmlns:ds="http://schemas.openxmlformats.org/officeDocument/2006/customXml" ds:itemID="{41F153A8-CD0E-429B-8F63-48438DC569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E28377-645D-4D26-9BD6-8D867B18B38D}">
  <ds:schemaRefs>
    <ds:schemaRef ds:uri="http://purl.org/dc/elements/1.1/"/>
    <ds:schemaRef ds:uri="http://www.w3.org/XML/1998/namespace"/>
    <ds:schemaRef ds:uri="631298fc-6a88-4548-b7d9-3b164918c4a3"/>
    <ds:schemaRef ds:uri="http://schemas.microsoft.com/office/infopath/2007/PartnerControls"/>
    <ds:schemaRef ds:uri="http://schemas.microsoft.com/sharepoint/v3/fields"/>
    <ds:schemaRef ds:uri="http://schemas.microsoft.com/office/2006/metadata/properties"/>
    <ds:schemaRef ds:uri="http://schemas.openxmlformats.org/package/2006/metadata/core-properties"/>
    <ds:schemaRef ds:uri="http://schemas.microsoft.com/office/2006/documentManagement/types"/>
    <ds:schemaRef ds:uri="http://purl.org/dc/dcmitype/"/>
    <ds:schemaRef ds:uri="http://purl.org/dc/terms/"/>
  </ds:schemaRefs>
</ds:datastoreItem>
</file>

<file path=customXml/itemProps4.xml><?xml version="1.0" encoding="utf-8"?>
<ds:datastoreItem xmlns:ds="http://schemas.openxmlformats.org/officeDocument/2006/customXml" ds:itemID="{71184612-CB16-4E9F-AC9D-B1DC1E2E78E7}">
  <ds:schemaRefs>
    <ds:schemaRef ds:uri="http://schemas.microsoft.com/sharepoint/v3/contenttype/forms"/>
  </ds:schemaRefs>
</ds:datastoreItem>
</file>

<file path=customXml/itemProps5.xml><?xml version="1.0" encoding="utf-8"?>
<ds:datastoreItem xmlns:ds="http://schemas.openxmlformats.org/officeDocument/2006/customXml" ds:itemID="{D8C4F6C9-15BF-4E11-B506-5F62CFD4D0E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Cover</vt:lpstr>
      <vt:lpstr>Universal data</vt:lpstr>
      <vt:lpstr>Outputs</vt:lpstr>
      <vt:lpstr>Incentives - tables</vt:lpstr>
      <vt:lpstr>Incentives - charts </vt:lpstr>
      <vt:lpstr>Innovation</vt:lpstr>
      <vt:lpstr>Consumer bill impact</vt:lpstr>
      <vt:lpstr>RORE </vt:lpstr>
      <vt:lpstr>8-year data</vt:lpstr>
      <vt:lpstr>Forecast "True up" 1</vt:lpstr>
      <vt:lpstr>Forecast "True up" 2</vt:lpstr>
      <vt:lpstr>'Consumer bill impact'!_ftn2</vt:lpstr>
      <vt:lpstr>Outputs!_ftn3</vt:lpstr>
      <vt:lpstr>Outputs!_ftn4</vt:lpstr>
      <vt:lpstr>Outputs!_ftn5</vt:lpstr>
      <vt:lpstr>Outputs!_ftn6</vt:lpstr>
      <vt:lpstr>Outputs!_ftn7</vt:lpstr>
      <vt:lpstr>Outputs!_ftn8</vt:lpstr>
      <vt:lpstr>Outputs!_ftn9</vt:lpstr>
      <vt:lpstr>'Consumer bill impact'!_ftnref2</vt:lpstr>
      <vt:lpstr>Outputs!_ftnref3</vt:lpstr>
      <vt:lpstr>Outputs!_ftnref4</vt:lpstr>
      <vt:lpstr>Outputs!_ftnref5</vt:lpstr>
      <vt:lpstr>Outputs!_ftnref7</vt:lpstr>
      <vt:lpstr>Outputs!_ftnref8</vt:lpstr>
      <vt:lpstr>Outputs!_ftnref9</vt:lpstr>
      <vt:lpstr>EDR</vt:lpstr>
      <vt:lpstr>RI</vt:lpstr>
      <vt:lpstr>SFI</vt:lpstr>
      <vt:lpstr>SSO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RIIO-ET1 Supplementary Data File 2020-21</dc:title>
  <dc:creator>Daniel Newby</dc:creator>
  <cp:lastModifiedBy>Charlotte Booth</cp:lastModifiedBy>
  <dcterms:created xsi:type="dcterms:W3CDTF">2016-11-27T14:18:33Z</dcterms:created>
  <dcterms:modified xsi:type="dcterms:W3CDTF">2022-09-30T14:09:15Z</dcterms:modified>
  <cp:contentStatus>Final and Sent to Registry</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d2f17aa0-7895-4cd5-bf8f-083863ded8a2</vt:lpwstr>
  </property>
  <property fmtid="{D5CDD505-2E9C-101B-9397-08002B2CF9AE}" pid="3" name="bjSaver">
    <vt:lpwstr>p/6tXeOXAcO3+DGDMi9dMIprFuNt3Cv+</vt:lpwstr>
  </property>
  <property fmtid="{D5CDD505-2E9C-101B-9397-08002B2CF9AE}" pid="4" name="ContentTypeId">
    <vt:lpwstr>0x01010033282546F0D44441B574BEAA5FBE93E400C598187FB64C704AACFADDF5580A0668</vt:lpwstr>
  </property>
  <property fmtid="{D5CDD505-2E9C-101B-9397-08002B2CF9AE}" pid="5" name="BJSCdd9eba61-d6b9-469b_x">
    <vt:lpwstr>Internal Only</vt:lpwstr>
  </property>
  <property fmtid="{D5CDD505-2E9C-101B-9397-08002B2CF9AE}" pid="6" name="BJSCSummaryMarking">
    <vt:lpwstr>OFFICIAL Internal Only</vt:lpwstr>
  </property>
  <property fmtid="{D5CDD505-2E9C-101B-9397-08002B2CF9AE}" pid="7" name="BJSCInternalLabel">
    <vt:lpwstr>&lt;?xml version="1.0" encoding="us-ascii"?&gt;&lt;sisl xmlns:xsi="http://www.w3.org/2001/XMLSchema-instance" xmlns:xsd="http://www.w3.org/2001/XMLSchema" sislVersion="0" policy="973096ae-7329-4b3b-9368-47aeba6959e1" xmlns="http://www.boldonjames.com/2008/01/sie/internal/label"&gt;&lt;element uid="id_classification_nonbusiness" value="" /&gt;&lt;element uid="eaadb568-f939-47e9-ab90-f00bdd47735e" value="" /&gt;&lt;/sisl&gt;</vt:lpwstr>
  </property>
  <property fmtid="{D5CDD505-2E9C-101B-9397-08002B2CF9AE}" pid="8" name="BJSCc5a055b0-1bed-4579_x">
    <vt:lpwstr/>
  </property>
  <property fmtid="{D5CDD505-2E9C-101B-9397-08002B2CF9AE}" pid="9" name="bjClsUserRVM">
    <vt:lpwstr>[]</vt:lpwstr>
  </property>
  <property fmtid="{D5CDD505-2E9C-101B-9397-08002B2CF9AE}" pid="10" name="bjDocumentSecurityLabel">
    <vt:lpwstr>This item has no classification</vt:lpwstr>
  </property>
</Properties>
</file>