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mc:AlternateContent xmlns:mc="http://schemas.openxmlformats.org/markup-compatibility/2006">
    <mc:Choice Requires="x15">
      <x15ac:absPath xmlns:x15ac="http://schemas.microsoft.com/office/spreadsheetml/2010/11/ac" url="https://ofgemcloud.sharepoint.com/sites/PriceCapPolicy/Shared Documents/Medium-term cap reform/01 Decision document/09 Models/"/>
    </mc:Choice>
  </mc:AlternateContent>
  <xr:revisionPtr revIDLastSave="29" documentId="8_{890EB44D-064C-445E-9C64-9E9C3D351C29}" xr6:coauthVersionLast="47" xr6:coauthVersionMax="47" xr10:uidLastSave="{847EB3FB-22CE-457A-A86E-EC7FF06F56FB}"/>
  <bookViews>
    <workbookView xWindow="-3585" yWindow="-21720" windowWidth="38640" windowHeight="212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h Losses" sheetId="34"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17" l="1"/>
  <c r="Z19" i="17"/>
  <c r="AA19" i="17"/>
  <c r="AB19" i="17"/>
  <c r="H27" i="22" l="1"/>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M65" i="42" l="1"/>
  <c r="AA16" i="47"/>
  <c r="AA27" i="22" s="1"/>
  <c r="Z65" i="42" s="1"/>
  <c r="AB16" i="47"/>
  <c r="AB27" i="22" s="1"/>
  <c r="AA65" i="42" s="1"/>
  <c r="I18" i="20"/>
  <c r="I19" i="20" s="1"/>
  <c r="H17" i="21"/>
  <c r="H18" i="21" s="1"/>
  <c r="H19" i="17"/>
  <c r="Q19" i="17" l="1"/>
  <c r="I19" i="17"/>
  <c r="D23" i="45" l="1"/>
  <c r="D24" i="45" s="1"/>
  <c r="D25" i="45" s="1"/>
  <c r="D26" i="45" s="1"/>
  <c r="D27" i="45" s="1"/>
  <c r="D28" i="45" s="1"/>
  <c r="D29" i="45" s="1"/>
  <c r="S153" i="45" l="1"/>
  <c r="T153" i="45"/>
  <c r="U153" i="45"/>
  <c r="E23" i="45"/>
  <c r="H44" i="45" s="1"/>
  <c r="E24" i="45"/>
  <c r="H48" i="45" s="1"/>
  <c r="E25" i="45"/>
  <c r="H52" i="45" s="1"/>
  <c r="E26" i="45"/>
  <c r="H54" i="45" s="1"/>
  <c r="E27" i="45"/>
  <c r="H60" i="45" s="1"/>
  <c r="E28" i="45"/>
  <c r="E29" i="45"/>
  <c r="H68" i="45" s="1"/>
  <c r="E22" i="45"/>
  <c r="H39" i="45" s="1"/>
  <c r="H64" i="45" l="1"/>
  <c r="H63" i="45"/>
  <c r="H62" i="45"/>
  <c r="H41" i="45"/>
  <c r="H38" i="45"/>
  <c r="H40" i="45"/>
  <c r="D153" i="45" s="1"/>
  <c r="H61" i="45"/>
  <c r="Q153" i="45" s="1"/>
  <c r="H57" i="45"/>
  <c r="H49" i="45"/>
  <c r="H45" i="45"/>
  <c r="H56" i="45"/>
  <c r="H65" i="45"/>
  <c r="H55" i="45"/>
  <c r="H53" i="45"/>
  <c r="M153" i="45" s="1"/>
  <c r="H67" i="45"/>
  <c r="H59" i="45"/>
  <c r="H51" i="45"/>
  <c r="H47" i="45"/>
  <c r="H43" i="45"/>
  <c r="H66" i="45"/>
  <c r="H58" i="45"/>
  <c r="H50" i="45"/>
  <c r="H46" i="45"/>
  <c r="H42" i="45"/>
  <c r="H69" i="45"/>
  <c r="P153" i="45" l="1"/>
  <c r="G153" i="45"/>
  <c r="N153" i="45"/>
  <c r="K153" i="45"/>
  <c r="L153" i="45"/>
  <c r="O153" i="45"/>
  <c r="E153" i="45"/>
  <c r="F153" i="45"/>
  <c r="J153" i="45"/>
  <c r="H153" i="45"/>
  <c r="D100" i="45" l="1"/>
  <c r="D117" i="45" s="1"/>
  <c r="P99" i="45"/>
  <c r="P116" i="45" s="1"/>
  <c r="Q99" i="45"/>
  <c r="Q116" i="45" s="1"/>
  <c r="S99" i="45"/>
  <c r="S116" i="45" s="1"/>
  <c r="T99" i="45"/>
  <c r="T116" i="45" s="1"/>
  <c r="U99" i="45"/>
  <c r="U116" i="45" s="1"/>
  <c r="P100" i="45"/>
  <c r="P117" i="45" s="1"/>
  <c r="Q100" i="45"/>
  <c r="Q117" i="45" s="1"/>
  <c r="S100" i="45"/>
  <c r="S117" i="45" s="1"/>
  <c r="T100" i="45"/>
  <c r="T117" i="45" s="1"/>
  <c r="T134" i="45" s="1"/>
  <c r="U100" i="45"/>
  <c r="U117" i="45" s="1"/>
  <c r="P101" i="45"/>
  <c r="P118" i="45" s="1"/>
  <c r="Q101" i="45"/>
  <c r="Q118" i="45" s="1"/>
  <c r="S101" i="45"/>
  <c r="S118" i="45" s="1"/>
  <c r="S135" i="45" s="1"/>
  <c r="T101" i="45"/>
  <c r="T118" i="45" s="1"/>
  <c r="U101" i="45"/>
  <c r="U118" i="45" s="1"/>
  <c r="P102" i="45"/>
  <c r="P119" i="45" s="1"/>
  <c r="Q102" i="45"/>
  <c r="Q119" i="45" s="1"/>
  <c r="S102" i="45"/>
  <c r="S119" i="45" s="1"/>
  <c r="T102" i="45"/>
  <c r="T119" i="45" s="1"/>
  <c r="U102" i="45"/>
  <c r="U119" i="45" s="1"/>
  <c r="P103" i="45"/>
  <c r="P120" i="45" s="1"/>
  <c r="Q103" i="45"/>
  <c r="Q120" i="45" s="1"/>
  <c r="S103" i="45"/>
  <c r="S120" i="45" s="1"/>
  <c r="T103" i="45"/>
  <c r="T120" i="45" s="1"/>
  <c r="U103" i="45"/>
  <c r="U120" i="45" s="1"/>
  <c r="P104" i="45"/>
  <c r="Q104" i="45"/>
  <c r="S104" i="45"/>
  <c r="S121" i="45" s="1"/>
  <c r="T104" i="45"/>
  <c r="T121" i="45" s="1"/>
  <c r="T138" i="45" s="1"/>
  <c r="U104" i="45"/>
  <c r="U121" i="45" s="1"/>
  <c r="P105" i="45"/>
  <c r="P122" i="45" s="1"/>
  <c r="Q105" i="45"/>
  <c r="S105" i="45"/>
  <c r="S122" i="45" s="1"/>
  <c r="S139" i="45" s="1"/>
  <c r="T105" i="45"/>
  <c r="T122" i="45" s="1"/>
  <c r="U105" i="45"/>
  <c r="U122" i="45" s="1"/>
  <c r="P106" i="45"/>
  <c r="P123" i="45" s="1"/>
  <c r="Q106" i="45"/>
  <c r="Q123" i="45" s="1"/>
  <c r="S106" i="45"/>
  <c r="S123" i="45" s="1"/>
  <c r="T106" i="45"/>
  <c r="T123" i="45" s="1"/>
  <c r="T140" i="45" s="1"/>
  <c r="U106" i="45"/>
  <c r="U123" i="45" s="1"/>
  <c r="O99" i="45"/>
  <c r="O116" i="45" s="1"/>
  <c r="K99" i="45"/>
  <c r="K116" i="45" s="1"/>
  <c r="L99" i="45"/>
  <c r="L116" i="45" s="1"/>
  <c r="M99" i="45"/>
  <c r="M116" i="45" s="1"/>
  <c r="N99" i="45"/>
  <c r="N116" i="45" s="1"/>
  <c r="K100" i="45"/>
  <c r="K117" i="45" s="1"/>
  <c r="L100" i="45"/>
  <c r="L117" i="45" s="1"/>
  <c r="M100" i="45"/>
  <c r="M117" i="45" s="1"/>
  <c r="N100" i="45"/>
  <c r="N117" i="45" s="1"/>
  <c r="O100" i="45"/>
  <c r="O117" i="45" s="1"/>
  <c r="K101" i="45"/>
  <c r="L101" i="45"/>
  <c r="L118" i="45" s="1"/>
  <c r="M101" i="45"/>
  <c r="M118" i="45" s="1"/>
  <c r="N101" i="45"/>
  <c r="N118" i="45" s="1"/>
  <c r="O101" i="45"/>
  <c r="O118" i="45" s="1"/>
  <c r="K102" i="45"/>
  <c r="L102" i="45"/>
  <c r="M102" i="45"/>
  <c r="N102" i="45"/>
  <c r="N119" i="45" s="1"/>
  <c r="O102" i="45"/>
  <c r="O119" i="45" s="1"/>
  <c r="K103" i="45"/>
  <c r="K120" i="45" s="1"/>
  <c r="L103" i="45"/>
  <c r="L120" i="45" s="1"/>
  <c r="M103" i="45"/>
  <c r="N103" i="45"/>
  <c r="O103" i="45"/>
  <c r="K104" i="45"/>
  <c r="K121" i="45" s="1"/>
  <c r="L104" i="45"/>
  <c r="L121" i="45" s="1"/>
  <c r="M104" i="45"/>
  <c r="M121" i="45" s="1"/>
  <c r="N104" i="45"/>
  <c r="N121" i="45" s="1"/>
  <c r="O104" i="45"/>
  <c r="K105" i="45"/>
  <c r="K122" i="45" s="1"/>
  <c r="L105" i="45"/>
  <c r="L122" i="45" s="1"/>
  <c r="M105" i="45"/>
  <c r="M122" i="45" s="1"/>
  <c r="N105" i="45"/>
  <c r="N122" i="45" s="1"/>
  <c r="O105" i="45"/>
  <c r="O122" i="45" s="1"/>
  <c r="K106" i="45"/>
  <c r="K123" i="45" s="1"/>
  <c r="L106" i="45"/>
  <c r="L123" i="45" s="1"/>
  <c r="M106" i="45"/>
  <c r="M123" i="45" s="1"/>
  <c r="N106" i="45"/>
  <c r="N123" i="45" s="1"/>
  <c r="O106" i="45"/>
  <c r="O123" i="45" s="1"/>
  <c r="J106" i="45"/>
  <c r="J123" i="45" s="1"/>
  <c r="J105" i="45"/>
  <c r="J122" i="45" s="1"/>
  <c r="J104" i="45"/>
  <c r="J121" i="45" s="1"/>
  <c r="J103" i="45"/>
  <c r="J120" i="45" s="1"/>
  <c r="J102" i="45"/>
  <c r="J119" i="45" s="1"/>
  <c r="J101" i="45"/>
  <c r="J100" i="45"/>
  <c r="J117" i="45" s="1"/>
  <c r="J99" i="45"/>
  <c r="J116" i="45" s="1"/>
  <c r="G99" i="45"/>
  <c r="G116" i="45" s="1"/>
  <c r="H99" i="45"/>
  <c r="H116" i="45" s="1"/>
  <c r="G100" i="45"/>
  <c r="H100" i="45"/>
  <c r="H117" i="45" s="1"/>
  <c r="G101" i="45"/>
  <c r="H101" i="45"/>
  <c r="G102" i="45"/>
  <c r="G119" i="45" s="1"/>
  <c r="H102" i="45"/>
  <c r="H119" i="45" s="1"/>
  <c r="G103" i="45"/>
  <c r="G120" i="45" s="1"/>
  <c r="H103" i="45"/>
  <c r="H120" i="45" s="1"/>
  <c r="G104" i="45"/>
  <c r="G121" i="45" s="1"/>
  <c r="H104" i="45"/>
  <c r="H121" i="45" s="1"/>
  <c r="G105" i="45"/>
  <c r="G122" i="45" s="1"/>
  <c r="H105" i="45"/>
  <c r="H122" i="45" s="1"/>
  <c r="G106" i="45"/>
  <c r="G123" i="45" s="1"/>
  <c r="H106" i="45"/>
  <c r="H123" i="45" s="1"/>
  <c r="F99" i="45"/>
  <c r="F116" i="45" s="1"/>
  <c r="F100" i="45"/>
  <c r="F101" i="45"/>
  <c r="F118" i="45" s="1"/>
  <c r="F102" i="45"/>
  <c r="F119" i="45" s="1"/>
  <c r="F103" i="45"/>
  <c r="F120" i="45" s="1"/>
  <c r="F104" i="45"/>
  <c r="F121" i="45" s="1"/>
  <c r="F105" i="45"/>
  <c r="F122" i="45" s="1"/>
  <c r="F106" i="45"/>
  <c r="F123" i="45" s="1"/>
  <c r="E99" i="45"/>
  <c r="E100" i="45"/>
  <c r="E101" i="45"/>
  <c r="E118" i="45" s="1"/>
  <c r="E102" i="45"/>
  <c r="E119" i="45" s="1"/>
  <c r="E103" i="45"/>
  <c r="E120" i="45" s="1"/>
  <c r="E104" i="45"/>
  <c r="E121" i="45" s="1"/>
  <c r="E105" i="45"/>
  <c r="E122" i="45" s="1"/>
  <c r="E106" i="45"/>
  <c r="E123" i="45" s="1"/>
  <c r="D101" i="45"/>
  <c r="D118" i="45" s="1"/>
  <c r="D102" i="45"/>
  <c r="D119" i="45" s="1"/>
  <c r="D103" i="45"/>
  <c r="D120" i="45" s="1"/>
  <c r="D104" i="45"/>
  <c r="D121" i="45" s="1"/>
  <c r="D105" i="45"/>
  <c r="D122" i="45" s="1"/>
  <c r="D106" i="45"/>
  <c r="D123" i="45" s="1"/>
  <c r="D99" i="45"/>
  <c r="E79" i="45"/>
  <c r="E80" i="45" s="1"/>
  <c r="E81" i="45" s="1"/>
  <c r="E82" i="45" s="1"/>
  <c r="E83" i="45" s="1"/>
  <c r="E84" i="45" s="1"/>
  <c r="E85" i="45" s="1"/>
  <c r="Q121" i="45" l="1"/>
  <c r="Q138" i="45" s="1"/>
  <c r="Q122" i="45"/>
  <c r="Q139" i="45" s="1"/>
  <c r="P121" i="45"/>
  <c r="P138" i="45" s="1"/>
  <c r="T136" i="45"/>
  <c r="D116" i="45"/>
  <c r="D133" i="45" s="1"/>
  <c r="D137" i="45"/>
  <c r="H140" i="45"/>
  <c r="H139" i="45"/>
  <c r="H138" i="45"/>
  <c r="H137" i="45"/>
  <c r="H136" i="45"/>
  <c r="H134" i="45"/>
  <c r="H133" i="45"/>
  <c r="J133" i="45"/>
  <c r="J137" i="45"/>
  <c r="U140" i="45"/>
  <c r="P140" i="45"/>
  <c r="L140" i="45"/>
  <c r="N139" i="45"/>
  <c r="U138" i="45"/>
  <c r="L138" i="45"/>
  <c r="S137" i="45"/>
  <c r="U136" i="45"/>
  <c r="P136" i="45"/>
  <c r="N135" i="45"/>
  <c r="U134" i="45"/>
  <c r="P134" i="45"/>
  <c r="L134" i="45"/>
  <c r="S133" i="45"/>
  <c r="N133" i="45"/>
  <c r="D140" i="45"/>
  <c r="D136" i="45"/>
  <c r="G140" i="45"/>
  <c r="G139" i="45"/>
  <c r="G138" i="45"/>
  <c r="G137" i="45"/>
  <c r="G136" i="45"/>
  <c r="G133" i="45"/>
  <c r="J134" i="45"/>
  <c r="J138" i="45"/>
  <c r="O140" i="45"/>
  <c r="K140" i="45"/>
  <c r="M139" i="45"/>
  <c r="K138" i="45"/>
  <c r="Q137" i="45"/>
  <c r="O136" i="45"/>
  <c r="Q135" i="45"/>
  <c r="M135" i="45"/>
  <c r="O134" i="45"/>
  <c r="K134" i="45"/>
  <c r="Q133" i="45"/>
  <c r="M133" i="45"/>
  <c r="D139" i="45"/>
  <c r="D135" i="45"/>
  <c r="F140" i="45"/>
  <c r="F139" i="45"/>
  <c r="F138" i="45"/>
  <c r="F137" i="45"/>
  <c r="F136" i="45"/>
  <c r="F135" i="45"/>
  <c r="F133" i="45"/>
  <c r="J139" i="45"/>
  <c r="S140" i="45"/>
  <c r="N140" i="45"/>
  <c r="U139" i="45"/>
  <c r="P139" i="45"/>
  <c r="L139" i="45"/>
  <c r="S138" i="45"/>
  <c r="N138" i="45"/>
  <c r="U137" i="45"/>
  <c r="P137" i="45"/>
  <c r="L137" i="45"/>
  <c r="S136" i="45"/>
  <c r="N136" i="45"/>
  <c r="U135" i="45"/>
  <c r="P135" i="45"/>
  <c r="L135" i="45"/>
  <c r="S134" i="45"/>
  <c r="N134" i="45"/>
  <c r="U133" i="45"/>
  <c r="P133" i="45"/>
  <c r="L133" i="45"/>
  <c r="D138" i="45"/>
  <c r="D134" i="45"/>
  <c r="E140" i="45"/>
  <c r="E139" i="45"/>
  <c r="E138" i="45"/>
  <c r="E137" i="45"/>
  <c r="E136" i="45"/>
  <c r="E135" i="45"/>
  <c r="J136" i="45"/>
  <c r="J140" i="45"/>
  <c r="Q140" i="45"/>
  <c r="M140" i="45"/>
  <c r="T139" i="45"/>
  <c r="O139" i="45"/>
  <c r="K139" i="45"/>
  <c r="M138" i="45"/>
  <c r="T137" i="45"/>
  <c r="K137" i="45"/>
  <c r="Q136" i="45"/>
  <c r="T135" i="45"/>
  <c r="O135" i="45"/>
  <c r="Q134" i="45"/>
  <c r="M134" i="45"/>
  <c r="T133" i="45"/>
  <c r="O133" i="45"/>
  <c r="K133" i="45"/>
  <c r="E117" i="45"/>
  <c r="E134" i="45" s="1"/>
  <c r="E116" i="45"/>
  <c r="E133" i="45" s="1"/>
  <c r="G118" i="45"/>
  <c r="G135" i="45" s="1"/>
  <c r="O120" i="45"/>
  <c r="O137" i="45" s="1"/>
  <c r="L119" i="45"/>
  <c r="L136" i="45" s="1"/>
  <c r="N120" i="45"/>
  <c r="N137" i="45" s="1"/>
  <c r="K119" i="45"/>
  <c r="K136" i="45" s="1"/>
  <c r="G117" i="45"/>
  <c r="G134" i="45" s="1"/>
  <c r="M120" i="45"/>
  <c r="M137" i="45" s="1"/>
  <c r="K118" i="45"/>
  <c r="K135" i="45" s="1"/>
  <c r="F117" i="45"/>
  <c r="F134" i="45" s="1"/>
  <c r="H118" i="45"/>
  <c r="H135" i="45" s="1"/>
  <c r="J118" i="45"/>
  <c r="J135" i="45" s="1"/>
  <c r="O121" i="45"/>
  <c r="O138" i="45" s="1"/>
  <c r="M119" i="45"/>
  <c r="M136" i="45" s="1"/>
  <c r="P151" i="45" l="1"/>
  <c r="U151" i="45"/>
  <c r="T151" i="45"/>
  <c r="E151" i="45"/>
  <c r="Q151" i="45"/>
  <c r="H151" i="45"/>
  <c r="D151" i="45"/>
  <c r="L151" i="45"/>
  <c r="K151" i="45"/>
  <c r="F151" i="45"/>
  <c r="G151" i="45"/>
  <c r="N151" i="45"/>
  <c r="O151" i="45"/>
  <c r="M151" i="45"/>
  <c r="S151" i="45"/>
  <c r="J151" i="45"/>
  <c r="K154" i="45"/>
  <c r="L154" i="45"/>
  <c r="M154" i="45"/>
  <c r="N154" i="45"/>
  <c r="O154" i="45"/>
  <c r="P154" i="45"/>
  <c r="Q154" i="45"/>
  <c r="S154" i="45"/>
  <c r="T154" i="45"/>
  <c r="U154" i="45"/>
  <c r="J154" i="45"/>
  <c r="E154" i="45"/>
  <c r="F154" i="45"/>
  <c r="G154" i="45"/>
  <c r="H154" i="45"/>
  <c r="D154" i="45"/>
  <c r="K152" i="45"/>
  <c r="L152" i="45"/>
  <c r="M152" i="45"/>
  <c r="N152" i="45"/>
  <c r="O152" i="45"/>
  <c r="P152" i="45"/>
  <c r="Q152" i="45"/>
  <c r="S152" i="45"/>
  <c r="T152" i="45"/>
  <c r="U152" i="45"/>
  <c r="J152" i="45"/>
  <c r="E152" i="45"/>
  <c r="F152" i="45"/>
  <c r="G152" i="45"/>
  <c r="H152" i="45"/>
  <c r="D152" i="45"/>
  <c r="J157" i="45" l="1"/>
  <c r="L157" i="45"/>
  <c r="G157" i="45"/>
  <c r="S157" i="45"/>
  <c r="Z21" i="22" s="1"/>
  <c r="D157" i="45"/>
  <c r="T157" i="45"/>
  <c r="AA21" i="22" s="1"/>
  <c r="M157" i="45"/>
  <c r="F157" i="45"/>
  <c r="H157" i="45"/>
  <c r="U157" i="45"/>
  <c r="AB21" i="22" s="1"/>
  <c r="N157" i="45"/>
  <c r="E157" i="45"/>
  <c r="O157" i="45"/>
  <c r="V16" i="22" s="1"/>
  <c r="K157" i="45"/>
  <c r="Q157" i="45"/>
  <c r="X16" i="22" s="1"/>
  <c r="P157" i="45"/>
  <c r="W16" i="22" s="1"/>
  <c r="V14" i="21"/>
  <c r="X21" i="22" l="1"/>
  <c r="AA16" i="22"/>
  <c r="Z16" i="22"/>
  <c r="AB16" i="22"/>
  <c r="V21" i="22"/>
  <c r="W21" i="22"/>
  <c r="U18" i="21"/>
  <c r="U17" i="21"/>
  <c r="U22" i="18"/>
  <c r="U19" i="17"/>
  <c r="R19" i="17" l="1"/>
  <c r="S19" i="17"/>
  <c r="T19" i="17"/>
  <c r="V19" i="17"/>
  <c r="W19" i="17"/>
  <c r="X26" i="22"/>
  <c r="Q22" i="18" l="1"/>
  <c r="Q21" i="18"/>
  <c r="T22" i="18"/>
  <c r="R22" i="18"/>
  <c r="T21" i="18"/>
  <c r="S21" i="18"/>
  <c r="U21" i="18"/>
  <c r="V21" i="18"/>
  <c r="W21" i="18"/>
  <c r="X21" i="18"/>
  <c r="X25" i="22" s="1"/>
  <c r="Z21" i="18"/>
  <c r="AA21" i="18"/>
  <c r="AB21" i="18"/>
  <c r="S22" i="18"/>
  <c r="V22" i="18"/>
  <c r="W22" i="18"/>
  <c r="X22" i="18"/>
  <c r="Z22" i="18"/>
  <c r="AA22" i="18"/>
  <c r="AB22" i="18"/>
  <c r="O22" i="18"/>
  <c r="N22" i="18"/>
  <c r="M22" i="18"/>
  <c r="L22" i="18"/>
  <c r="O21" i="18"/>
  <c r="N21" i="18"/>
  <c r="M21" i="18"/>
  <c r="L21" i="18"/>
  <c r="R21" i="18" l="1"/>
  <c r="W18" i="21" l="1"/>
  <c r="W24" i="22" s="1"/>
  <c r="U19" i="22"/>
  <c r="S18" i="21"/>
  <c r="S24" i="22" s="1"/>
  <c r="Q18" i="21"/>
  <c r="O18" i="21"/>
  <c r="O24" i="22" s="1"/>
  <c r="M18" i="21"/>
  <c r="M19" i="22" s="1"/>
  <c r="K18" i="21"/>
  <c r="K24" i="22" s="1"/>
  <c r="I18" i="21"/>
  <c r="I24" i="22" s="1"/>
  <c r="AB17" i="21"/>
  <c r="AB18" i="21"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B17" i="22"/>
  <c r="AA55" i="42" s="1"/>
  <c r="W17" i="22"/>
  <c r="V55" i="42" s="1"/>
  <c r="S17" i="22"/>
  <c r="R55" i="42" s="1"/>
  <c r="R22" i="22"/>
  <c r="Q60" i="42" s="1"/>
  <c r="Q22" i="22"/>
  <c r="P60" i="42" s="1"/>
  <c r="N17" i="22"/>
  <c r="M55" i="42" s="1"/>
  <c r="AB25" i="22"/>
  <c r="AA63" i="42" s="1"/>
  <c r="W63" i="42"/>
  <c r="W25" i="22"/>
  <c r="T25" i="22"/>
  <c r="S63" i="42" s="1"/>
  <c r="S25" i="22"/>
  <c r="O25" i="22"/>
  <c r="N63" i="42" s="1"/>
  <c r="K14" i="18"/>
  <c r="K22" i="18" s="1"/>
  <c r="J14" i="18"/>
  <c r="J22" i="18" s="1"/>
  <c r="J17" i="22" s="1"/>
  <c r="I55" i="42" s="1"/>
  <c r="I14" i="18"/>
  <c r="I22" i="18" s="1"/>
  <c r="H14" i="18"/>
  <c r="H22" i="18" s="1"/>
  <c r="K13" i="18"/>
  <c r="J13" i="18"/>
  <c r="I13" i="18"/>
  <c r="H13" i="18"/>
  <c r="Y54" i="42"/>
  <c r="W59" i="42"/>
  <c r="I18" i="14"/>
  <c r="I21" i="22" s="1"/>
  <c r="H59" i="42" s="1"/>
  <c r="H18" i="14"/>
  <c r="H21" i="22" s="1"/>
  <c r="G59" i="42" s="1"/>
  <c r="J17" i="14"/>
  <c r="J18" i="14" s="1"/>
  <c r="AB19" i="20"/>
  <c r="AB20" i="22" s="1"/>
  <c r="AA19" i="20"/>
  <c r="AA15" i="22" s="1"/>
  <c r="Z19" i="20"/>
  <c r="Z15" i="22" s="1"/>
  <c r="Q19" i="20"/>
  <c r="Q20" i="22" s="1"/>
  <c r="AB18" i="20"/>
  <c r="AA18" i="20"/>
  <c r="Z18" i="20"/>
  <c r="X18" i="20"/>
  <c r="X19" i="20" s="1"/>
  <c r="W18" i="20"/>
  <c r="W19" i="20" s="1"/>
  <c r="W15" i="22" s="1"/>
  <c r="V18" i="20"/>
  <c r="V19" i="20" s="1"/>
  <c r="U18" i="20"/>
  <c r="U19" i="20" s="1"/>
  <c r="T18" i="20"/>
  <c r="T19" i="20" s="1"/>
  <c r="S18" i="20"/>
  <c r="S19" i="20" s="1"/>
  <c r="S15" i="22" s="1"/>
  <c r="R18" i="20"/>
  <c r="R19" i="20" s="1"/>
  <c r="Q18" i="20"/>
  <c r="O18" i="20"/>
  <c r="O19" i="20" s="1"/>
  <c r="O15" i="22" s="1"/>
  <c r="N18" i="20"/>
  <c r="N19" i="20" s="1"/>
  <c r="M18" i="20"/>
  <c r="M19" i="20" s="1"/>
  <c r="L18" i="20"/>
  <c r="L19" i="20" s="1"/>
  <c r="K18" i="20"/>
  <c r="K19" i="20" s="1"/>
  <c r="J18" i="20"/>
  <c r="J19" i="20" s="1"/>
  <c r="H18" i="20"/>
  <c r="H19" i="20" s="1"/>
  <c r="AB26" i="22"/>
  <c r="AA64" i="42" s="1"/>
  <c r="AA26" i="22"/>
  <c r="Z64" i="42" s="1"/>
  <c r="Z26" i="22"/>
  <c r="Y64" i="42" s="1"/>
  <c r="W64" i="42"/>
  <c r="W26" i="22"/>
  <c r="V64" i="42" s="1"/>
  <c r="V26" i="22"/>
  <c r="U64" i="42" s="1"/>
  <c r="U26" i="22"/>
  <c r="T64" i="42" s="1"/>
  <c r="T26" i="22"/>
  <c r="S64" i="42" s="1"/>
  <c r="S26" i="22"/>
  <c r="R64" i="42" s="1"/>
  <c r="R26" i="22"/>
  <c r="Q64" i="42" s="1"/>
  <c r="Q26" i="22"/>
  <c r="O26" i="22"/>
  <c r="N64" i="42" s="1"/>
  <c r="I26" i="22"/>
  <c r="AA25" i="22"/>
  <c r="Z63" i="42" s="1"/>
  <c r="Z25" i="22"/>
  <c r="Y63" i="42" s="1"/>
  <c r="V25" i="22"/>
  <c r="U25" i="22"/>
  <c r="R25" i="22"/>
  <c r="Q63" i="42" s="1"/>
  <c r="Q25" i="22"/>
  <c r="P63" i="42" s="1"/>
  <c r="N25" i="22"/>
  <c r="M63" i="42" s="1"/>
  <c r="M25" i="22"/>
  <c r="L63" i="42" s="1"/>
  <c r="L25" i="22"/>
  <c r="K63" i="42" s="1"/>
  <c r="U24" i="22"/>
  <c r="Q24" i="22"/>
  <c r="M24" i="22"/>
  <c r="AB23" i="22"/>
  <c r="AA61" i="42" s="1"/>
  <c r="AA23" i="22"/>
  <c r="Z61" i="42" s="1"/>
  <c r="Z23" i="22"/>
  <c r="Y61" i="42" s="1"/>
  <c r="X23" i="22"/>
  <c r="W61" i="42" s="1"/>
  <c r="W23" i="22"/>
  <c r="V61" i="42" s="1"/>
  <c r="V23" i="22"/>
  <c r="U61" i="42" s="1"/>
  <c r="U23" i="22"/>
  <c r="T61" i="42" s="1"/>
  <c r="T23" i="22"/>
  <c r="S61" i="42" s="1"/>
  <c r="S23" i="22"/>
  <c r="R61" i="42" s="1"/>
  <c r="R23" i="22"/>
  <c r="Q61" i="42" s="1"/>
  <c r="I23" i="22"/>
  <c r="H61" i="42" s="1"/>
  <c r="H23" i="22"/>
  <c r="G61" i="42" s="1"/>
  <c r="AB22" i="22"/>
  <c r="AA60" i="42" s="1"/>
  <c r="AA22" i="22"/>
  <c r="Z60" i="42" s="1"/>
  <c r="Z22" i="22"/>
  <c r="Y60" i="42" s="1"/>
  <c r="X22" i="22"/>
  <c r="W60" i="42" s="1"/>
  <c r="V22" i="22"/>
  <c r="U60" i="42" s="1"/>
  <c r="U22" i="22"/>
  <c r="T60" i="42" s="1"/>
  <c r="T22" i="22"/>
  <c r="S60" i="42" s="1"/>
  <c r="O22" i="22"/>
  <c r="N60" i="42" s="1"/>
  <c r="N22" i="22"/>
  <c r="M60" i="42" s="1"/>
  <c r="M22" i="22"/>
  <c r="L60" i="42" s="1"/>
  <c r="L22" i="22"/>
  <c r="K60" i="42" s="1"/>
  <c r="J22" i="22"/>
  <c r="I60" i="42" s="1"/>
  <c r="H22" i="22"/>
  <c r="G60" i="42" s="1"/>
  <c r="AA59" i="42"/>
  <c r="Z59" i="42"/>
  <c r="V59" i="42"/>
  <c r="U59" i="42"/>
  <c r="AA20" i="22"/>
  <c r="S19" i="22"/>
  <c r="Q19" i="22"/>
  <c r="AB18" i="22"/>
  <c r="AA56" i="42" s="1"/>
  <c r="AA18" i="22"/>
  <c r="Z56" i="42" s="1"/>
  <c r="Z18" i="22"/>
  <c r="Y56" i="42" s="1"/>
  <c r="X18" i="22"/>
  <c r="W56" i="42" s="1"/>
  <c r="W18" i="22"/>
  <c r="V56" i="42" s="1"/>
  <c r="V18" i="22"/>
  <c r="U56" i="42" s="1"/>
  <c r="U18" i="22"/>
  <c r="T56" i="42" s="1"/>
  <c r="T18" i="22"/>
  <c r="S56" i="42" s="1"/>
  <c r="S18" i="22"/>
  <c r="R56" i="42" s="1"/>
  <c r="R18" i="22"/>
  <c r="Q56" i="42" s="1"/>
  <c r="I18" i="22"/>
  <c r="H56" i="42" s="1"/>
  <c r="AA17" i="22"/>
  <c r="Z55" i="42" s="1"/>
  <c r="Z17" i="22"/>
  <c r="Y55" i="42" s="1"/>
  <c r="X17" i="22"/>
  <c r="W55" i="42" s="1"/>
  <c r="V17" i="22"/>
  <c r="U55" i="42" s="1"/>
  <c r="U17" i="22"/>
  <c r="T55" i="42" s="1"/>
  <c r="T17" i="22"/>
  <c r="S55" i="42" s="1"/>
  <c r="Q17" i="22"/>
  <c r="P55" i="42" s="1"/>
  <c r="O17" i="22"/>
  <c r="N55" i="42" s="1"/>
  <c r="M17" i="22"/>
  <c r="L55" i="42" s="1"/>
  <c r="L17" i="22"/>
  <c r="K55" i="42" s="1"/>
  <c r="H17" i="22"/>
  <c r="G55" i="42" s="1"/>
  <c r="AA54" i="42"/>
  <c r="Z54" i="42"/>
  <c r="V54" i="42"/>
  <c r="U54" i="42"/>
  <c r="AB15" i="22"/>
  <c r="Z20" i="22" l="1"/>
  <c r="J18" i="22"/>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H15" i="22"/>
  <c r="G53" i="42" s="1"/>
  <c r="Q15" i="22"/>
  <c r="P53" i="42" s="1"/>
  <c r="S20" i="22"/>
  <c r="AA29" i="42"/>
  <c r="AA33" i="42"/>
  <c r="AA37" i="42"/>
  <c r="AA41" i="42"/>
  <c r="AA30" i="42"/>
  <c r="AA34" i="42"/>
  <c r="AA38" i="42"/>
  <c r="AA42" i="42"/>
  <c r="AA31" i="42"/>
  <c r="AA35" i="42"/>
  <c r="AA39" i="42"/>
  <c r="AA32" i="42"/>
  <c r="AA36" i="42"/>
  <c r="AA40" i="42"/>
  <c r="Z30" i="42"/>
  <c r="Z34" i="42"/>
  <c r="Z38" i="42"/>
  <c r="Z42" i="42"/>
  <c r="Z31" i="42"/>
  <c r="Z35" i="42"/>
  <c r="Z39" i="42"/>
  <c r="Z32" i="42"/>
  <c r="Z36" i="42"/>
  <c r="Z40" i="42"/>
  <c r="Z29" i="42"/>
  <c r="Z33" i="42"/>
  <c r="Z37" i="42"/>
  <c r="Z41" i="42"/>
  <c r="Z15" i="42"/>
  <c r="Z19" i="42"/>
  <c r="Z23" i="42"/>
  <c r="Z27" i="42"/>
  <c r="Z17" i="42"/>
  <c r="Z21" i="42"/>
  <c r="Z25" i="42"/>
  <c r="Z18" i="42"/>
  <c r="Z22" i="42"/>
  <c r="Z26" i="42"/>
  <c r="Z28" i="42"/>
  <c r="Z16" i="42"/>
  <c r="Z20" i="42"/>
  <c r="Z24" i="42"/>
  <c r="Z43" i="42"/>
  <c r="P43" i="42"/>
  <c r="Y43" i="42"/>
  <c r="AA18" i="42"/>
  <c r="AA22" i="42"/>
  <c r="AA26" i="42"/>
  <c r="AA15" i="42"/>
  <c r="AA19" i="42"/>
  <c r="AA23" i="42"/>
  <c r="AA27" i="42"/>
  <c r="AA16" i="42"/>
  <c r="AA20" i="42"/>
  <c r="AA24" i="42"/>
  <c r="AA28" i="42"/>
  <c r="AA17" i="42"/>
  <c r="AA21" i="42"/>
  <c r="AA25" i="42"/>
  <c r="AA43" i="42"/>
  <c r="N43" i="42"/>
  <c r="R63" i="42"/>
  <c r="R43" i="42"/>
  <c r="T63" i="42"/>
  <c r="V63" i="42"/>
  <c r="V43" i="42"/>
  <c r="U63" i="42"/>
  <c r="X15" i="22"/>
  <c r="X20" i="22"/>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Y17" i="42" s="1"/>
  <c r="Z24" i="22"/>
  <c r="Z52" i="22" s="1"/>
  <c r="M15" i="22"/>
  <c r="L53" i="42" s="1"/>
  <c r="M20" i="22"/>
  <c r="H24" i="22"/>
  <c r="H60" i="22" s="1"/>
  <c r="H19" i="22"/>
  <c r="H38" i="22" s="1"/>
  <c r="AA24" i="22"/>
  <c r="AA54" i="22" s="1"/>
  <c r="AA19" i="22"/>
  <c r="AA44" i="22" s="1"/>
  <c r="I15" i="22"/>
  <c r="I20" i="22"/>
  <c r="AB24" i="22"/>
  <c r="AB52" i="22" s="1"/>
  <c r="AA62" i="42" s="1"/>
  <c r="AB19" i="22"/>
  <c r="AB48" i="22" s="1"/>
  <c r="J21" i="22"/>
  <c r="I59" i="42" s="1"/>
  <c r="J16" i="22"/>
  <c r="I54" i="42" s="1"/>
  <c r="N15" i="22"/>
  <c r="M53" i="42" s="1"/>
  <c r="N20" i="22"/>
  <c r="M58" i="42" s="1"/>
  <c r="J21" i="18"/>
  <c r="J25" i="22" s="1"/>
  <c r="I63" i="42" s="1"/>
  <c r="K21" i="18"/>
  <c r="K25" i="22" s="1"/>
  <c r="K17" i="14"/>
  <c r="J19" i="22"/>
  <c r="J49" i="22" s="1"/>
  <c r="H21" i="18"/>
  <c r="H25" i="22" s="1"/>
  <c r="G43" i="42" s="1"/>
  <c r="L23" i="22"/>
  <c r="K61" i="42" s="1"/>
  <c r="I21" i="18"/>
  <c r="I25" i="22" s="1"/>
  <c r="H63" i="42" s="1"/>
  <c r="W19" i="22"/>
  <c r="W46" i="22" s="1"/>
  <c r="W20" i="22"/>
  <c r="V20" i="22"/>
  <c r="V15" i="22"/>
  <c r="V24" i="22"/>
  <c r="V52" i="22" s="1"/>
  <c r="V19" i="22"/>
  <c r="V50" i="22" s="1"/>
  <c r="O20" i="22"/>
  <c r="T24" i="22"/>
  <c r="T52" i="22" s="1"/>
  <c r="T15" i="22"/>
  <c r="T20" i="22"/>
  <c r="Y59" i="42"/>
  <c r="R19" i="22"/>
  <c r="R41" i="22" s="1"/>
  <c r="R24" i="22"/>
  <c r="R54" i="22" s="1"/>
  <c r="R15" i="22"/>
  <c r="R20" i="22"/>
  <c r="Y58" i="42"/>
  <c r="O54" i="22"/>
  <c r="O58" i="22"/>
  <c r="O62" i="22"/>
  <c r="O53" i="22"/>
  <c r="O57" i="22"/>
  <c r="O61" i="22"/>
  <c r="O65" i="22"/>
  <c r="O52" i="22"/>
  <c r="O56" i="22"/>
  <c r="O60" i="22"/>
  <c r="O64" i="22"/>
  <c r="O55" i="22"/>
  <c r="O63" i="22"/>
  <c r="O59" i="22"/>
  <c r="Y53" i="42"/>
  <c r="G58" i="42"/>
  <c r="Z58"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S53" i="42"/>
  <c r="T65" i="2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AA53" i="22"/>
  <c r="N53" i="42"/>
  <c r="K54" i="22"/>
  <c r="K58" i="22"/>
  <c r="K62" i="22"/>
  <c r="K53" i="22"/>
  <c r="K57" i="22"/>
  <c r="K61" i="22"/>
  <c r="K65" i="22"/>
  <c r="K52" i="22"/>
  <c r="K56" i="22"/>
  <c r="K60" i="22"/>
  <c r="K64" i="22"/>
  <c r="K59" i="22"/>
  <c r="K63" i="22"/>
  <c r="K55" i="22"/>
  <c r="W58" i="4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H8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45"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AA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AA39" i="22"/>
  <c r="N40" i="22"/>
  <c r="S40" i="22"/>
  <c r="K41" i="22"/>
  <c r="O41" i="22"/>
  <c r="T41" i="22"/>
  <c r="H42" i="22"/>
  <c r="Q42" i="22"/>
  <c r="U42" i="22"/>
  <c r="AA43" i="22"/>
  <c r="S45" i="22"/>
  <c r="O46" i="22"/>
  <c r="I48" i="22"/>
  <c r="AA48" i="22"/>
  <c r="T50" i="22"/>
  <c r="Q51" i="22"/>
  <c r="Y29" i="42" l="1"/>
  <c r="R47" i="22"/>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Y23" i="42" s="1"/>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Z62" i="42" s="1"/>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Y22" i="42" s="1"/>
  <c r="AA42" i="22"/>
  <c r="AA41" i="22"/>
  <c r="X54" i="22"/>
  <c r="X60" i="22"/>
  <c r="V62" i="22"/>
  <c r="V59" i="22"/>
  <c r="J43" i="22"/>
  <c r="Z49" i="22"/>
  <c r="Y26" i="42" s="1"/>
  <c r="X65" i="22"/>
  <c r="X58" i="22"/>
  <c r="L65" i="22"/>
  <c r="Z43" i="22"/>
  <c r="Y20" i="42" s="1"/>
  <c r="L44" i="22"/>
  <c r="AA46" i="22"/>
  <c r="AA38" i="22"/>
  <c r="Z57" i="42" s="1"/>
  <c r="Z44" i="22"/>
  <c r="Y21" i="42" s="1"/>
  <c r="Z47" i="22"/>
  <c r="Y24" i="42" s="1"/>
  <c r="AA50" i="22"/>
  <c r="J45" i="22"/>
  <c r="X63" i="22"/>
  <c r="X57" i="22"/>
  <c r="AA60" i="22"/>
  <c r="AA59" i="22"/>
  <c r="L61" i="22"/>
  <c r="Z50" i="22"/>
  <c r="Y27" i="42" s="1"/>
  <c r="Z38" i="22"/>
  <c r="Z51" i="22"/>
  <c r="Y28" i="42" s="1"/>
  <c r="X61" i="22"/>
  <c r="X56" i="22"/>
  <c r="L59" i="22"/>
  <c r="Z48" i="22"/>
  <c r="Y25" i="42" s="1"/>
  <c r="Z39" i="22"/>
  <c r="Y16" i="42" s="1"/>
  <c r="AA49" i="22"/>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Y37" i="42" s="1"/>
  <c r="H53" i="22"/>
  <c r="W41" i="22"/>
  <c r="N54" i="22"/>
  <c r="N52" i="22"/>
  <c r="V57" i="22"/>
  <c r="V54" i="22"/>
  <c r="H54" i="22"/>
  <c r="H64" i="22"/>
  <c r="N62" i="22"/>
  <c r="V55" i="22"/>
  <c r="T62" i="42"/>
  <c r="H58" i="22"/>
  <c r="G63" i="42"/>
  <c r="G84" i="42" s="1"/>
  <c r="J63" i="42"/>
  <c r="H84" i="42" s="1"/>
  <c r="J47" i="22"/>
  <c r="Z58" i="22"/>
  <c r="Y35" i="42" s="1"/>
  <c r="J51" i="22"/>
  <c r="Z41" i="22"/>
  <c r="Y18" i="42" s="1"/>
  <c r="R63" i="22"/>
  <c r="T63" i="22"/>
  <c r="T60" i="22"/>
  <c r="Z63" i="22"/>
  <c r="Y40" i="42" s="1"/>
  <c r="Z57" i="22"/>
  <c r="Y34" i="42" s="1"/>
  <c r="L57" i="22"/>
  <c r="W38" i="22"/>
  <c r="W39" i="22"/>
  <c r="W42" i="22"/>
  <c r="J41" i="22"/>
  <c r="L39" i="22"/>
  <c r="J46" i="22"/>
  <c r="R64" i="22"/>
  <c r="R61" i="22"/>
  <c r="T61" i="22"/>
  <c r="T58" i="22"/>
  <c r="Z61" i="22"/>
  <c r="Y38" i="42" s="1"/>
  <c r="Z55" i="22"/>
  <c r="Y32" i="42" s="1"/>
  <c r="L53" i="22"/>
  <c r="L48" i="22"/>
  <c r="L46" i="22"/>
  <c r="Z42" i="22"/>
  <c r="Y19" i="42" s="1"/>
  <c r="J50" i="22"/>
  <c r="L51" i="22"/>
  <c r="R62" i="22"/>
  <c r="R59" i="22"/>
  <c r="T59" i="22"/>
  <c r="T57" i="22"/>
  <c r="Z65" i="22"/>
  <c r="Y42" i="42" s="1"/>
  <c r="Z53" i="22"/>
  <c r="Y30" i="42" s="1"/>
  <c r="L64" i="22"/>
  <c r="L62" i="22"/>
  <c r="K18" i="14"/>
  <c r="L17" i="14"/>
  <c r="L47" i="22"/>
  <c r="L42" i="22"/>
  <c r="T57" i="42"/>
  <c r="L50" i="22"/>
  <c r="R60" i="22"/>
  <c r="R55" i="22"/>
  <c r="T54" i="22"/>
  <c r="T55" i="22"/>
  <c r="Z59" i="22"/>
  <c r="Y36" i="42" s="1"/>
  <c r="Z56" i="22"/>
  <c r="Y33" i="42" s="1"/>
  <c r="L52" i="22"/>
  <c r="L58" i="22"/>
  <c r="L45" i="22"/>
  <c r="S57" i="42"/>
  <c r="L41" i="22"/>
  <c r="R58" i="22"/>
  <c r="R56" i="22"/>
  <c r="T56" i="22"/>
  <c r="T53" i="22"/>
  <c r="Z64" i="22"/>
  <c r="Y41" i="42" s="1"/>
  <c r="Z54" i="22"/>
  <c r="Y31" i="42" s="1"/>
  <c r="L56" i="22"/>
  <c r="L54" i="22"/>
  <c r="J44" i="22"/>
  <c r="J40" i="22"/>
  <c r="I17" i="42" s="1"/>
  <c r="L38" i="22"/>
  <c r="L49" i="22"/>
  <c r="J42" i="22"/>
  <c r="L40" i="22"/>
  <c r="J48" i="22"/>
  <c r="J39" i="22"/>
  <c r="R57" i="22"/>
  <c r="Z62" i="22"/>
  <c r="Y39" i="42" s="1"/>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Y57" i="42" l="1"/>
  <c r="Y15" i="42"/>
  <c r="Y62" i="42"/>
  <c r="H57" i="42"/>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8"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8"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8" authorId="3" shapeId="0" xr:uid="{6F8984E3-2669-44AA-ACB2-A2EA16333613}">
      <text>
        <r>
          <rPr>
            <sz val="9"/>
            <color indexed="81"/>
            <rFont val="Tahoma"/>
            <family val="2"/>
          </rPr>
          <t>Our best estimate is the same as the value used in the previous cap period.</t>
        </r>
      </text>
    </comment>
    <comment ref="R19"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9"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9"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9"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Ryan Rimkus</author>
    <author>Philip Brodie</author>
  </authors>
  <commentList>
    <comment ref="D13"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Z14" authorId="5" shapeId="0" xr:uid="{745A853B-E627-43B2-B2B5-0B2A838C7FDB}">
      <text>
        <r>
          <rPr>
            <b/>
            <sz val="9"/>
            <color indexed="81"/>
            <rFont val="Tahoma"/>
            <family val="2"/>
          </rPr>
          <t>Ryan Rimkus:</t>
        </r>
        <r>
          <rPr>
            <sz val="9"/>
            <color indexed="81"/>
            <rFont val="Tahoma"/>
            <family val="2"/>
          </rPr>
          <t xml:space="preserve">
There isn't a core/non-core split this year as 100% of the rebates are data matched so all obligated suppliers will participate in all elements of the scheme</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6"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6"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<sst xmlns="http://schemas.openxmlformats.org/spreadsheetml/2006/main" count="1775" uniqueCount="354">
  <si>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</si>
  <si>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</si>
  <si>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</si>
  <si>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</si>
  <si>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</si>
  <si>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</si>
  <si>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</si>
  <si>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</si>
  <si>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</si>
  <si>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</si>
  <si>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</si>
  <si>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</si>
  <si>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</si>
  <si>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</si>
  <si>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</si>
  <si>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</si>
  <si>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</si>
  <si>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</si>
  <si>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</si>
  <si>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</si>
  <si>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</si>
  <si>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</si>
  <si>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</si>
  <si>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</si>
  <si>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</si>
  <si>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</si>
  <si>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</si>
  <si>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</si>
  <si>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</si>
  <si>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</si>
  <si>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</si>
  <si>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</si>
  <si>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</si>
  <si>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</si>
  <si>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</si>
  <si>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</si>
  <si>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</si>
  <si>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</si>
  <si>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</si>
  <si>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</si>
  <si>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</si>
  <si>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</si>
  <si>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</si>
  <si>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</si>
  <si>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</si>
  <si>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</si>
  <si>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</si>
  <si>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</si>
  <si>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</si>
  <si>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</si>
  <si>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</si>
  <si>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</si>
  <si>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</si>
  <si>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</si>
  <si>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</si>
  <si>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</si>
  <si>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</si>
  <si>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</si>
  <si>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</si>
  <si>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</si>
  <si>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</si>
  <si>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</si>
  <si>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</si>
  <si>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</si>
  <si>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</si>
  <si>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</si>
  <si>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</si>
  <si>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</si>
  <si>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</si>
  <si>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</si>
  <si>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</si>
  <si>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</si>
  <si>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</si>
  <si>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</si>
  <si>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</si>
  <si>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</si>
  <si>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</si>
  <si>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</si>
  <si>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</si>
  <si>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</si>
  <si>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</si>
  <si>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</si>
  <si>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</si>
  <si>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</si>
  <si>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</si>
  <si>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</si>
  <si>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</si>
  <si>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</si>
  <si>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</si>
  <si>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</si>
  <si>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</si>
  <si>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</si>
  <si>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</si>
  <si>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</si>
  <si>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</si>
  <si>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</si>
  <si>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</si>
  <si>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</si>
  <si>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</si>
  <si>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</si>
  <si>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</si>
  <si>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</si>
  <si>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</si>
  <si>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</si>
  <si>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</si>
  <si>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</si>
  <si>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</si>
  <si>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</si>
  <si>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</si>
  <si>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</si>
  <si>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</si>
  <si>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</si>
  <si>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</si>
  <si>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</si>
  <si>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</si>
  <si>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</si>
  <si>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</si>
  <si>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</si>
  <si>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</si>
  <si>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</si>
  <si>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</si>
  <si>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</si>
  <si>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</si>
  <si>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</si>
  <si>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</si>
  <si>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</si>
  <si>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</si>
  <si>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</si>
  <si>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</si>
  <si>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</si>
  <si>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</si>
  <si>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</si>
  <si>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</si>
  <si>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</si>
  <si>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</si>
  <si>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</si>
  <si>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</si>
  <si>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</si>
  <si>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</si>
  <si>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</si>
  <si>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</si>
  <si>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</si>
  <si>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</si>
  <si>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</si>
  <si>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</si>
  <si>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</si>
  <si>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</si>
  <si>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</si>
  <si>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</si>
  <si>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</si>
  <si>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</si>
  <si>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</si>
  <si>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</si>
  <si>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</si>
  <si>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</si>
  <si>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</si>
  <si>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</si>
  <si>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</si>
  <si>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</si>
  <si>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</si>
  <si>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</si>
  <si>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</si>
  <si>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</si>
  <si>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</si>
  <si>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</si>
  <si>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</si>
  <si>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</si>
  <si>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</si>
  <si>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</si>
  <si>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</si>
  <si>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</si>
  <si>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</si>
  <si>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and CfD schemes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</si>
  <si>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</si>
  <si>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</si>
  <si>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</si>
  <si>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</si>
  <si>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</si>
  <si>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</si>
  <si>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</si>
  <si>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</si>
  <si>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</si>
  <si>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</si>
  <si>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</si>
  <si>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</si>
  <si>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</si>
  <si>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</si>
  <si>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</si>
  <si>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</si>
  <si>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</si>
  <si>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</si>
  <si>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</si>
  <si>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</si>
  <si>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</si>
  <si>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</si>
  <si>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</si>
  <si>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</si>
  <si>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</si>
  <si>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</si>
  <si>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</si>
  <si>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</si>
  <si>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</si>
  <si>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</si>
  <si>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</si>
  <si>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</si>
  <si>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</si>
  <si>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</si>
  <si>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</si>
  <si>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</si>
  <si>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</si>
  <si>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</si>
  <si>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</si>
  <si>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</si>
  <si>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</si>
  <si>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</si>
  <si>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</si>
  <si>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</si>
  <si>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</si>
  <si>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</si>
  <si>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</si>
  <si>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</si>
  <si>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</si>
  <si>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</si>
  <si>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Annualised costs for scheme year attributed to gas</t>
  </si>
  <si>
    <t>Calculate by dividing annualised estimate of supplier impact of scheme in half</t>
  </si>
  <si>
    <t>BEIS impact assessment</t>
  </si>
  <si>
    <t>Annualised costs for scheme year attributed to electricity</t>
  </si>
  <si>
    <t>Uprate to current year prices using GDP deflator</t>
  </si>
  <si>
    <t>Latest published OBR forecasts used to inflate annualised costs to current year prices (published costs are in 2015 prices in the ECO2t impact assessment, and 2017 prices for ECO3).</t>
  </si>
  <si>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</si>
  <si>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</si>
  <si>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</si>
  <si>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</si>
  <si>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</si>
  <si>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</si>
  <si>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 xml:space="preserve">ECO cost estimate - gas </t>
  </si>
  <si>
    <t xml:space="preserve">ECO cost estimate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</si>
  <si>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</si>
  <si>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</si>
  <si>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</si>
  <si>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</si>
  <si>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BEIS consultation on WHD scheme</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</si>
  <si>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</si>
  <si>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</si>
  <si>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</si>
  <si>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</si>
  <si>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</si>
  <si>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</si>
  <si>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</si>
  <si>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</si>
  <si>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</si>
  <si>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</si>
  <si>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</si>
  <si>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</si>
  <si>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</si>
  <si>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</si>
  <si>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</si>
  <si>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</si>
  <si>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</si>
  <si>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</si>
  <si>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</si>
  <si>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</si>
  <si>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</si>
  <si>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</si>
  <si>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</si>
  <si>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</si>
  <si>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</si>
  <si>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</si>
  <si>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</si>
  <si>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</si>
  <si>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</si>
  <si>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</si>
  <si>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</si>
  <si>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</si>
  <si>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</si>
  <si>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</si>
  <si>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</si>
  <si>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</si>
  <si>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</si>
  <si>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</si>
  <si>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</si>
  <si>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</si>
  <si>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</si>
  <si>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</si>
  <si>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</si>
  <si>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</si>
  <si>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</si>
  <si>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</si>
  <si>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</si>
  <si>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</si>
  <si>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</si>
  <si>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</si>
  <si>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</si>
  <si>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</si>
  <si>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</si>
  <si>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</si>
  <si>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</si>
  <si>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</si>
  <si>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</si>
  <si>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</si>
  <si>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</si>
  <si>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</si>
  <si>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</si>
  <si>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</si>
  <si>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</si>
  <si>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</si>
  <si>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</si>
  <si>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</si>
  <si>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</si>
  <si>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</si>
  <si>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</si>
  <si>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</si>
  <si>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</si>
  <si>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</si>
  <si>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</si>
  <si>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</si>
  <si>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</si>
  <si>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</si>
  <si>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</si>
  <si>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</si>
  <si>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</si>
  <si>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</si>
  <si>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</si>
  <si>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</si>
  <si>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</si>
  <si>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</si>
  <si>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</si>
  <si>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</si>
  <si>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</si>
  <si>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</si>
  <si>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</si>
  <si>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</si>
  <si>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</si>
  <si>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</si>
  <si>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</si>
  <si>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</si>
  <si>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</si>
  <si>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</si>
  <si>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</si>
  <si>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</si>
  <si>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</si>
  <si>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</si>
  <si>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</si>
  <si>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</si>
  <si>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</si>
  <si>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</si>
  <si>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</si>
  <si>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</si>
  <si>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</si>
  <si>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</si>
  <si>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</si>
  <si>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</si>
  <si>
    <t>- Removed CfD losses from tab '3h Losses'</t>
  </si>
  <si>
    <t>v1.12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</si>
</sst>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9">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
      <sz val="10"/>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8"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70"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7" fontId="40" fillId="0" borderId="0" applyFill="0" applyBorder="0" applyProtection="0"/>
    <xf numFmtId="177" fontId="40" fillId="0" borderId="0" applyFill="0" applyBorder="0" applyProtection="0"/>
    <xf numFmtId="177"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80" fontId="17" fillId="0" borderId="0" applyNumberFormat="0" applyFont="0" applyFill="0" applyBorder="0" applyProtection="0">
      <alignment horizontal="left" vertical="center" indent="2"/>
    </xf>
    <xf numFmtId="18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1"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2" fontId="41" fillId="0" borderId="0" applyFill="0" applyBorder="0" applyAlignment="0" applyProtection="0">
      <alignment horizontal="left"/>
    </xf>
    <xf numFmtId="182" fontId="41" fillId="0" borderId="0" applyFill="0" applyBorder="0" applyAlignment="0" applyProtection="0">
      <alignment horizontal="left"/>
    </xf>
    <xf numFmtId="182" fontId="41" fillId="0" borderId="0" applyFill="0" applyBorder="0" applyAlignment="0" applyProtection="0">
      <alignment horizontal="left"/>
    </xf>
    <xf numFmtId="180" fontId="17" fillId="0" borderId="0" applyNumberFormat="0" applyFont="0" applyFill="0" applyBorder="0" applyProtection="0">
      <alignment horizontal="left" vertical="center" indent="5"/>
    </xf>
    <xf numFmtId="18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3" fontId="43" fillId="0" borderId="0" applyNumberFormat="0" applyFill="0" applyBorder="0" applyAlignment="0">
      <alignment vertical="center"/>
      <protection locked="0"/>
    </xf>
    <xf numFmtId="183"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3"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4"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5"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6" fontId="60" fillId="0" borderId="0"/>
    <xf numFmtId="0" fontId="61" fillId="75" borderId="27" applyProtection="0">
      <alignment horizontal="center" vertical="center"/>
    </xf>
    <xf numFmtId="1" fontId="62" fillId="0" borderId="28">
      <alignment vertical="top"/>
    </xf>
    <xf numFmtId="177" fontId="63" fillId="0" borderId="0" applyBorder="0">
      <alignment horizontal="right"/>
    </xf>
    <xf numFmtId="177" fontId="63" fillId="0" borderId="29" applyAlignment="0">
      <alignment horizontal="right"/>
    </xf>
    <xf numFmtId="17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89" fontId="17" fillId="0" borderId="0" applyBorder="0">
      <alignment horizontal="right"/>
    </xf>
    <xf numFmtId="190" fontId="66"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91"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8" fillId="0" borderId="0" applyFont="0" applyFill="0" applyBorder="0" applyAlignment="0" applyProtection="0"/>
    <xf numFmtId="168" fontId="69" fillId="0" borderId="0" applyFont="0" applyFill="0" applyBorder="0" applyAlignment="0" applyProtection="0"/>
    <xf numFmtId="168" fontId="68"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70" fillId="0" borderId="0" applyFont="0" applyFill="0" applyBorder="0" applyAlignment="0" applyProtection="0"/>
    <xf numFmtId="168" fontId="36" fillId="0" borderId="0" applyFont="0" applyFill="0" applyBorder="0" applyAlignment="0" applyProtection="0"/>
    <xf numFmtId="168" fontId="65"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92" fontId="17" fillId="0" borderId="0" applyFill="0" applyBorder="0" applyAlignment="0" applyProtection="0"/>
    <xf numFmtId="192" fontId="17" fillId="0" borderId="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71" fillId="0" borderId="0"/>
    <xf numFmtId="180"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80" fontId="73" fillId="0" borderId="0" applyNumberFormat="0">
      <alignment horizontal="right"/>
    </xf>
    <xf numFmtId="180" fontId="73" fillId="0" borderId="0" applyNumberFormat="0">
      <alignment horizontal="right"/>
    </xf>
    <xf numFmtId="0" fontId="73" fillId="0" borderId="0" applyNumberFormat="0">
      <alignment horizontal="righ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95" fontId="76" fillId="0" borderId="0"/>
    <xf numFmtId="196" fontId="77"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0" fontId="45" fillId="65" borderId="30">
      <alignment horizontal="left" vertical="center"/>
    </xf>
    <xf numFmtId="180"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7" fontId="81" fillId="0" borderId="0" applyFill="0" applyBorder="0" applyAlignment="0" applyProtection="0">
      <alignment horizontal="right"/>
    </xf>
    <xf numFmtId="198" fontId="17" fillId="78" borderId="31"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6" fontId="17" fillId="0" borderId="0" applyFill="0" applyBorder="0" applyAlignment="0" applyProtection="0"/>
    <xf numFmtId="180" fontId="17" fillId="0" borderId="29"/>
    <xf numFmtId="0" fontId="17" fillId="79" borderId="0">
      <alignment horizontal="center"/>
    </xf>
    <xf numFmtId="0" fontId="82" fillId="0" borderId="0" applyFill="0" applyBorder="0">
      <alignment horizontal="left" vertical="center"/>
    </xf>
    <xf numFmtId="0" fontId="83" fillId="80" borderId="5" applyAlignment="0"/>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200" fontId="84" fillId="65" borderId="0" applyFill="0" applyBorder="0" applyAlignment="0" applyProtection="0">
      <alignment horizontal="right"/>
      <protection locked="0"/>
    </xf>
    <xf numFmtId="201" fontId="39" fillId="0" borderId="0" applyFont="0" applyFill="0" applyBorder="0" applyAlignment="0" applyProtection="0"/>
    <xf numFmtId="201" fontId="40"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200" fontId="84" fillId="65" borderId="0" applyFill="0" applyBorder="0" applyAlignment="0" applyProtection="0">
      <alignment horizontal="right"/>
      <protection locked="0"/>
    </xf>
    <xf numFmtId="201"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87" fillId="72" borderId="0" applyNumberFormat="0" applyFont="0" applyBorder="0" applyAlignment="0" applyProtection="0"/>
    <xf numFmtId="180" fontId="87" fillId="72" borderId="0" applyNumberFormat="0" applyFont="0" applyBorder="0" applyAlignment="0" applyProtection="0"/>
    <xf numFmtId="0" fontId="87" fillId="72" borderId="0" applyNumberFormat="0" applyFont="0" applyBorder="0" applyAlignment="0" applyProtection="0"/>
    <xf numFmtId="180" fontId="88" fillId="0" borderId="0" applyNumberFormat="0" applyFill="0" applyBorder="0" applyAlignment="0" applyProtection="0"/>
    <xf numFmtId="180" fontId="88" fillId="0" borderId="0" applyNumberFormat="0" applyFill="0" applyBorder="0" applyAlignment="0" applyProtection="0"/>
    <xf numFmtId="0" fontId="88" fillId="0" borderId="0" applyNumberFormat="0" applyFill="0" applyBorder="0" applyAlignment="0" applyProtection="0"/>
    <xf numFmtId="202" fontId="89" fillId="0" borderId="0" applyFill="0" applyBorder="0"/>
    <xf numFmtId="15" fontId="37" fillId="0" borderId="0" applyFill="0" applyBorder="0" applyProtection="0">
      <alignment horizontal="center"/>
    </xf>
    <xf numFmtId="180" fontId="87" fillId="40" borderId="0" applyNumberFormat="0" applyFont="0" applyBorder="0" applyAlignment="0" applyProtection="0"/>
    <xf numFmtId="180" fontId="87" fillId="40" borderId="0" applyNumberFormat="0" applyFont="0" applyBorder="0" applyAlignment="0" applyProtection="0"/>
    <xf numFmtId="0" fontId="87" fillId="40" borderId="0" applyNumberFormat="0" applyFont="0" applyBorder="0"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4" fontId="91" fillId="0" borderId="0" applyNumberFormat="0" applyFill="0" applyBorder="0" applyAlignment="0" applyProtection="0"/>
    <xf numFmtId="204" fontId="92" fillId="0" borderId="0" applyNumberFormat="0" applyFill="0" applyBorder="0" applyAlignment="0" applyProtection="0"/>
    <xf numFmtId="15" fontId="43" fillId="43" borderId="32">
      <alignment horizontal="center"/>
      <protection locked="0"/>
    </xf>
    <xf numFmtId="205" fontId="43" fillId="43" borderId="32" applyAlignment="0">
      <protection locked="0"/>
    </xf>
    <xf numFmtId="204" fontId="43" fillId="43" borderId="32" applyAlignment="0">
      <protection locked="0"/>
    </xf>
    <xf numFmtId="204" fontId="37" fillId="0" borderId="0" applyFill="0" applyBorder="0" applyAlignment="0" applyProtection="0"/>
    <xf numFmtId="205" fontId="37" fillId="0" borderId="0" applyFill="0" applyBorder="0" applyAlignment="0" applyProtection="0"/>
    <xf numFmtId="206" fontId="37" fillId="0" borderId="0" applyFill="0" applyBorder="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49" borderId="0" applyNumberFormat="0" applyFont="0" applyBorder="0" applyAlignment="0" applyProtection="0"/>
    <xf numFmtId="180"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7" fontId="17" fillId="0" borderId="0"/>
    <xf numFmtId="208" fontId="94" fillId="0" borderId="0" applyFill="0" applyBorder="0" applyAlignment="0">
      <alignment horizontal="center" vertical="center"/>
    </xf>
    <xf numFmtId="180" fontId="17" fillId="82" borderId="0" applyNumberFormat="0" applyFont="0" applyAlignment="0"/>
    <xf numFmtId="0" fontId="17" fillId="82" borderId="0" applyNumberFormat="0" applyFont="0" applyAlignment="0"/>
    <xf numFmtId="180" fontId="17" fillId="82" borderId="0" applyNumberFormat="0" applyFont="0" applyAlignment="0"/>
    <xf numFmtId="180" fontId="17" fillId="82" borderId="0" applyNumberFormat="0" applyFont="0" applyAlignment="0"/>
    <xf numFmtId="194" fontId="17" fillId="82" borderId="0" applyNumberFormat="0" applyFont="0" applyAlignment="0"/>
    <xf numFmtId="196" fontId="76" fillId="0" borderId="0"/>
    <xf numFmtId="0" fontId="68" fillId="69" borderId="26" applyAlignment="0" applyProtection="0"/>
    <xf numFmtId="0" fontId="59" fillId="69" borderId="26" applyNumberFormat="0" applyAlignment="0" applyProtection="0"/>
    <xf numFmtId="209" fontId="95" fillId="83" borderId="0" applyBorder="0">
      <protection locked="0"/>
    </xf>
    <xf numFmtId="210" fontId="76" fillId="0" borderId="0" applyFill="0" applyBorder="0">
      <alignment horizontal="right"/>
    </xf>
    <xf numFmtId="210" fontId="76" fillId="0" borderId="0" applyFill="0" applyBorder="0">
      <alignment horizontal="right"/>
    </xf>
    <xf numFmtId="210"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1" fontId="17" fillId="0" borderId="0"/>
    <xf numFmtId="211" fontId="17" fillId="0" borderId="0"/>
    <xf numFmtId="211" fontId="17" fillId="0" borderId="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2"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80"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4"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94" fontId="106" fillId="68" borderId="0">
      <alignment horizontal="left"/>
    </xf>
    <xf numFmtId="180" fontId="106" fillId="68" borderId="0">
      <alignment horizontal="left"/>
    </xf>
    <xf numFmtId="180"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4" fontId="107" fillId="0" borderId="39" applyNumberFormat="0" applyFill="0" applyAlignment="0" applyProtection="0"/>
    <xf numFmtId="194" fontId="106" fillId="68" borderId="0">
      <alignment horizontal="left"/>
    </xf>
    <xf numFmtId="180" fontId="106" fillId="68" borderId="0">
      <alignment horizontal="left"/>
    </xf>
    <xf numFmtId="194" fontId="106" fillId="68" borderId="0">
      <alignment horizontal="left"/>
    </xf>
    <xf numFmtId="180" fontId="106" fillId="68" borderId="0">
      <alignment horizontal="left"/>
    </xf>
    <xf numFmtId="180"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80"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13" fillId="80" borderId="44">
      <alignment horizontal="left" vertical="center"/>
    </xf>
    <xf numFmtId="0" fontId="19" fillId="0" borderId="0"/>
    <xf numFmtId="0" fontId="114" fillId="0" borderId="0"/>
    <xf numFmtId="180" fontId="115" fillId="0" borderId="0" applyNumberFormat="0" applyFill="0" applyBorder="0" applyAlignment="0" applyProtection="0"/>
    <xf numFmtId="180" fontId="115" fillId="0" borderId="0" applyNumberFormat="0" applyFill="0" applyBorder="0" applyAlignment="0" applyProtection="0"/>
    <xf numFmtId="0" fontId="115" fillId="0" borderId="0" applyNumberFormat="0" applyFill="0" applyBorder="0" applyAlignment="0" applyProtection="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0" fontId="119" fillId="65" borderId="0" applyNumberFormat="0" applyFill="0" applyBorder="0" applyAlignment="0" applyProtection="0">
      <alignment horizontal="left" vertical="center"/>
    </xf>
    <xf numFmtId="180"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80" fontId="120" fillId="85" borderId="0" applyNumberFormat="0" applyFill="0" applyBorder="0" applyAlignment="0" applyProtection="0">
      <alignment vertical="top"/>
    </xf>
    <xf numFmtId="180"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164" fontId="121" fillId="80" borderId="4" applyNumberFormat="0" applyFont="0" applyBorder="0" applyAlignment="0" applyProtection="0">
      <alignment horizontal="right"/>
    </xf>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80"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4" fillId="41" borderId="24" applyNumberFormat="0" applyAlignment="0" applyProtection="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0" fontId="124"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 fontId="74" fillId="0" borderId="0" applyFill="0" applyBorder="0" applyAlignment="0" applyProtection="0">
      <alignment horizontal="right"/>
    </xf>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4" fontId="45" fillId="0" borderId="0" applyBorder="0">
      <alignment horizontal="right" vertical="center"/>
    </xf>
    <xf numFmtId="213"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4" fontId="43" fillId="43" borderId="32" applyAlignment="0">
      <protection locked="0"/>
    </xf>
    <xf numFmtId="204" fontId="43" fillId="43" borderId="32" applyNumberFormat="0" applyAlignment="0">
      <protection locked="0"/>
    </xf>
    <xf numFmtId="204"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80" fontId="129" fillId="89" borderId="47" applyNumberFormat="0" applyBorder="0" applyAlignment="0">
      <alignment horizontal="center" wrapText="1"/>
    </xf>
    <xf numFmtId="180"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4" fontId="17" fillId="0" borderId="0" applyFont="0" applyFill="0" applyBorder="0" applyAlignment="0" applyProtection="0"/>
    <xf numFmtId="214" fontId="17" fillId="0" borderId="0" applyFont="0" applyFill="0" applyBorder="0" applyAlignment="0" applyProtection="0"/>
    <xf numFmtId="214" fontId="17" fillId="0" borderId="0" applyFont="0" applyFill="0" applyBorder="0" applyAlignment="0" applyProtection="0"/>
    <xf numFmtId="180" fontId="131" fillId="0" borderId="0" applyNumberFormat="0" applyBorder="0" applyAlignment="0" applyProtection="0"/>
    <xf numFmtId="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216" fontId="76" fillId="78" borderId="0">
      <alignment horizontal="center"/>
    </xf>
    <xf numFmtId="180"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80" fontId="17" fillId="0" borderId="0" applyNumberFormat="0" applyFont="0" applyBorder="0" applyAlignment="0" applyProtection="0"/>
    <xf numFmtId="180" fontId="17" fillId="0" borderId="0" applyNumberFormat="0" applyFont="0" applyBorder="0" applyAlignment="0" applyProtection="0"/>
    <xf numFmtId="0" fontId="17" fillId="0" borderId="0" applyNumberFormat="0" applyFont="0" applyBorder="0" applyAlignment="0" applyProtection="0"/>
    <xf numFmtId="217" fontId="135" fillId="0" borderId="0"/>
    <xf numFmtId="218" fontId="76" fillId="0" borderId="0"/>
    <xf numFmtId="219" fontId="76" fillId="0" borderId="0"/>
    <xf numFmtId="220" fontId="76" fillId="0" borderId="0"/>
    <xf numFmtId="0" fontId="17" fillId="0" borderId="0"/>
    <xf numFmtId="194"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17" fillId="0" borderId="0"/>
    <xf numFmtId="0" fontId="17" fillId="0" borderId="0"/>
    <xf numFmtId="180" fontId="17" fillId="0" borderId="0"/>
    <xf numFmtId="0" fontId="41" fillId="0" borderId="0"/>
    <xf numFmtId="0" fontId="17" fillId="0" borderId="0"/>
    <xf numFmtId="0" fontId="136" fillId="0" borderId="0"/>
    <xf numFmtId="180"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4"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22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0" fontId="17" fillId="0" borderId="0"/>
    <xf numFmtId="220"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0"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221"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194"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80" fontId="138" fillId="0" borderId="0" applyNumberFormat="0" applyFill="0" applyBorder="0" applyProtection="0">
      <alignment horizontal="left" vertical="center"/>
    </xf>
    <xf numFmtId="18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17" fillId="93" borderId="0" applyNumberFormat="0" applyFont="0" applyBorder="0" applyAlignment="0" applyProtection="0"/>
    <xf numFmtId="180" fontId="17" fillId="93" borderId="0" applyNumberFormat="0" applyFont="0" applyBorder="0" applyAlignment="0" applyProtection="0"/>
    <xf numFmtId="0" fontId="17" fillId="93" borderId="0" applyNumberFormat="0" applyFont="0" applyBorder="0" applyAlignment="0" applyProtection="0"/>
    <xf numFmtId="0" fontId="40"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80" fontId="17" fillId="12" borderId="22" applyNumberFormat="0" applyFont="0" applyAlignment="0" applyProtection="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76" fillId="43" borderId="50"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17" fillId="0" borderId="0"/>
    <xf numFmtId="0" fontId="139" fillId="0" borderId="4"/>
    <xf numFmtId="222" fontId="17" fillId="0" borderId="0" applyFont="0" applyFill="0" applyBorder="0" applyAlignment="0" applyProtection="0"/>
    <xf numFmtId="191" fontId="17" fillId="0" borderId="0" applyFont="0" applyFill="0" applyBorder="0" applyAlignment="0" applyProtection="0"/>
    <xf numFmtId="223"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4" fontId="17" fillId="0" borderId="0" applyFont="0" applyFill="0" applyBorder="0" applyAlignment="0" applyProtection="0"/>
    <xf numFmtId="224"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4"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0" fontId="95" fillId="0" borderId="0"/>
    <xf numFmtId="0" fontId="146" fillId="0" borderId="0" applyNumberFormat="0" applyFont="0" applyFill="0" applyBorder="0" applyAlignment="0">
      <alignment vertical="center"/>
      <protection hidden="1"/>
    </xf>
    <xf numFmtId="0" fontId="17" fillId="0" borderId="0"/>
    <xf numFmtId="180"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7" fontId="147" fillId="80" borderId="0"/>
    <xf numFmtId="180" fontId="83" fillId="0" borderId="0" applyNumberFormat="0" applyFill="0" applyBorder="0" applyProtection="0">
      <alignment horizontal="left"/>
    </xf>
    <xf numFmtId="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80"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80"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6"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7"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0" fontId="153" fillId="0" borderId="0"/>
    <xf numFmtId="0" fontId="17" fillId="0" borderId="0"/>
    <xf numFmtId="0" fontId="17" fillId="0" borderId="0"/>
    <xf numFmtId="217" fontId="63" fillId="97" borderId="0"/>
    <xf numFmtId="0" fontId="17" fillId="0" borderId="0"/>
    <xf numFmtId="0" fontId="17" fillId="0" borderId="0"/>
    <xf numFmtId="196" fontId="83" fillId="0" borderId="0"/>
    <xf numFmtId="0" fontId="17" fillId="0" borderId="0"/>
    <xf numFmtId="0" fontId="17" fillId="0" borderId="0"/>
    <xf numFmtId="228" fontId="154" fillId="80" borderId="5" applyAlignment="0"/>
    <xf numFmtId="0" fontId="17" fillId="0" borderId="0"/>
    <xf numFmtId="0" fontId="17" fillId="0" borderId="0"/>
    <xf numFmtId="229" fontId="155" fillId="0" borderId="0"/>
    <xf numFmtId="0" fontId="17" fillId="0" borderId="0"/>
    <xf numFmtId="0" fontId="17" fillId="0" borderId="0"/>
    <xf numFmtId="220" fontId="156" fillId="98" borderId="0" applyFont="0" applyBorder="0" applyAlignment="0">
      <alignment vertical="top" wrapText="1"/>
    </xf>
    <xf numFmtId="0" fontId="17" fillId="0" borderId="0"/>
    <xf numFmtId="0" fontId="17" fillId="0" borderId="0"/>
    <xf numFmtId="220" fontId="157" fillId="98" borderId="0" applyFont="0" applyAlignment="0">
      <alignment horizontal="justify" vertical="top" wrapText="1"/>
    </xf>
    <xf numFmtId="0" fontId="17" fillId="0" borderId="0"/>
    <xf numFmtId="0" fontId="17" fillId="0" borderId="0"/>
    <xf numFmtId="220" fontId="158" fillId="98" borderId="0">
      <alignment vertical="top" wrapText="1"/>
    </xf>
    <xf numFmtId="0" fontId="159" fillId="78" borderId="7">
      <alignment wrapText="1"/>
    </xf>
    <xf numFmtId="0" fontId="17" fillId="0" borderId="0"/>
    <xf numFmtId="0" fontId="17" fillId="0" borderId="0"/>
    <xf numFmtId="220"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6"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6" fontId="113" fillId="0" borderId="0"/>
    <xf numFmtId="0" fontId="17" fillId="0" borderId="0"/>
    <xf numFmtId="0" fontId="18" fillId="0" borderId="0"/>
    <xf numFmtId="0" fontId="17" fillId="0" borderId="0"/>
    <xf numFmtId="196" fontId="113" fillId="0" borderId="0"/>
    <xf numFmtId="0" fontId="17" fillId="0" borderId="0"/>
    <xf numFmtId="0" fontId="17" fillId="0" borderId="0"/>
    <xf numFmtId="0" fontId="17" fillId="0" borderId="0"/>
    <xf numFmtId="196" fontId="113" fillId="0" borderId="0"/>
    <xf numFmtId="0" fontId="17" fillId="0" borderId="0"/>
    <xf numFmtId="0" fontId="17" fillId="0" borderId="0"/>
    <xf numFmtId="0" fontId="17" fillId="0" borderId="0"/>
    <xf numFmtId="177"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2" fontId="163" fillId="0" borderId="5"/>
    <xf numFmtId="0" fontId="17" fillId="0" borderId="0"/>
    <xf numFmtId="0" fontId="17" fillId="0" borderId="0"/>
    <xf numFmtId="0" fontId="17" fillId="0" borderId="0"/>
    <xf numFmtId="218" fontId="62" fillId="0" borderId="58" applyAlignment="0"/>
    <xf numFmtId="0" fontId="17" fillId="0" borderId="0"/>
    <xf numFmtId="0" fontId="17" fillId="0" borderId="0"/>
    <xf numFmtId="219" fontId="62" fillId="0" borderId="58" applyAlignment="0"/>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0" fontId="17" fillId="0" borderId="0"/>
    <xf numFmtId="0" fontId="17" fillId="0" borderId="0"/>
    <xf numFmtId="0" fontId="17" fillId="0" borderId="0"/>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4"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0"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0"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5" fontId="154" fillId="80" borderId="12" applyNumberFormat="0" applyBorder="0" applyAlignment="0"/>
    <xf numFmtId="0" fontId="17" fillId="0" borderId="0"/>
    <xf numFmtId="0" fontId="17" fillId="0" borderId="0"/>
    <xf numFmtId="230" fontId="19" fillId="78" borderId="5" applyAlignment="0">
      <alignment horizontal="right"/>
    </xf>
    <xf numFmtId="0" fontId="17" fillId="0" borderId="0"/>
    <xf numFmtId="0" fontId="17" fillId="0" borderId="0"/>
    <xf numFmtId="230" fontId="19" fillId="97" borderId="5" applyAlignment="0">
      <alignment horizontal="left"/>
    </xf>
    <xf numFmtId="180" fontId="45" fillId="0" borderId="0"/>
    <xf numFmtId="0" fontId="17" fillId="0" borderId="0"/>
    <xf numFmtId="0" fontId="168" fillId="0" borderId="0"/>
    <xf numFmtId="0" fontId="169" fillId="0" borderId="0"/>
    <xf numFmtId="168" fontId="17" fillId="0" borderId="0" applyFont="0" applyFill="0" applyBorder="0" applyAlignment="0" applyProtection="0"/>
    <xf numFmtId="168"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0" fontId="7" fillId="0" borderId="0"/>
    <xf numFmtId="43" fontId="7" fillId="0" borderId="0" applyFont="0" applyFill="0" applyBorder="0" applyAlignment="0" applyProtection="0"/>
    <xf numFmtId="43" fontId="179" fillId="0" borderId="0" applyFont="0" applyFill="0" applyBorder="0" applyAlignment="0" applyProtection="0"/>
    <xf numFmtId="0" fontId="179"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37" fillId="0" borderId="0" applyFont="0" applyFill="0" applyBorder="0" applyAlignment="0" applyProtection="0"/>
    <xf numFmtId="41" fontId="17" fillId="0" borderId="0" applyFont="0" applyFill="0" applyBorder="0" applyAlignment="0" applyProtection="0"/>
    <xf numFmtId="41" fontId="3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65"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7" fillId="0" borderId="0" applyFont="0" applyFill="0" applyBorder="0" applyAlignment="0" applyProtection="0"/>
    <xf numFmtId="43" fontId="17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2" fillId="0" borderId="0"/>
    <xf numFmtId="0" fontId="17" fillId="0" borderId="0"/>
    <xf numFmtId="0" fontId="17" fillId="0" borderId="0"/>
    <xf numFmtId="0" fontId="17" fillId="0" borderId="0"/>
    <xf numFmtId="0" fontId="191" fillId="0" borderId="60" applyNumberFormat="0" applyFill="0" applyProtection="0">
      <alignment horizontal="center"/>
    </xf>
    <xf numFmtId="177" fontId="17" fillId="0" borderId="0" applyFont="0" applyFill="0" applyBorder="0" applyProtection="0">
      <alignment horizontal="right"/>
    </xf>
    <xf numFmtId="177" fontId="17" fillId="0" borderId="0" applyFont="0" applyFill="0" applyBorder="0" applyProtection="0">
      <alignment horizontal="right"/>
    </xf>
    <xf numFmtId="172" fontId="17" fillId="0" borderId="0" applyFont="0" applyFill="0" applyBorder="0" applyProtection="0">
      <alignment horizontal="right"/>
    </xf>
    <xf numFmtId="172" fontId="17" fillId="0" borderId="0" applyFont="0" applyFill="0" applyBorder="0" applyProtection="0">
      <alignment horizontal="right"/>
    </xf>
    <xf numFmtId="234" fontId="17" fillId="0" borderId="0" applyFont="0" applyFill="0" applyBorder="0" applyProtection="0">
      <alignment horizontal="right"/>
    </xf>
    <xf numFmtId="234" fontId="17" fillId="0" borderId="0" applyFont="0" applyFill="0" applyBorder="0" applyProtection="0">
      <alignment horizontal="right"/>
    </xf>
    <xf numFmtId="243" fontId="17" fillId="0" borderId="0" applyBorder="0"/>
    <xf numFmtId="234" fontId="46" fillId="0" borderId="0" applyFont="0" applyFill="0" applyBorder="0" applyProtection="0">
      <alignment horizontal="right"/>
    </xf>
    <xf numFmtId="235" fontId="46" fillId="0" borderId="0" applyFont="0" applyFill="0" applyBorder="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01" fillId="0" borderId="11" applyNumberFormat="0" applyBorder="0" applyAlignment="0" applyProtection="0">
      <alignment horizontal="right" vertical="center"/>
    </xf>
    <xf numFmtId="201" fontId="17"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38" fontId="76" fillId="80" borderId="0" applyNumberFormat="0" applyBorder="0" applyAlignment="0" applyProtection="0"/>
    <xf numFmtId="0" fontId="62" fillId="113" borderId="61" applyProtection="0">
      <alignment horizontal="right"/>
    </xf>
    <xf numFmtId="0" fontId="194" fillId="113" borderId="0" applyProtection="0">
      <alignment horizontal="left"/>
    </xf>
    <xf numFmtId="0" fontId="84" fillId="0" borderId="0">
      <alignment vertical="top" wrapText="1"/>
    </xf>
    <xf numFmtId="0" fontId="84" fillId="0" borderId="0">
      <alignment vertical="top" wrapText="1"/>
    </xf>
    <xf numFmtId="0" fontId="84" fillId="0" borderId="0">
      <alignment vertical="top" wrapText="1"/>
    </xf>
    <xf numFmtId="0" fontId="84" fillId="0" borderId="0">
      <alignment vertical="top" wrapText="1"/>
    </xf>
    <xf numFmtId="207" fontId="83" fillId="0" borderId="0" applyNumberFormat="0" applyFill="0" applyAlignment="0" applyProtection="0"/>
    <xf numFmtId="207" fontId="203" fillId="0" borderId="0" applyNumberFormat="0" applyFill="0" applyAlignment="0" applyProtection="0"/>
    <xf numFmtId="207" fontId="19" fillId="0" borderId="0" applyNumberFormat="0" applyFill="0" applyAlignment="0" applyProtection="0"/>
    <xf numFmtId="207" fontId="195" fillId="0" borderId="0" applyNumberFormat="0" applyFill="0" applyAlignment="0" applyProtection="0"/>
    <xf numFmtId="207" fontId="114" fillId="0" borderId="0" applyNumberFormat="0" applyFill="0" applyAlignment="0" applyProtection="0"/>
    <xf numFmtId="207" fontId="114" fillId="0" borderId="0" applyNumberFormat="0" applyFont="0" applyFill="0" applyBorder="0" applyAlignment="0" applyProtection="0"/>
    <xf numFmtId="207" fontId="114" fillId="0" borderId="0" applyNumberFormat="0" applyFont="0" applyFill="0" applyBorder="0" applyAlignment="0" applyProtection="0"/>
    <xf numFmtId="0" fontId="78" fillId="0" borderId="0" applyFill="0" applyBorder="0" applyProtection="0">
      <alignment horizontal="left"/>
    </xf>
    <xf numFmtId="10" fontId="76" fillId="78" borderId="1" applyNumberFormat="0" applyBorder="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62" fillId="0" borderId="62" applyProtection="0">
      <alignment horizontal="right"/>
    </xf>
    <xf numFmtId="0" fontId="62" fillId="0" borderId="61" applyProtection="0">
      <alignment horizontal="right"/>
    </xf>
    <xf numFmtId="0" fontId="62" fillId="0" borderId="63" applyProtection="0">
      <alignment horizontal="center"/>
      <protection locked="0"/>
    </xf>
    <xf numFmtId="0" fontId="17" fillId="0" borderId="0"/>
    <xf numFmtId="0" fontId="17" fillId="0" borderId="0"/>
    <xf numFmtId="0" fontId="17" fillId="0" borderId="0"/>
    <xf numFmtId="1" fontId="17" fillId="0" borderId="0" applyFont="0" applyFill="0" applyBorder="0" applyProtection="0">
      <alignment horizontal="right"/>
    </xf>
    <xf numFmtId="1" fontId="17"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36" fillId="0" borderId="0"/>
    <xf numFmtId="0" fontId="17" fillId="0" borderId="0">
      <alignment vertical="top"/>
    </xf>
    <xf numFmtId="0" fontId="17" fillId="0" borderId="0"/>
    <xf numFmtId="0" fontId="1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37" fillId="0" borderId="0"/>
    <xf numFmtId="0" fontId="2" fillId="0" borderId="0"/>
    <xf numFmtId="0" fontId="36"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7" fillId="0" borderId="0" applyFont="0" applyFill="0" applyBorder="0" applyProtection="0">
      <alignment horizontal="right"/>
    </xf>
    <xf numFmtId="236" fontId="17" fillId="0" borderId="0" applyFont="0" applyFill="0" applyBorder="0" applyProtection="0">
      <alignment horizontal="right"/>
    </xf>
    <xf numFmtId="10"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7" fillId="86" borderId="51" applyNumberFormat="0" applyProtection="0">
      <alignment vertical="center"/>
    </xf>
    <xf numFmtId="4" fontId="212" fillId="86" borderId="51" applyNumberFormat="0" applyProtection="0">
      <alignment vertical="center"/>
    </xf>
    <xf numFmtId="4" fontId="37" fillId="86" borderId="51" applyNumberFormat="0" applyProtection="0">
      <alignment horizontal="left" vertical="center" indent="1"/>
    </xf>
    <xf numFmtId="4" fontId="37" fillId="86" borderId="51" applyNumberFormat="0" applyProtection="0">
      <alignment horizontal="left" vertical="center" indent="1"/>
    </xf>
    <xf numFmtId="0" fontId="17" fillId="97" borderId="51" applyNumberFormat="0" applyProtection="0">
      <alignment horizontal="left" vertical="center" indent="1"/>
    </xf>
    <xf numFmtId="4" fontId="37" fillId="114" borderId="51" applyNumberFormat="0" applyProtection="0">
      <alignment horizontal="right" vertical="center"/>
    </xf>
    <xf numFmtId="4" fontId="37" fillId="115" borderId="51" applyNumberFormat="0" applyProtection="0">
      <alignment horizontal="right" vertical="center"/>
    </xf>
    <xf numFmtId="4" fontId="37" fillId="116" borderId="51" applyNumberFormat="0" applyProtection="0">
      <alignment horizontal="right" vertical="center"/>
    </xf>
    <xf numFmtId="4" fontId="37" fillId="82" borderId="51" applyNumberFormat="0" applyProtection="0">
      <alignment horizontal="right" vertical="center"/>
    </xf>
    <xf numFmtId="4" fontId="37" fillId="117" borderId="51" applyNumberFormat="0" applyProtection="0">
      <alignment horizontal="right" vertical="center"/>
    </xf>
    <xf numFmtId="4" fontId="37" fillId="118" borderId="51" applyNumberFormat="0" applyProtection="0">
      <alignment horizontal="right" vertical="center"/>
    </xf>
    <xf numFmtId="4" fontId="37" fillId="119" borderId="51" applyNumberFormat="0" applyProtection="0">
      <alignment horizontal="right" vertical="center"/>
    </xf>
    <xf numFmtId="4" fontId="37" fillId="120" borderId="51" applyNumberFormat="0" applyProtection="0">
      <alignment horizontal="right" vertical="center"/>
    </xf>
    <xf numFmtId="4" fontId="37" fillId="74" borderId="51" applyNumberFormat="0" applyProtection="0">
      <alignment horizontal="right" vertical="center"/>
    </xf>
    <xf numFmtId="4" fontId="213" fillId="121" borderId="51" applyNumberFormat="0" applyProtection="0">
      <alignment horizontal="left" vertical="center" indent="1"/>
    </xf>
    <xf numFmtId="4" fontId="37" fillId="81" borderId="64" applyNumberFormat="0" applyProtection="0">
      <alignment horizontal="left" vertical="center" indent="1"/>
    </xf>
    <xf numFmtId="4" fontId="90" fillId="122" borderId="0" applyNumberFormat="0" applyProtection="0">
      <alignment horizontal="left" vertical="center" indent="1"/>
    </xf>
    <xf numFmtId="0" fontId="17" fillId="97" borderId="51" applyNumberFormat="0" applyProtection="0">
      <alignment horizontal="left" vertical="center" indent="1"/>
    </xf>
    <xf numFmtId="4" fontId="37" fillId="81" borderId="51" applyNumberFormat="0" applyProtection="0">
      <alignment horizontal="left" vertical="center" indent="1"/>
    </xf>
    <xf numFmtId="4" fontId="37" fillId="123" borderId="51" applyNumberFormat="0" applyProtection="0">
      <alignment horizontal="left" vertical="center" indent="1"/>
    </xf>
    <xf numFmtId="0" fontId="17" fillId="123" borderId="51" applyNumberFormat="0" applyProtection="0">
      <alignment horizontal="left" vertical="center" indent="1"/>
    </xf>
    <xf numFmtId="0" fontId="17" fillId="123" borderId="51" applyNumberFormat="0" applyProtection="0">
      <alignment horizontal="left" vertical="center" indent="1"/>
    </xf>
    <xf numFmtId="0" fontId="17" fillId="93" borderId="51" applyNumberFormat="0" applyProtection="0">
      <alignment horizontal="left" vertical="center" indent="1"/>
    </xf>
    <xf numFmtId="0" fontId="17" fillId="93" borderId="51" applyNumberFormat="0" applyProtection="0">
      <alignment horizontal="left" vertical="center" indent="1"/>
    </xf>
    <xf numFmtId="0" fontId="17" fillId="80" borderId="51" applyNumberFormat="0" applyProtection="0">
      <alignment horizontal="left" vertical="center" indent="1"/>
    </xf>
    <xf numFmtId="0" fontId="17" fillId="80" borderId="51" applyNumberFormat="0" applyProtection="0">
      <alignment horizontal="left" vertical="center" indent="1"/>
    </xf>
    <xf numFmtId="0" fontId="17" fillId="97" borderId="51" applyNumberFormat="0" applyProtection="0">
      <alignment horizontal="left" vertical="center" indent="1"/>
    </xf>
    <xf numFmtId="0" fontId="17" fillId="97" borderId="51" applyNumberFormat="0" applyProtection="0">
      <alignment horizontal="left" vertical="center" indent="1"/>
    </xf>
    <xf numFmtId="4" fontId="37" fillId="78" borderId="51" applyNumberFormat="0" applyProtection="0">
      <alignment vertical="center"/>
    </xf>
    <xf numFmtId="4" fontId="212" fillId="78" borderId="51" applyNumberFormat="0" applyProtection="0">
      <alignment vertical="center"/>
    </xf>
    <xf numFmtId="4" fontId="37" fillId="78" borderId="51" applyNumberFormat="0" applyProtection="0">
      <alignment horizontal="left" vertical="center" indent="1"/>
    </xf>
    <xf numFmtId="4" fontId="37" fillId="78" borderId="51" applyNumberFormat="0" applyProtection="0">
      <alignment horizontal="left" vertical="center" indent="1"/>
    </xf>
    <xf numFmtId="4" fontId="37" fillId="81" borderId="51" applyNumberFormat="0" applyProtection="0">
      <alignment horizontal="right" vertical="center"/>
    </xf>
    <xf numFmtId="4" fontId="212" fillId="81" borderId="51" applyNumberFormat="0" applyProtection="0">
      <alignment horizontal="right" vertical="center"/>
    </xf>
    <xf numFmtId="0" fontId="17" fillId="97" borderId="51" applyNumberFormat="0" applyProtection="0">
      <alignment horizontal="left" vertical="center" indent="1"/>
    </xf>
    <xf numFmtId="0" fontId="17"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89" fillId="0" borderId="0"/>
    <xf numFmtId="0" fontId="89" fillId="0" borderId="0"/>
    <xf numFmtId="0" fontId="89" fillId="0" borderId="0"/>
    <xf numFmtId="0" fontId="89"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6" fillId="0" borderId="0">
      <alignment wrapText="1"/>
      <protection locked="0"/>
    </xf>
    <xf numFmtId="237" fontId="76" fillId="0"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76" fillId="0" borderId="0">
      <alignment wrapText="1"/>
      <protection locked="0"/>
    </xf>
    <xf numFmtId="238" fontId="76" fillId="0" borderId="0">
      <alignment wrapText="1"/>
      <protection locked="0"/>
    </xf>
    <xf numFmtId="238" fontId="76" fillId="0" borderId="0">
      <alignment wrapText="1"/>
      <protection locked="0"/>
    </xf>
    <xf numFmtId="238" fontId="76" fillId="0"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76" fillId="0" borderId="0">
      <alignment wrapText="1"/>
      <protection locked="0"/>
    </xf>
    <xf numFmtId="239" fontId="76" fillId="0" borderId="0">
      <alignment wrapText="1"/>
      <protection locked="0"/>
    </xf>
    <xf numFmtId="239" fontId="76" fillId="0"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76" fillId="0" borderId="0">
      <alignment wrapText="1"/>
      <protection locked="0"/>
    </xf>
    <xf numFmtId="240" fontId="63" fillId="124" borderId="65">
      <alignment wrapText="1"/>
    </xf>
    <xf numFmtId="240" fontId="63" fillId="124" borderId="65">
      <alignment wrapText="1"/>
    </xf>
    <xf numFmtId="240" fontId="63" fillId="124" borderId="65">
      <alignment wrapText="1"/>
    </xf>
    <xf numFmtId="241" fontId="63" fillId="124" borderId="65">
      <alignment wrapText="1"/>
    </xf>
    <xf numFmtId="241" fontId="63" fillId="124" borderId="65">
      <alignment wrapText="1"/>
    </xf>
    <xf numFmtId="241" fontId="63" fillId="124" borderId="65">
      <alignment wrapText="1"/>
    </xf>
    <xf numFmtId="241" fontId="63" fillId="124" borderId="65">
      <alignment wrapText="1"/>
    </xf>
    <xf numFmtId="242" fontId="63" fillId="124" borderId="65">
      <alignment wrapText="1"/>
    </xf>
    <xf numFmtId="242" fontId="63" fillId="124" borderId="65">
      <alignment wrapText="1"/>
    </xf>
    <xf numFmtId="242" fontId="63" fillId="124" borderId="65">
      <alignment wrapText="1"/>
    </xf>
    <xf numFmtId="0" fontId="89" fillId="0" borderId="66">
      <alignment horizontal="right"/>
    </xf>
    <xf numFmtId="0" fontId="89" fillId="0" borderId="66">
      <alignment horizontal="right"/>
    </xf>
    <xf numFmtId="0" fontId="89" fillId="0" borderId="66">
      <alignment horizontal="right"/>
    </xf>
    <xf numFmtId="0" fontId="89" fillId="0" borderId="66">
      <alignment horizontal="right"/>
    </xf>
    <xf numFmtId="40" fontId="216" fillId="0" borderId="0"/>
    <xf numFmtId="0" fontId="166" fillId="0" borderId="0" applyNumberFormat="0" applyFill="0" applyBorder="0" applyProtection="0">
      <alignment horizontal="left" vertical="center" indent="10"/>
    </xf>
    <xf numFmtId="0" fontId="166"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20">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2" fontId="4" fillId="0" borderId="0" xfId="0" applyNumberFormat="1" applyFont="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3"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4"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2"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5" fillId="5" borderId="0" xfId="4" applyFill="1" applyBorder="1"/>
    <xf numFmtId="0" fontId="15"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1" fillId="103" borderId="0" xfId="0" applyFont="1" applyFill="1"/>
    <xf numFmtId="0" fontId="170" fillId="103" borderId="0" xfId="0" applyFont="1" applyFill="1"/>
    <xf numFmtId="0" fontId="171" fillId="0" borderId="0" xfId="0" applyFont="1"/>
    <xf numFmtId="0" fontId="0" fillId="3" borderId="1" xfId="0" applyFill="1" applyBorder="1"/>
    <xf numFmtId="0" fontId="179" fillId="5" borderId="0" xfId="0" applyFont="1" applyFill="1" applyAlignment="1">
      <alignment horizontal="center" vertical="center"/>
    </xf>
    <xf numFmtId="0" fontId="175" fillId="103" borderId="0" xfId="0" applyFont="1" applyFill="1" applyAlignment="1">
      <alignment vertical="center"/>
    </xf>
    <xf numFmtId="0" fontId="180" fillId="103" borderId="0" xfId="0" applyFont="1" applyFill="1" applyAlignment="1">
      <alignment vertical="center"/>
    </xf>
    <xf numFmtId="0" fontId="179" fillId="5" borderId="0" xfId="0" applyFont="1" applyFill="1" applyAlignment="1">
      <alignment horizontal="center" vertical="center" wrapText="1"/>
    </xf>
    <xf numFmtId="0" fontId="179" fillId="5" borderId="0" xfId="6" applyFont="1" applyFill="1" applyAlignment="1">
      <alignment horizontal="center"/>
    </xf>
    <xf numFmtId="179" fontId="7" fillId="5" borderId="0" xfId="6" applyNumberFormat="1" applyFont="1" applyFill="1" applyAlignment="1">
      <alignment horizontal="center"/>
    </xf>
    <xf numFmtId="0" fontId="181"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1"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3" fillId="2" borderId="0" xfId="7903"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xf numFmtId="0" fontId="9" fillId="5" borderId="1" xfId="0" applyFont="1" applyFill="1" applyBorder="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6" fontId="174" fillId="101" borderId="1" xfId="9" applyNumberFormat="1" applyFont="1" applyFill="1" applyBorder="1" applyAlignment="1">
      <alignment horizontal="center" vertical="center" wrapText="1"/>
    </xf>
    <xf numFmtId="172" fontId="174" fillId="101" borderId="1" xfId="9" applyNumberFormat="1"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xf numFmtId="0" fontId="170"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15"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1" fillId="112" borderId="3" xfId="2" applyNumberFormat="1" applyFont="1" applyFill="1" applyBorder="1" applyAlignment="1">
      <alignment horizontal="center"/>
    </xf>
    <xf numFmtId="232" fontId="185"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177" fontId="217" fillId="3" borderId="67" xfId="8399" applyNumberFormat="1" applyFont="1" applyFill="1" applyBorder="1" applyAlignment="1">
      <alignment horizontal="center" vertical="center"/>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14" fontId="1" fillId="0" borderId="1" xfId="0" applyNumberFormat="1"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3" fillId="101" borderId="13" xfId="0" applyFont="1" applyFill="1" applyBorder="1"/>
    <xf numFmtId="0" fontId="183" fillId="101" borderId="10" xfId="0" applyFont="1" applyFill="1" applyBorder="1"/>
    <xf numFmtId="0" fontId="183" fillId="101" borderId="14" xfId="0" applyFont="1" applyFill="1" applyBorder="1"/>
    <xf numFmtId="0" fontId="184" fillId="101" borderId="9" xfId="0" applyFont="1" applyFill="1" applyBorder="1" applyAlignment="1">
      <alignment vertical="top" wrapText="1"/>
    </xf>
    <xf numFmtId="0" fontId="184" fillId="101" borderId="7" xfId="0" applyFont="1" applyFill="1" applyBorder="1" applyAlignment="1">
      <alignment vertical="top" wrapText="1"/>
    </xf>
    <xf numFmtId="0" fontId="184" fillId="101" borderId="11" xfId="0" applyFont="1" applyFill="1" applyBorder="1" applyAlignment="1">
      <alignment vertical="top" wrapText="1"/>
    </xf>
    <xf numFmtId="0" fontId="176" fillId="101" borderId="13" xfId="0" applyFont="1" applyFill="1" applyBorder="1"/>
    <xf numFmtId="0" fontId="179" fillId="101" borderId="9" xfId="0" applyFont="1" applyFill="1" applyBorder="1"/>
    <xf numFmtId="0" fontId="179" fillId="101" borderId="7" xfId="0" applyFont="1" applyFill="1" applyBorder="1"/>
    <xf numFmtId="0" fontId="179" fillId="101" borderId="11" xfId="0" applyFont="1" applyFill="1" applyBorder="1"/>
    <xf numFmtId="0" fontId="176" fillId="101" borderId="10" xfId="0" applyFont="1" applyFill="1" applyBorder="1"/>
    <xf numFmtId="0" fontId="176" fillId="101" borderId="14" xfId="0" applyFont="1" applyFill="1" applyBorder="1"/>
    <xf numFmtId="0" fontId="9" fillId="5" borderId="1" xfId="0" applyFont="1" applyFill="1" applyBorder="1" applyAlignment="1">
      <alignment wrapText="1"/>
    </xf>
    <xf numFmtId="0" fontId="9" fillId="5" borderId="1" xfId="0" quotePrefix="1" applyFont="1" applyFill="1" applyBorder="1" applyAlignment="1">
      <alignment wrapText="1"/>
    </xf>
    <xf numFmtId="14" fontId="9" fillId="5" borderId="1" xfId="0" applyNumberFormat="1" applyFont="1" applyFill="1" applyBorder="1" applyAlignment="1">
      <alignment horizontal="left" wrapText="1"/>
    </xf>
    <xf numFmtId="0" fontId="185" fillId="125" borderId="1" xfId="0" applyFont="1" applyFill="1" applyBorder="1" applyAlignment="1">
      <alignment horizontal="center" vertical="center"/>
    </xf>
    <xf numFmtId="0" fontId="185" fillId="125" borderId="2" xfId="0" applyFont="1" applyFill="1" applyBorder="1" applyAlignment="1">
      <alignment horizontal="center"/>
    </xf>
    <xf numFmtId="3" fontId="185" fillId="125" borderId="1" xfId="0" applyNumberFormat="1" applyFont="1" applyFill="1" applyBorder="1" applyAlignment="1">
      <alignment horizontal="center" vertical="center"/>
    </xf>
    <xf numFmtId="0" fontId="185" fillId="125" borderId="2" xfId="0" applyFont="1" applyFill="1" applyBorder="1" applyAlignment="1">
      <alignment horizontal="center" vertical="center"/>
    </xf>
    <xf numFmtId="3" fontId="185" fillId="125" borderId="3" xfId="0" applyNumberFormat="1" applyFont="1" applyFill="1" applyBorder="1" applyAlignment="1">
      <alignment horizontal="center" vertical="center"/>
    </xf>
    <xf numFmtId="10" fontId="185" fillId="125" borderId="1" xfId="0" applyNumberFormat="1" applyFont="1" applyFill="1" applyBorder="1" applyAlignment="1">
      <alignment horizontal="center" vertical="center"/>
    </xf>
    <xf numFmtId="233" fontId="218" fillId="3" borderId="1" xfId="1" applyNumberFormat="1" applyFont="1" applyFill="1" applyBorder="1"/>
    <xf numFmtId="233" fontId="7" fillId="3" borderId="1" xfId="1" applyNumberFormat="1" applyFont="1" applyFill="1" applyBorder="1"/>
    <xf numFmtId="232" fontId="185" fillId="3" borderId="1" xfId="1" applyNumberFormat="1" applyFont="1" applyFill="1" applyBorder="1" applyAlignment="1">
      <alignment horizontal="center" vertical="center"/>
    </xf>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176" fillId="101" borderId="13" xfId="7903" applyFont="1" applyFill="1" applyBorder="1" applyAlignment="1">
      <alignment horizontal="left"/>
    </xf>
    <xf numFmtId="0" fontId="177" fillId="101" borderId="10" xfId="7903" applyFont="1" applyFill="1" applyBorder="1" applyAlignment="1">
      <alignment horizontal="left"/>
    </xf>
    <xf numFmtId="0" fontId="177" fillId="101" borderId="14" xfId="7903" applyFont="1" applyFill="1" applyBorder="1" applyAlignment="1">
      <alignment horizontal="left"/>
    </xf>
    <xf numFmtId="0" fontId="0" fillId="101" borderId="1" xfId="0" applyFill="1" applyBorder="1" applyAlignment="1">
      <alignment horizontal="left" vertical="center" wrapText="1"/>
    </xf>
    <xf numFmtId="0" fontId="0" fillId="101" borderId="2" xfId="0" applyFill="1" applyBorder="1" applyAlignment="1">
      <alignment horizontal="center"/>
    </xf>
    <xf numFmtId="0" fontId="0" fillId="101" borderId="3" xfId="0" applyFill="1" applyBorder="1" applyAlignment="1">
      <alignment horizontal="center"/>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horizontal="center" vertical="center"/>
    </xf>
    <xf numFmtId="0" fontId="0" fillId="101" borderId="1" xfId="0" applyFill="1" applyBorder="1" applyAlignment="1">
      <alignment horizontal="center"/>
    </xf>
    <xf numFmtId="0" fontId="183" fillId="101" borderId="13" xfId="7903" applyFont="1" applyFill="1" applyBorder="1" applyAlignment="1">
      <alignment horizontal="left"/>
    </xf>
    <xf numFmtId="0" fontId="186" fillId="101" borderId="10" xfId="7903" applyFont="1" applyFill="1" applyBorder="1" applyAlignment="1">
      <alignment horizontal="left"/>
    </xf>
    <xf numFmtId="0" fontId="186" fillId="101" borderId="14" xfId="7903" applyFont="1" applyFill="1" applyBorder="1" applyAlignment="1">
      <alignment horizontal="left"/>
    </xf>
    <xf numFmtId="0" fontId="179" fillId="105" borderId="1" xfId="0" applyFont="1" applyFill="1" applyBorder="1" applyAlignment="1">
      <alignment horizontal="left" vertical="center"/>
    </xf>
    <xf numFmtId="0" fontId="179" fillId="101" borderId="1" xfId="6" applyFont="1" applyFill="1" applyBorder="1" applyAlignment="1">
      <alignment horizontal="left" vertical="center"/>
    </xf>
    <xf numFmtId="0" fontId="179" fillId="0" borderId="2" xfId="0" applyFont="1" applyBorder="1" applyAlignment="1">
      <alignment horizontal="left" vertical="center" wrapText="1"/>
    </xf>
    <xf numFmtId="0" fontId="179" fillId="0" borderId="4" xfId="0" applyFont="1" applyBorder="1" applyAlignment="1">
      <alignment horizontal="left" vertical="center" wrapText="1"/>
    </xf>
    <xf numFmtId="0" fontId="179" fillId="0" borderId="3" xfId="0" applyFont="1" applyBorder="1" applyAlignment="1">
      <alignment horizontal="left" vertical="center" wrapText="1"/>
    </xf>
    <xf numFmtId="0" fontId="179" fillId="0" borderId="1" xfId="0" applyFont="1" applyBorder="1" applyAlignment="1">
      <alignment horizontal="left" vertical="center" wrapText="1"/>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0" fillId="101" borderId="6" xfId="0" applyFill="1" applyBorder="1" applyAlignment="1">
      <alignment horizontal="center"/>
    </xf>
    <xf numFmtId="179" fontId="7" fillId="0" borderId="1" xfId="6" applyNumberFormat="1" applyFont="1" applyBorder="1" applyAlignment="1">
      <alignment horizont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0" xfId="0" applyFont="1" applyAlignment="1">
      <alignment horizontal="left"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1" fillId="0" borderId="2" xfId="0" applyFont="1" applyBorder="1" applyAlignment="1">
      <alignment horizontal="left" vertical="center" wrapText="1"/>
    </xf>
    <xf numFmtId="0" fontId="181" fillId="0" borderId="3" xfId="0" applyFont="1" applyBorder="1" applyAlignment="1">
      <alignment horizontal="left" vertical="center" wrapText="1"/>
    </xf>
    <xf numFmtId="0" fontId="181" fillId="0" borderId="4" xfId="0" applyFont="1" applyBorder="1" applyAlignment="1">
      <alignment horizontal="center" vertical="center" wrapText="1"/>
    </xf>
    <xf numFmtId="0" fontId="181" fillId="0" borderId="3" xfId="0" applyFont="1" applyBorder="1" applyAlignment="1">
      <alignment horizontal="center" vertical="center" wrapText="1"/>
    </xf>
    <xf numFmtId="0" fontId="181" fillId="101" borderId="12" xfId="6" applyFont="1" applyFill="1" applyBorder="1" applyAlignment="1">
      <alignment horizontal="left" vertical="center"/>
    </xf>
    <xf numFmtId="0" fontId="181"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175" fillId="103" borderId="0" xfId="0" applyFont="1" applyFill="1" applyAlignment="1">
      <alignment horizontal="left" vertical="center"/>
    </xf>
    <xf numFmtId="0" fontId="181" fillId="105" borderId="1" xfId="0" applyFont="1" applyFill="1" applyBorder="1" applyAlignment="1">
      <alignment horizontal="center" vertical="center" wrapText="1"/>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171372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1/"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3"/>
  <sheetViews>
    <sheetView tabSelected="1" zoomScaleNormal="100" workbookViewId="0">
      <selection activeCell="B18" sqref="B18"/>
    </sheetView>
  </sheetViews>
  <sheetFormatPr defaultColWidth="0" defaultRowHeight="12.6" zeroHeight="1"/>
  <cols>
    <col min="1" max="1" width="15.6328125" customWidth="1"/>
    <col min="2" max="2" width="19.1796875" customWidth="1"/>
    <col min="3" max="3" width="15.6328125" customWidth="1"/>
    <col min="4" max="4" width="146.6328125" customWidth="1"/>
    <col min="5" max="5" width="8.81640625" customWidth="1"/>
    <col min="6" max="10" width="0" hidden="1" customWidth="1"/>
    <col min="11" max="16384" width="8.81640625" hidden="1"/>
  </cols>
  <sheetData>
    <row r="1" spans="1:10" ht="57" customHeight="1">
      <c r="A1" t="s">
        <v>0</v>
      </c>
      <c r="D1" s="15"/>
      <c r="E1" s="15"/>
    </row>
    <row r="2" spans="1:10" ht="14.4">
      <c r="A2" s="8"/>
      <c r="B2" s="8"/>
      <c r="C2" s="8"/>
      <c r="D2" s="8"/>
      <c r="E2" s="8"/>
      <c r="F2" s="8"/>
      <c r="G2" s="8"/>
      <c r="H2" s="8"/>
      <c r="I2" s="8"/>
    </row>
    <row r="3" spans="1:10" s="15" customFormat="1" ht="18">
      <c r="A3" s="8"/>
      <c r="B3" s="143" t="s">
        <v>1</v>
      </c>
      <c r="C3" s="8"/>
      <c r="D3" s="8"/>
      <c r="E3" s="8"/>
      <c r="F3" s="8"/>
      <c r="G3" s="8"/>
      <c r="H3" s="8"/>
      <c r="I3" s="8"/>
      <c r="J3"/>
    </row>
    <row r="4" spans="1:10" s="15" customFormat="1" ht="14.4">
      <c r="B4" s="10"/>
      <c r="C4" s="8"/>
      <c r="D4" s="9"/>
      <c r="E4" s="8"/>
      <c r="F4" s="8"/>
      <c r="G4" s="8"/>
      <c r="H4" s="8"/>
      <c r="I4" s="8"/>
      <c r="J4" s="8"/>
    </row>
    <row r="5" spans="1:10" s="15" customFormat="1" ht="22.5" customHeight="1">
      <c r="B5" s="11" t="s">
        <v>2</v>
      </c>
      <c r="C5" s="11" t="s">
        <v>3</v>
      </c>
      <c r="D5" s="11" t="s">
        <v>4</v>
      </c>
      <c r="E5" s="8"/>
      <c r="F5" s="8"/>
      <c r="G5" s="8"/>
      <c r="H5" s="8"/>
      <c r="I5" s="8"/>
      <c r="J5" s="8"/>
    </row>
    <row r="6" spans="1:10" s="15" customFormat="1" ht="14.4">
      <c r="B6" s="144" t="s">
        <v>5</v>
      </c>
      <c r="C6" s="240">
        <v>43349</v>
      </c>
      <c r="D6" s="241" t="s">
        <v>6</v>
      </c>
      <c r="E6" s="8"/>
      <c r="F6" s="8"/>
      <c r="G6" s="8"/>
      <c r="H6" s="8"/>
      <c r="I6" s="8"/>
      <c r="J6" s="8"/>
    </row>
    <row r="7" spans="1:10" s="15" customFormat="1" ht="152.25" customHeight="1">
      <c r="B7" s="146" t="s">
        <v>7</v>
      </c>
      <c r="C7" s="242">
        <v>43410</v>
      </c>
      <c r="D7" s="243" t="s">
        <v>8</v>
      </c>
      <c r="E7" s="8"/>
      <c r="F7" s="8"/>
      <c r="G7" s="8"/>
      <c r="H7" s="8"/>
      <c r="I7" s="8"/>
      <c r="J7" s="8"/>
    </row>
    <row r="8" spans="1:10" s="15" customFormat="1" ht="43.2">
      <c r="B8" s="244" t="s">
        <v>9</v>
      </c>
      <c r="C8" s="242">
        <v>43138</v>
      </c>
      <c r="D8" s="245" t="s">
        <v>10</v>
      </c>
      <c r="E8" s="8"/>
      <c r="F8" s="8"/>
      <c r="G8" s="8"/>
      <c r="H8" s="8"/>
      <c r="I8" s="8"/>
      <c r="J8" s="8"/>
    </row>
    <row r="9" spans="1:10" s="15" customFormat="1" ht="43.2">
      <c r="B9" s="244" t="s">
        <v>11</v>
      </c>
      <c r="C9" s="242">
        <v>43684</v>
      </c>
      <c r="D9" s="245" t="s">
        <v>12</v>
      </c>
      <c r="E9" s="8"/>
      <c r="F9" s="8"/>
      <c r="G9" s="8"/>
      <c r="H9" s="8"/>
      <c r="I9" s="8"/>
      <c r="J9" s="8"/>
    </row>
    <row r="10" spans="1:10" s="15" customFormat="1" ht="100.8">
      <c r="B10" s="244" t="s">
        <v>13</v>
      </c>
      <c r="C10" s="242">
        <v>43868</v>
      </c>
      <c r="D10" s="243" t="s">
        <v>14</v>
      </c>
      <c r="E10" s="8"/>
      <c r="F10" s="8"/>
      <c r="G10" s="8"/>
      <c r="H10" s="8"/>
      <c r="I10" s="8"/>
      <c r="J10" s="8"/>
    </row>
    <row r="11" spans="1:10" s="15" customFormat="1" ht="57.6">
      <c r="B11" s="244" t="s">
        <v>15</v>
      </c>
      <c r="C11" s="242">
        <v>44048</v>
      </c>
      <c r="D11" s="245" t="s">
        <v>16</v>
      </c>
      <c r="E11" s="8"/>
      <c r="F11" s="8"/>
      <c r="G11" s="8"/>
      <c r="H11" s="8"/>
      <c r="I11" s="8"/>
      <c r="J11" s="8"/>
    </row>
    <row r="12" spans="1:10" s="15" customFormat="1" ht="43.2">
      <c r="B12" s="244" t="s">
        <v>17</v>
      </c>
      <c r="C12" s="242">
        <v>44050</v>
      </c>
      <c r="D12" s="245" t="s">
        <v>18</v>
      </c>
      <c r="E12" s="8"/>
      <c r="F12" s="8"/>
      <c r="G12" s="8"/>
      <c r="H12" s="8"/>
      <c r="I12" s="8"/>
      <c r="J12" s="8"/>
    </row>
    <row r="13" spans="1:10" s="15" customFormat="1" ht="43.2">
      <c r="B13" s="244" t="s">
        <v>19</v>
      </c>
      <c r="C13" s="242">
        <v>44232</v>
      </c>
      <c r="D13" s="245" t="s">
        <v>20</v>
      </c>
      <c r="E13" s="8"/>
      <c r="F13" s="8"/>
      <c r="G13" s="8"/>
      <c r="H13" s="8"/>
      <c r="I13" s="8"/>
      <c r="J13" s="8"/>
    </row>
    <row r="14" spans="1:10" s="15" customFormat="1" ht="28.8">
      <c r="B14" s="244" t="s">
        <v>21</v>
      </c>
      <c r="C14" s="242">
        <v>44414</v>
      </c>
      <c r="D14" s="245" t="s">
        <v>22</v>
      </c>
      <c r="E14" s="8"/>
      <c r="F14" s="8"/>
      <c r="G14" s="8"/>
      <c r="H14" s="8"/>
      <c r="I14" s="8"/>
      <c r="J14" s="8"/>
    </row>
    <row r="15" spans="1:10" s="15" customFormat="1" ht="28.8">
      <c r="B15" s="246" t="s">
        <v>23</v>
      </c>
      <c r="C15" s="247">
        <v>44596</v>
      </c>
      <c r="D15" s="239" t="s">
        <v>24</v>
      </c>
      <c r="E15" s="8"/>
      <c r="F15" s="8"/>
      <c r="G15" s="8"/>
      <c r="H15" s="8"/>
      <c r="I15" s="8"/>
      <c r="J15" s="8"/>
    </row>
    <row r="16" spans="1:10" s="15" customFormat="1" ht="14.4">
      <c r="B16" s="260" t="s">
        <v>25</v>
      </c>
      <c r="C16" s="262">
        <v>44696</v>
      </c>
      <c r="D16" s="261" t="s">
        <v>26</v>
      </c>
      <c r="E16" s="8"/>
      <c r="F16" s="8"/>
      <c r="G16" s="8"/>
      <c r="H16" s="8"/>
      <c r="I16" s="8"/>
      <c r="J16" s="8"/>
    </row>
    <row r="17" spans="1:10" s="15" customFormat="1" ht="14.4">
      <c r="A17" s="8"/>
      <c r="B17" s="260" t="s">
        <v>353</v>
      </c>
      <c r="C17" s="262">
        <v>44777</v>
      </c>
      <c r="D17" s="261" t="s">
        <v>352</v>
      </c>
      <c r="E17" s="8"/>
      <c r="F17" s="8"/>
      <c r="G17" s="8"/>
      <c r="H17" s="8"/>
      <c r="I17" s="8"/>
      <c r="J17"/>
    </row>
    <row r="18" spans="1:10" s="15" customFormat="1" ht="14.4">
      <c r="A18" s="8"/>
      <c r="B18" s="8"/>
      <c r="C18" s="8"/>
      <c r="D18" s="8"/>
      <c r="E18" s="8"/>
      <c r="F18" s="8"/>
      <c r="G18" s="8"/>
      <c r="H18" s="8"/>
      <c r="I18" s="8"/>
      <c r="J18"/>
    </row>
    <row r="19" spans="1:10" s="15" customFormat="1" ht="14.4">
      <c r="A19" s="8"/>
      <c r="B19" s="8"/>
      <c r="C19" s="8"/>
      <c r="D19" s="8"/>
      <c r="E19" s="8"/>
      <c r="F19" s="8"/>
      <c r="G19" s="8"/>
      <c r="H19" s="8"/>
      <c r="I19" s="8"/>
      <c r="J19"/>
    </row>
    <row r="20" spans="1:10" ht="14.4" hidden="1">
      <c r="A20" s="8"/>
      <c r="B20" s="8"/>
      <c r="C20" s="8"/>
      <c r="D20" s="8"/>
      <c r="E20" s="8"/>
      <c r="F20" s="8"/>
      <c r="G20" s="8"/>
      <c r="H20" s="8"/>
      <c r="I20" s="8"/>
    </row>
    <row r="21" spans="1:10" ht="14.4" hidden="1">
      <c r="A21" s="8"/>
      <c r="B21" s="8"/>
      <c r="C21" s="8"/>
      <c r="D21" s="8"/>
      <c r="E21" s="8"/>
      <c r="F21" s="8"/>
      <c r="G21" s="8"/>
      <c r="H21" s="8"/>
      <c r="I21" s="8"/>
    </row>
    <row r="22" spans="1:10" ht="14.4" hidden="1">
      <c r="A22" s="8"/>
      <c r="E22" s="8"/>
      <c r="F22" s="8"/>
      <c r="G22" s="8"/>
      <c r="H22" s="8"/>
      <c r="I22" s="8"/>
    </row>
    <row r="23" spans="1:10" ht="14.4" hidden="1">
      <c r="A23" s="8"/>
      <c r="E23" s="8"/>
      <c r="F23" s="8"/>
      <c r="G23" s="8"/>
      <c r="H23" s="8"/>
      <c r="I23" s="8"/>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election activeCell="C32" sqref="C32"/>
    </sheetView>
  </sheetViews>
  <sheetFormatPr defaultColWidth="9" defaultRowHeight="12.6" zeroHeight="1"/>
  <cols>
    <col min="1" max="1" width="2.6328125" style="15" customWidth="1"/>
    <col min="2" max="2" width="20" style="15" customWidth="1"/>
    <col min="3" max="3" width="11" style="15" customWidth="1"/>
    <col min="4" max="4" width="45.6328125" style="15" customWidth="1"/>
    <col min="5" max="16384" width="9" style="15"/>
  </cols>
  <sheetData>
    <row r="1" spans="2:14"/>
    <row r="2" spans="2:14" s="89" customFormat="1">
      <c r="B2" s="89" t="s">
        <v>27</v>
      </c>
    </row>
    <row r="3" spans="2:14"/>
    <row r="4" spans="2:14">
      <c r="B4" s="15" t="s">
        <v>28</v>
      </c>
    </row>
    <row r="5" spans="2:14"/>
    <row r="6" spans="2:14">
      <c r="B6" s="15" t="s">
        <v>29</v>
      </c>
    </row>
    <row r="7" spans="2:14"/>
    <row r="8" spans="2:14">
      <c r="B8" s="15" t="s">
        <v>30</v>
      </c>
    </row>
    <row r="9" spans="2:14"/>
    <row r="10" spans="2:14">
      <c r="B10" s="15" t="s">
        <v>31</v>
      </c>
    </row>
    <row r="11" spans="2:14">
      <c r="B11" s="15" t="s">
        <v>32</v>
      </c>
    </row>
    <row r="12" spans="2:14"/>
    <row r="13" spans="2:14" ht="25.5" customHeight="1">
      <c r="B13" s="272" t="s">
        <v>33</v>
      </c>
      <c r="C13" s="272"/>
      <c r="D13" s="272"/>
      <c r="E13" s="272"/>
      <c r="F13" s="272"/>
      <c r="G13" s="272"/>
      <c r="H13" s="272"/>
      <c r="I13" s="272"/>
      <c r="J13" s="272"/>
      <c r="K13" s="272"/>
      <c r="L13" s="272"/>
      <c r="M13" s="272"/>
      <c r="N13" s="272"/>
    </row>
    <row r="14" spans="2:14" ht="12.75" customHeight="1">
      <c r="B14" s="231"/>
      <c r="C14" s="231"/>
      <c r="D14" s="231"/>
      <c r="E14" s="231"/>
      <c r="F14" s="231"/>
      <c r="G14" s="231"/>
      <c r="H14" s="231"/>
      <c r="I14" s="231"/>
      <c r="J14" s="231"/>
      <c r="K14" s="231"/>
      <c r="L14" s="231"/>
      <c r="M14" s="231"/>
      <c r="N14" s="231"/>
    </row>
    <row r="15" spans="2:14" ht="12.75" customHeight="1">
      <c r="B15" s="126"/>
      <c r="C15" s="127" t="s">
        <v>34</v>
      </c>
      <c r="D15" s="231"/>
      <c r="E15" s="128"/>
      <c r="F15" s="127" t="s">
        <v>35</v>
      </c>
      <c r="G15" s="231"/>
      <c r="H15" s="231"/>
      <c r="I15" s="231"/>
      <c r="J15" s="231"/>
      <c r="K15" s="231"/>
      <c r="L15" s="231"/>
      <c r="M15" s="231"/>
      <c r="N15" s="231"/>
    </row>
    <row r="16" spans="2:14"/>
    <row r="17" spans="1:4" ht="13.8">
      <c r="A17" s="122"/>
      <c r="B17" s="15" t="s">
        <v>36</v>
      </c>
      <c r="C17" s="122"/>
      <c r="D17" s="122"/>
    </row>
    <row r="18" spans="1:4" ht="13.8">
      <c r="A18" s="122"/>
      <c r="C18" s="122"/>
      <c r="D18" s="122"/>
    </row>
    <row r="19" spans="1:4" s="89" customFormat="1">
      <c r="B19" s="89" t="s">
        <v>37</v>
      </c>
    </row>
    <row r="20" spans="1:4" ht="13.8">
      <c r="C20" s="123"/>
      <c r="D20" s="122"/>
    </row>
    <row r="21" spans="1:4">
      <c r="A21" s="57"/>
      <c r="B21" s="125" t="s">
        <v>38</v>
      </c>
      <c r="C21" s="125" t="s">
        <v>39</v>
      </c>
      <c r="D21" s="125" t="s">
        <v>27</v>
      </c>
    </row>
    <row r="22" spans="1:4">
      <c r="A22" s="57"/>
      <c r="B22" s="124" t="s">
        <v>40</v>
      </c>
      <c r="C22" s="124" t="s">
        <v>41</v>
      </c>
      <c r="D22" s="124" t="s">
        <v>42</v>
      </c>
    </row>
    <row r="23" spans="1:4" ht="19.5" customHeight="1">
      <c r="A23" s="57"/>
      <c r="B23" s="124" t="s">
        <v>43</v>
      </c>
      <c r="C23" s="124" t="s">
        <v>41</v>
      </c>
      <c r="D23" s="124" t="s">
        <v>44</v>
      </c>
    </row>
    <row r="24" spans="1:4" ht="12.75" customHeight="1">
      <c r="A24" s="57"/>
      <c r="B24" s="273" t="s">
        <v>45</v>
      </c>
      <c r="C24" s="274"/>
      <c r="D24" s="275"/>
    </row>
    <row r="25" spans="1:4" ht="22.5" customHeight="1">
      <c r="A25" s="57"/>
      <c r="B25" s="124" t="s">
        <v>46</v>
      </c>
      <c r="C25" s="124" t="s">
        <v>47</v>
      </c>
      <c r="D25" s="124" t="s">
        <v>48</v>
      </c>
    </row>
    <row r="26" spans="1:4" ht="12.75" customHeight="1">
      <c r="A26" s="57"/>
      <c r="B26" s="273" t="s">
        <v>49</v>
      </c>
      <c r="C26" s="274"/>
      <c r="D26" s="275"/>
    </row>
    <row r="27" spans="1:4" ht="22.8">
      <c r="A27" s="57"/>
      <c r="B27" s="124" t="s">
        <v>50</v>
      </c>
      <c r="C27" s="124" t="s">
        <v>51</v>
      </c>
      <c r="D27" s="124" t="s">
        <v>52</v>
      </c>
    </row>
    <row r="28" spans="1:4" ht="12.75" customHeight="1">
      <c r="A28" s="57"/>
      <c r="B28" s="273" t="s">
        <v>53</v>
      </c>
      <c r="C28" s="274"/>
      <c r="D28" s="275"/>
    </row>
    <row r="29" spans="1:4" ht="15" customHeight="1">
      <c r="A29" s="57"/>
      <c r="B29" s="124" t="s">
        <v>54</v>
      </c>
      <c r="C29" s="124" t="s">
        <v>55</v>
      </c>
      <c r="D29" s="124" t="s">
        <v>56</v>
      </c>
    </row>
    <row r="30" spans="1:4" ht="34.5" customHeight="1">
      <c r="A30" s="57"/>
      <c r="B30" s="124" t="s">
        <v>57</v>
      </c>
      <c r="C30" s="124" t="s">
        <v>58</v>
      </c>
      <c r="D30" s="124" t="s">
        <v>59</v>
      </c>
    </row>
    <row r="31" spans="1:4" ht="26.25" customHeight="1">
      <c r="A31" s="57"/>
      <c r="B31" s="124" t="s">
        <v>60</v>
      </c>
      <c r="C31" s="124" t="s">
        <v>58</v>
      </c>
      <c r="D31" s="124" t="s">
        <v>61</v>
      </c>
    </row>
    <row r="32" spans="1:4" ht="22.8">
      <c r="A32" s="57"/>
      <c r="B32" s="124" t="s">
        <v>62</v>
      </c>
      <c r="C32" s="124" t="s">
        <v>58</v>
      </c>
      <c r="D32" s="124" t="s">
        <v>63</v>
      </c>
    </row>
    <row r="33" spans="1:4" ht="22.8">
      <c r="A33" s="57"/>
      <c r="B33" s="124" t="s">
        <v>64</v>
      </c>
      <c r="C33" s="124" t="s">
        <v>58</v>
      </c>
      <c r="D33" s="124" t="s">
        <v>65</v>
      </c>
    </row>
    <row r="34" spans="1:4" ht="22.8">
      <c r="A34" s="57"/>
      <c r="B34" s="124" t="s">
        <v>66</v>
      </c>
      <c r="C34" s="124" t="s">
        <v>58</v>
      </c>
      <c r="D34" s="124" t="s">
        <v>67</v>
      </c>
    </row>
    <row r="35" spans="1:4">
      <c r="A35" s="57"/>
      <c r="B35" s="124" t="s">
        <v>68</v>
      </c>
      <c r="C35" s="124" t="s">
        <v>55</v>
      </c>
      <c r="D35" s="124" t="s">
        <v>69</v>
      </c>
    </row>
    <row r="36" spans="1:4" ht="22.8">
      <c r="A36" s="57"/>
      <c r="B36" s="124" t="s">
        <v>70</v>
      </c>
      <c r="C36" s="124" t="s">
        <v>58</v>
      </c>
      <c r="D36" s="124" t="s">
        <v>71</v>
      </c>
    </row>
    <row r="37" spans="1:4" ht="22.8">
      <c r="A37" s="57"/>
      <c r="B37" s="229" t="s">
        <v>72</v>
      </c>
      <c r="C37" s="229" t="s">
        <v>58</v>
      </c>
      <c r="D37" s="229" t="s">
        <v>73</v>
      </c>
    </row>
    <row r="38" spans="1:4"/>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5"/>
  <sheetViews>
    <sheetView topLeftCell="A40" zoomScaleNormal="100" workbookViewId="0">
      <selection activeCell="G41" sqref="G41"/>
    </sheetView>
  </sheetViews>
  <sheetFormatPr defaultColWidth="0" defaultRowHeight="12.6" zeroHeight="1"/>
  <cols>
    <col min="1" max="1" width="5.7265625" customWidth="1"/>
    <col min="2" max="2" width="23.453125" customWidth="1"/>
    <col min="3" max="3" width="17.81640625" customWidth="1"/>
    <col min="4" max="4" width="23.36328125" customWidth="1"/>
    <col min="5" max="5" width="25.7265625" customWidth="1"/>
    <col min="6" max="6" width="1.6328125" customWidth="1"/>
    <col min="7" max="14" width="15.6328125" customWidth="1"/>
    <col min="15" max="15" width="1.81640625" customWidth="1"/>
    <col min="16" max="23" width="15.6328125" customWidth="1"/>
    <col min="24" max="24" width="1.81640625" customWidth="1"/>
    <col min="25" max="27" width="15.6328125" customWidth="1"/>
    <col min="28" max="28" width="9" customWidth="1"/>
    <col min="29" max="29" width="0" hidden="1" customWidth="1"/>
    <col min="30" max="16384" width="9" hidden="1"/>
  </cols>
  <sheetData>
    <row r="1" spans="1:27" s="2" customFormat="1" ht="12.75" customHeight="1"/>
    <row r="2" spans="1:27" s="2" customFormat="1" ht="18.75" customHeight="1">
      <c r="B2" s="140" t="s">
        <v>74</v>
      </c>
      <c r="C2" s="41"/>
      <c r="D2" s="41"/>
      <c r="E2" s="41"/>
      <c r="F2" s="41"/>
      <c r="G2" s="41"/>
      <c r="O2" s="41"/>
      <c r="X2" s="41"/>
    </row>
    <row r="3" spans="1:27" s="2" customFormat="1" ht="48.75" customHeight="1">
      <c r="B3" s="297" t="s">
        <v>75</v>
      </c>
      <c r="C3" s="297"/>
      <c r="D3" s="297"/>
      <c r="E3" s="297"/>
      <c r="F3" s="297"/>
      <c r="G3" s="297"/>
      <c r="H3" s="297"/>
      <c r="I3" s="297"/>
      <c r="J3" s="40"/>
      <c r="K3" s="40"/>
      <c r="L3" s="40"/>
      <c r="M3" s="40"/>
      <c r="N3" s="40"/>
      <c r="O3" s="40"/>
      <c r="P3" s="40"/>
      <c r="Q3" s="40"/>
      <c r="R3" s="40"/>
      <c r="S3" s="40"/>
      <c r="T3" s="40"/>
      <c r="U3" s="40"/>
      <c r="V3" s="40"/>
      <c r="W3" s="40"/>
      <c r="X3" s="40"/>
      <c r="Y3" s="40"/>
      <c r="Z3" s="40"/>
      <c r="AA3" s="40"/>
    </row>
    <row r="4" spans="1:27" s="2" customFormat="1" ht="12.75" customHeight="1"/>
    <row r="5" spans="1:27" s="15" customFormat="1"/>
    <row r="6" spans="1:27" s="15" customFormat="1">
      <c r="B6" s="86"/>
    </row>
    <row r="7" spans="1:27" s="88" customFormat="1">
      <c r="B7" s="89" t="s">
        <v>76</v>
      </c>
    </row>
    <row r="8" spans="1:27" s="15" customFormat="1">
      <c r="B8" s="86"/>
    </row>
    <row r="9" spans="1:27">
      <c r="A9" s="15"/>
      <c r="B9" s="294" t="s">
        <v>77</v>
      </c>
      <c r="C9" s="298" t="s">
        <v>78</v>
      </c>
      <c r="D9" s="287" t="s">
        <v>79</v>
      </c>
      <c r="E9" s="301"/>
      <c r="F9" s="87"/>
      <c r="G9" s="291" t="s">
        <v>80</v>
      </c>
      <c r="H9" s="292"/>
      <c r="I9" s="292"/>
      <c r="J9" s="292"/>
      <c r="K9" s="292"/>
      <c r="L9" s="292"/>
      <c r="M9" s="292"/>
      <c r="N9" s="293"/>
      <c r="O9" s="139"/>
      <c r="P9" s="248" t="s">
        <v>81</v>
      </c>
      <c r="Q9" s="249"/>
      <c r="R9" s="249"/>
      <c r="S9" s="249"/>
      <c r="T9" s="249"/>
      <c r="U9" s="249"/>
      <c r="V9" s="249"/>
      <c r="W9" s="249"/>
      <c r="X9" s="87"/>
      <c r="Y9" s="249"/>
      <c r="Z9" s="249"/>
      <c r="AA9" s="250"/>
    </row>
    <row r="10" spans="1:27" ht="12.75" customHeight="1">
      <c r="A10" s="15"/>
      <c r="B10" s="294"/>
      <c r="C10" s="298"/>
      <c r="D10" s="287"/>
      <c r="E10" s="301"/>
      <c r="F10" s="87"/>
      <c r="G10" s="288" t="s">
        <v>82</v>
      </c>
      <c r="H10" s="289"/>
      <c r="I10" s="289"/>
      <c r="J10" s="289"/>
      <c r="K10" s="289"/>
      <c r="L10" s="289"/>
      <c r="M10" s="289"/>
      <c r="N10" s="290"/>
      <c r="O10" s="139"/>
      <c r="P10" s="251" t="s">
        <v>83</v>
      </c>
      <c r="Q10" s="252"/>
      <c r="R10" s="252"/>
      <c r="S10" s="252"/>
      <c r="T10" s="252"/>
      <c r="U10" s="252"/>
      <c r="V10" s="252"/>
      <c r="W10" s="252"/>
      <c r="X10" s="87"/>
      <c r="Y10" s="252"/>
      <c r="Z10" s="252"/>
      <c r="AA10" s="253"/>
    </row>
    <row r="11" spans="1:27" ht="22.8">
      <c r="A11" s="15"/>
      <c r="B11" s="294"/>
      <c r="C11" s="298"/>
      <c r="D11" s="287"/>
      <c r="E11" s="100" t="s">
        <v>84</v>
      </c>
      <c r="F11" s="87"/>
      <c r="G11" s="34" t="s">
        <v>85</v>
      </c>
      <c r="H11" s="34" t="s">
        <v>86</v>
      </c>
      <c r="I11" s="34" t="s">
        <v>87</v>
      </c>
      <c r="J11" s="34" t="s">
        <v>88</v>
      </c>
      <c r="K11" s="34" t="s">
        <v>89</v>
      </c>
      <c r="L11" s="35" t="s">
        <v>90</v>
      </c>
      <c r="M11" s="34" t="s">
        <v>91</v>
      </c>
      <c r="N11" s="34" t="s">
        <v>92</v>
      </c>
      <c r="O11" s="87"/>
      <c r="P11" s="30" t="s">
        <v>93</v>
      </c>
      <c r="Q11" s="30" t="s">
        <v>94</v>
      </c>
      <c r="R11" s="30" t="s">
        <v>95</v>
      </c>
      <c r="S11" s="36" t="s">
        <v>96</v>
      </c>
      <c r="T11" s="30" t="s">
        <v>97</v>
      </c>
      <c r="U11" s="30" t="s">
        <v>98</v>
      </c>
      <c r="V11" s="30" t="s">
        <v>99</v>
      </c>
      <c r="W11" s="30" t="s">
        <v>100</v>
      </c>
      <c r="X11" s="87"/>
      <c r="Y11" s="30" t="s">
        <v>101</v>
      </c>
      <c r="Z11" s="30" t="s">
        <v>102</v>
      </c>
      <c r="AA11" s="30" t="s">
        <v>103</v>
      </c>
    </row>
    <row r="12" spans="1:27" ht="22.8">
      <c r="A12" s="15"/>
      <c r="B12" s="294"/>
      <c r="C12" s="298"/>
      <c r="D12" s="287"/>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7" ht="12.75" customHeight="1">
      <c r="A13" s="15"/>
      <c r="B13" s="294"/>
      <c r="C13" s="298"/>
      <c r="D13" s="287"/>
      <c r="E13" s="100" t="s">
        <v>106</v>
      </c>
      <c r="F13" s="87"/>
      <c r="G13" s="32" t="s">
        <v>107</v>
      </c>
      <c r="H13" s="32" t="s">
        <v>108</v>
      </c>
      <c r="I13" s="32" t="s">
        <v>109</v>
      </c>
      <c r="J13" s="32" t="s">
        <v>110</v>
      </c>
      <c r="K13" s="32" t="s">
        <v>111</v>
      </c>
      <c r="L13" s="33" t="s">
        <v>112</v>
      </c>
      <c r="M13" s="32" t="s">
        <v>113</v>
      </c>
      <c r="N13" s="32" t="s">
        <v>114</v>
      </c>
      <c r="O13" s="87"/>
      <c r="P13" s="32" t="s">
        <v>115</v>
      </c>
      <c r="Q13" s="32" t="s">
        <v>116</v>
      </c>
      <c r="R13" s="32" t="s">
        <v>117</v>
      </c>
      <c r="S13" s="37" t="s">
        <v>118</v>
      </c>
      <c r="T13" s="32" t="s">
        <v>119</v>
      </c>
      <c r="U13" s="32" t="s">
        <v>120</v>
      </c>
      <c r="V13" s="32" t="s">
        <v>121</v>
      </c>
      <c r="W13" s="32" t="s">
        <v>122</v>
      </c>
      <c r="X13" s="87"/>
      <c r="Y13" s="32" t="s">
        <v>123</v>
      </c>
      <c r="Z13" s="32" t="s">
        <v>124</v>
      </c>
      <c r="AA13" s="32" t="s">
        <v>125</v>
      </c>
    </row>
    <row r="14" spans="1:27" ht="12.75" customHeight="1">
      <c r="A14" s="15"/>
      <c r="B14" s="294"/>
      <c r="C14" s="298"/>
      <c r="D14" s="287"/>
      <c r="E14" s="142" t="s">
        <v>126</v>
      </c>
      <c r="F14" s="87"/>
      <c r="G14" s="30" t="s">
        <v>127</v>
      </c>
      <c r="H14" s="30" t="s">
        <v>127</v>
      </c>
      <c r="I14" s="30" t="s">
        <v>128</v>
      </c>
      <c r="J14" s="30" t="s">
        <v>128</v>
      </c>
      <c r="K14" s="30" t="s">
        <v>129</v>
      </c>
      <c r="L14" s="31" t="s">
        <v>129</v>
      </c>
      <c r="M14" s="30" t="s">
        <v>130</v>
      </c>
      <c r="N14" s="30" t="s">
        <v>130</v>
      </c>
      <c r="O14" s="87"/>
      <c r="P14" s="30" t="s">
        <v>131</v>
      </c>
      <c r="Q14" s="30" t="s">
        <v>132</v>
      </c>
      <c r="R14" s="30" t="s">
        <v>132</v>
      </c>
      <c r="S14" s="36" t="s">
        <v>133</v>
      </c>
      <c r="T14" s="30" t="s">
        <v>133</v>
      </c>
      <c r="U14" s="30" t="s">
        <v>134</v>
      </c>
      <c r="V14" s="30" t="s">
        <v>134</v>
      </c>
      <c r="W14" s="30" t="s">
        <v>135</v>
      </c>
      <c r="X14" s="87"/>
      <c r="Y14" s="30" t="s">
        <v>135</v>
      </c>
      <c r="Z14" s="30" t="s">
        <v>136</v>
      </c>
      <c r="AA14" s="30" t="s">
        <v>136</v>
      </c>
    </row>
    <row r="15" spans="1:27" ht="12.75" customHeight="1">
      <c r="A15" s="15"/>
      <c r="B15" s="281" t="s">
        <v>137</v>
      </c>
      <c r="C15" s="111" t="s">
        <v>138</v>
      </c>
      <c r="D15" s="276" t="s">
        <v>139</v>
      </c>
      <c r="E15" s="300"/>
      <c r="F15" s="87"/>
      <c r="G15" s="109">
        <f>IF('2a Aggregate costs'!H$15="-","-",SUM('2a Aggregate costs'!H$15,'2a Aggregate costs'!H$16,'2a Aggregate costs'!H$17,'2a Aggregate costs'!H38)*'3a Demand'!$C$9+'2a Aggregate costs'!H$18)</f>
        <v>68.565771367263309</v>
      </c>
      <c r="H15" s="109">
        <f>IF('2a Aggregate costs'!I$15="-","-",SUM('2a Aggregate costs'!I$15,'2a Aggregate costs'!I$16,'2a Aggregate costs'!I$17,'2a Aggregate costs'!I38)*'3a Demand'!$C$9+'2a Aggregate costs'!I$18)</f>
        <v>68.545523907361414</v>
      </c>
      <c r="I15" s="109">
        <f>IF('2a Aggregate costs'!J$15="-","-",SUM('2a Aggregate costs'!J$15,'2a Aggregate costs'!J$16,'2a Aggregate costs'!J$17,'2a Aggregate costs'!J38)*'3a Demand'!$C$9+'2a Aggregate costs'!J$18)</f>
        <v>83.614794006957538</v>
      </c>
      <c r="J15" s="109">
        <f>IF('2a Aggregate costs'!K$15="-","-",SUM('2a Aggregate costs'!K$15,'2a Aggregate costs'!K$16,'2a Aggregate costs'!K$17,'2a Aggregate costs'!K38)*'3a Demand'!$C$9+'2a Aggregate costs'!K$18)</f>
        <v>83.537954562762394</v>
      </c>
      <c r="K15" s="109">
        <f>IF('2a Aggregate costs'!L$15="-","-",SUM('2a Aggregate costs'!L$15,'2a Aggregate costs'!L$16,'2a Aggregate costs'!L$17,'2a Aggregate costs'!L38)*'3a Demand'!$C$9+'2a Aggregate costs'!L$18)</f>
        <v>88.918000091064357</v>
      </c>
      <c r="L15" s="109">
        <f>IF('2a Aggregate costs'!M$15="-","-",SUM('2a Aggregate costs'!M$15,'2a Aggregate costs'!M$16,'2a Aggregate costs'!M$17,'2a Aggregate costs'!M38)*'3a Demand'!$C$9+'2a Aggregate costs'!M$18)</f>
        <v>89.232750584499058</v>
      </c>
      <c r="M15" s="109">
        <f>IF('2a Aggregate costs'!N$15="-","-",SUM('2a Aggregate costs'!N$15,'2a Aggregate costs'!N$16,'2a Aggregate costs'!N$17,'2a Aggregate costs'!N38)*'3a Demand'!$C$9+'2a Aggregate costs'!N$18)</f>
        <v>103.19089658237827</v>
      </c>
      <c r="N15" s="109">
        <f>IF('2a Aggregate costs'!O$15="-","-",SUM('2a Aggregate costs'!O$15,'2a Aggregate costs'!O$16,'2a Aggregate costs'!O$17,'2a Aggregate costs'!O38)*'3a Demand'!$C$9+'2a Aggregate costs'!O$18)</f>
        <v>103.26009605959037</v>
      </c>
      <c r="O15" s="87"/>
      <c r="P15" s="109">
        <f>IF('2a Aggregate costs'!Q$15="-","-",SUM('2a Aggregate costs'!Q$15,'2a Aggregate costs'!Q$16,'2a Aggregate costs'!Q$17,'2a Aggregate costs'!Q38)*'3a Demand'!$C$9+'2a Aggregate costs'!Q$18)</f>
        <v>103.26009605959037</v>
      </c>
      <c r="Q15" s="109">
        <f>IF('2a Aggregate costs'!R$15="-","-",SUM('2a Aggregate costs'!R$15,'2a Aggregate costs'!R$16,'2a Aggregate costs'!R$17,'2a Aggregate costs'!R38)*'3a Demand'!$C$9+'2a Aggregate costs'!R$18)</f>
        <v>110.39599487540659</v>
      </c>
      <c r="R15" s="109">
        <f>IF('2a Aggregate costs'!S$15="-","-",SUM('2a Aggregate costs'!S$15,'2a Aggregate costs'!S$16,'2a Aggregate costs'!S$17,'2a Aggregate costs'!S38)*'3a Demand'!$C$9+'2a Aggregate costs'!S$18)</f>
        <v>111.7072095389764</v>
      </c>
      <c r="S15" s="109">
        <f>IF('2a Aggregate costs'!T$15="-","-",SUM('2a Aggregate costs'!T$15,'2a Aggregate costs'!T$16,'2a Aggregate costs'!T$17,'2a Aggregate costs'!T38)*'3a Demand'!$C$9+'2a Aggregate costs'!T$18)</f>
        <v>114.90065469882065</v>
      </c>
      <c r="T15" s="109">
        <f>IF('2a Aggregate costs'!U$15="-","-",SUM('2a Aggregate costs'!U$15,'2a Aggregate costs'!U$16,'2a Aggregate costs'!U$17,'2a Aggregate costs'!U38)*'3a Demand'!$C$9+'2a Aggregate costs'!U$18)</f>
        <v>114.4180160814398</v>
      </c>
      <c r="U15" s="109">
        <f>IF('2a Aggregate costs'!V$15="-","-",SUM('2a Aggregate costs'!V$15,'2a Aggregate costs'!V$16,'2a Aggregate costs'!V$17,'2a Aggregate costs'!V38)*'3a Demand'!$C$9+'2a Aggregate costs'!V$18)</f>
        <v>121.05350272737377</v>
      </c>
      <c r="V15" s="109">
        <f>IF('2a Aggregate costs'!W$15="-","-",SUM('2a Aggregate costs'!W$15,'2a Aggregate costs'!W$16,'2a Aggregate costs'!W$17,'2a Aggregate costs'!W38)*'3a Demand'!$C$9+'2a Aggregate costs'!W$18)</f>
        <v>120.46168627822081</v>
      </c>
      <c r="W15" s="109">
        <f>IF('2a Aggregate costs'!X$15="-","-",SUM('2a Aggregate costs'!X$15,'2a Aggregate costs'!X$16,'2a Aggregate costs'!X$17,'2a Aggregate costs'!X38)*'3a Demand'!$C$9+'2a Aggregate costs'!X$18)</f>
        <v>126.57531856556605</v>
      </c>
      <c r="X15" s="87"/>
      <c r="Y15" s="109">
        <f>IF('2a Aggregate costs'!Z$15="-","-",SUM('2a Aggregate costs'!Z$15,'2a Aggregate costs'!Z$16,'2a Aggregate costs'!Z$17,'2a Aggregate costs'!Z38)*'3a Demand'!$C$9+'2a Aggregate costs'!Z$18)</f>
        <v>125.50081958008585</v>
      </c>
      <c r="Z15" s="109" t="str">
        <f>IF('2a Aggregate costs'!AA$15="-","-",SUM('2a Aggregate costs'!AA$15,'2a Aggregate costs'!AA$16,'2a Aggregate costs'!AA$17,'2a Aggregate costs'!AA38)*'3a Demand'!$C$9+'2a Aggregate costs'!AA$18)</f>
        <v>-</v>
      </c>
      <c r="AA15" s="109" t="str">
        <f>IF('2a Aggregate costs'!AB$15="-","-",SUM('2a Aggregate costs'!AB$15,'2a Aggregate costs'!AB$16,'2a Aggregate costs'!AB$17,'2a Aggregate costs'!AB38)*'3a Demand'!$C$9+'2a Aggregate costs'!AB$18)</f>
        <v>-</v>
      </c>
    </row>
    <row r="16" spans="1:27" ht="12.75" customHeight="1">
      <c r="A16" s="15"/>
      <c r="B16" s="282"/>
      <c r="C16" s="111" t="s">
        <v>140</v>
      </c>
      <c r="D16" s="276"/>
      <c r="E16" s="300"/>
      <c r="F16" s="87"/>
      <c r="G16" s="109">
        <f>IF('2a Aggregate costs'!H$15="-","-",SUM('2a Aggregate costs'!H$15,'2a Aggregate costs'!H$16,'2a Aggregate costs'!H$17,'2a Aggregate costs'!H39)*'3a Demand'!$C$9+'2a Aggregate costs'!H$18)</f>
        <v>68.549277733799528</v>
      </c>
      <c r="H16" s="109">
        <f>IF('2a Aggregate costs'!I$15="-","-",SUM('2a Aggregate costs'!I$15,'2a Aggregate costs'!I$16,'2a Aggregate costs'!I$17,'2a Aggregate costs'!I39)*'3a Demand'!$C$9+'2a Aggregate costs'!I$18)</f>
        <v>68.529294772291379</v>
      </c>
      <c r="I16" s="109">
        <f>IF('2a Aggregate costs'!J$15="-","-",SUM('2a Aggregate costs'!J$15,'2a Aggregate costs'!J$16,'2a Aggregate costs'!J$17,'2a Aggregate costs'!J39)*'3a Demand'!$C$9+'2a Aggregate costs'!J$18)</f>
        <v>83.598175372645827</v>
      </c>
      <c r="J16" s="109">
        <f>IF('2a Aggregate costs'!K$15="-","-",SUM('2a Aggregate costs'!K$15,'2a Aggregate costs'!K$16,'2a Aggregate costs'!K$17,'2a Aggregate costs'!K39)*'3a Demand'!$C$9+'2a Aggregate costs'!K$18)</f>
        <v>83.520615948275136</v>
      </c>
      <c r="K16" s="109">
        <f>IF('2a Aggregate costs'!L$15="-","-",SUM('2a Aggregate costs'!L$15,'2a Aggregate costs'!L$16,'2a Aggregate costs'!L$17,'2a Aggregate costs'!L39)*'3a Demand'!$C$9+'2a Aggregate costs'!L$18)</f>
        <v>88.900349381516335</v>
      </c>
      <c r="L16" s="109">
        <f>IF('2a Aggregate costs'!M$15="-","-",SUM('2a Aggregate costs'!M$15,'2a Aggregate costs'!M$16,'2a Aggregate costs'!M$17,'2a Aggregate costs'!M39)*'3a Demand'!$C$9+'2a Aggregate costs'!M$18)</f>
        <v>89.215421715439106</v>
      </c>
      <c r="M16" s="109">
        <f>IF('2a Aggregate costs'!N$15="-","-",SUM('2a Aggregate costs'!N$15,'2a Aggregate costs'!N$16,'2a Aggregate costs'!N$17,'2a Aggregate costs'!N39)*'3a Demand'!$C$9+'2a Aggregate costs'!N$18)</f>
        <v>103.1814964830757</v>
      </c>
      <c r="N16" s="109">
        <f>IF('2a Aggregate costs'!O$15="-","-",SUM('2a Aggregate costs'!O$15,'2a Aggregate costs'!O$16,'2a Aggregate costs'!O$17,'2a Aggregate costs'!O39)*'3a Demand'!$C$9+'2a Aggregate costs'!O$18)</f>
        <v>103.25048926507061</v>
      </c>
      <c r="O16" s="87"/>
      <c r="P16" s="109">
        <f>IF('2a Aggregate costs'!Q$15="-","-",SUM('2a Aggregate costs'!Q$15,'2a Aggregate costs'!Q$16,'2a Aggregate costs'!Q$17,'2a Aggregate costs'!Q39)*'3a Demand'!$C$9+'2a Aggregate costs'!Q$18)</f>
        <v>103.25048926507061</v>
      </c>
      <c r="Q16" s="109">
        <f>IF('2a Aggregate costs'!R$15="-","-",SUM('2a Aggregate costs'!R$15,'2a Aggregate costs'!R$16,'2a Aggregate costs'!R$17,'2a Aggregate costs'!R39)*'3a Demand'!$C$9+'2a Aggregate costs'!R$18)</f>
        <v>110.37944693268375</v>
      </c>
      <c r="R16" s="109">
        <f>IF('2a Aggregate costs'!S$15="-","-",SUM('2a Aggregate costs'!S$15,'2a Aggregate costs'!S$16,'2a Aggregate costs'!S$17,'2a Aggregate costs'!S39)*'3a Demand'!$C$9+'2a Aggregate costs'!S$18)</f>
        <v>111.69006213727795</v>
      </c>
      <c r="S16" s="109">
        <f>IF('2a Aggregate costs'!T$15="-","-",SUM('2a Aggregate costs'!T$15,'2a Aggregate costs'!T$16,'2a Aggregate costs'!T$17,'2a Aggregate costs'!T39)*'3a Demand'!$C$9+'2a Aggregate costs'!T$18)</f>
        <v>114.8843354440319</v>
      </c>
      <c r="T16" s="109">
        <f>IF('2a Aggregate costs'!U$15="-","-",SUM('2a Aggregate costs'!U$15,'2a Aggregate costs'!U$16,'2a Aggregate costs'!U$17,'2a Aggregate costs'!U39)*'3a Demand'!$C$9+'2a Aggregate costs'!U$18)</f>
        <v>114.39960231359808</v>
      </c>
      <c r="U16" s="109">
        <f>IF('2a Aggregate costs'!V$15="-","-",SUM('2a Aggregate costs'!V$15,'2a Aggregate costs'!V$16,'2a Aggregate costs'!V$17,'2a Aggregate costs'!V39)*'3a Demand'!$C$9+'2a Aggregate costs'!V$18)</f>
        <v>121.02780814466783</v>
      </c>
      <c r="V16" s="109">
        <f>IF('2a Aggregate costs'!W$15="-","-",SUM('2a Aggregate costs'!W$15,'2a Aggregate costs'!W$16,'2a Aggregate costs'!W$17,'2a Aggregate costs'!W39)*'3a Demand'!$C$9+'2a Aggregate costs'!W$18)</f>
        <v>120.43774198122743</v>
      </c>
      <c r="W16" s="109">
        <f>IF('2a Aggregate costs'!X$15="-","-",SUM('2a Aggregate costs'!X$15,'2a Aggregate costs'!X$16,'2a Aggregate costs'!X$17,'2a Aggregate costs'!X39)*'3a Demand'!$C$9+'2a Aggregate costs'!X$18)</f>
        <v>126.5450819719328</v>
      </c>
      <c r="X16" s="87"/>
      <c r="Y16" s="109">
        <f>IF('2a Aggregate costs'!Z$15="-","-",SUM('2a Aggregate costs'!Z$15,'2a Aggregate costs'!Z$16,'2a Aggregate costs'!Z$17,'2a Aggregate costs'!Z39)*'3a Demand'!$C$9+'2a Aggregate costs'!Z$18)</f>
        <v>125.47176062818309</v>
      </c>
      <c r="Z16" s="109" t="str">
        <f>IF('2a Aggregate costs'!AA$15="-","-",SUM('2a Aggregate costs'!AA$15,'2a Aggregate costs'!AA$16,'2a Aggregate costs'!AA$17,'2a Aggregate costs'!AA39)*'3a Demand'!$C$9+'2a Aggregate costs'!AA$18)</f>
        <v>-</v>
      </c>
      <c r="AA16" s="109" t="str">
        <f>IF('2a Aggregate costs'!AB$15="-","-",SUM('2a Aggregate costs'!AB$15,'2a Aggregate costs'!AB$16,'2a Aggregate costs'!AB$17,'2a Aggregate costs'!AB39)*'3a Demand'!$C$9+'2a Aggregate costs'!AB$18)</f>
        <v>-</v>
      </c>
    </row>
    <row r="17" spans="1:27" ht="12.75" customHeight="1">
      <c r="A17" s="15"/>
      <c r="B17" s="282"/>
      <c r="C17" s="111" t="s">
        <v>141</v>
      </c>
      <c r="D17" s="276"/>
      <c r="E17" s="300"/>
      <c r="F17" s="87"/>
      <c r="G17" s="109">
        <f>IF('2a Aggregate costs'!H$15="-","-",SUM('2a Aggregate costs'!H$15,'2a Aggregate costs'!H$16,'2a Aggregate costs'!H$17,'2a Aggregate costs'!H40)*'3a Demand'!$C$9+'2a Aggregate costs'!H$18)</f>
        <v>68.556743260928414</v>
      </c>
      <c r="H17" s="109">
        <f>IF('2a Aggregate costs'!I$15="-","-",SUM('2a Aggregate costs'!I$15,'2a Aggregate costs'!I$16,'2a Aggregate costs'!I$17,'2a Aggregate costs'!I40)*'3a Demand'!$C$9+'2a Aggregate costs'!I$18)</f>
        <v>68.536640579290776</v>
      </c>
      <c r="I17" s="109">
        <f>IF('2a Aggregate costs'!J$15="-","-",SUM('2a Aggregate costs'!J$15,'2a Aggregate costs'!J$16,'2a Aggregate costs'!J$17,'2a Aggregate costs'!J40)*'3a Demand'!$C$9+'2a Aggregate costs'!J$18)</f>
        <v>83.605697479013202</v>
      </c>
      <c r="J17" s="109">
        <f>IF('2a Aggregate costs'!K$15="-","-",SUM('2a Aggregate costs'!K$15,'2a Aggregate costs'!K$16,'2a Aggregate costs'!K$17,'2a Aggregate costs'!K40)*'3a Demand'!$C$9+'2a Aggregate costs'!K$18)</f>
        <v>83.528463939872381</v>
      </c>
      <c r="K17" s="109">
        <f>IF('2a Aggregate costs'!L$15="-","-",SUM('2a Aggregate costs'!L$15,'2a Aggregate costs'!L$16,'2a Aggregate costs'!L$17,'2a Aggregate costs'!L40)*'3a Demand'!$C$9+'2a Aggregate costs'!L$18)</f>
        <v>88.908338636962327</v>
      </c>
      <c r="L17" s="109">
        <f>IF('2a Aggregate costs'!M$15="-","-",SUM('2a Aggregate costs'!M$15,'2a Aggregate costs'!M$16,'2a Aggregate costs'!M$17,'2a Aggregate costs'!M40)*'3a Demand'!$C$9+'2a Aggregate costs'!M$18)</f>
        <v>89.223265295955429</v>
      </c>
      <c r="M17" s="109">
        <f>IF('2a Aggregate costs'!N$15="-","-",SUM('2a Aggregate costs'!N$15,'2a Aggregate costs'!N$16,'2a Aggregate costs'!N$17,'2a Aggregate costs'!N40)*'3a Demand'!$C$9+'2a Aggregate costs'!N$18)</f>
        <v>103.19079248395576</v>
      </c>
      <c r="N17" s="109">
        <f>IF('2a Aggregate costs'!O$15="-","-",SUM('2a Aggregate costs'!O$15,'2a Aggregate costs'!O$16,'2a Aggregate costs'!O$17,'2a Aggregate costs'!O40)*'3a Demand'!$C$9+'2a Aggregate costs'!O$18)</f>
        <v>103.25998967218713</v>
      </c>
      <c r="O17" s="87"/>
      <c r="P17" s="109">
        <f>IF('2a Aggregate costs'!Q$15="-","-",SUM('2a Aggregate costs'!Q$15,'2a Aggregate costs'!Q$16,'2a Aggregate costs'!Q$17,'2a Aggregate costs'!Q40)*'3a Demand'!$C$9+'2a Aggregate costs'!Q$18)</f>
        <v>103.25998967218713</v>
      </c>
      <c r="Q17" s="109">
        <f>IF('2a Aggregate costs'!R$15="-","-",SUM('2a Aggregate costs'!R$15,'2a Aggregate costs'!R$16,'2a Aggregate costs'!R$17,'2a Aggregate costs'!R40)*'3a Demand'!$C$9+'2a Aggregate costs'!R$18)</f>
        <v>110.39101593552665</v>
      </c>
      <c r="R17" s="109">
        <f>IF('2a Aggregate costs'!S$15="-","-",SUM('2a Aggregate costs'!S$15,'2a Aggregate costs'!S$16,'2a Aggregate costs'!S$17,'2a Aggregate costs'!S40)*'3a Demand'!$C$9+'2a Aggregate costs'!S$18)</f>
        <v>111.70205324303423</v>
      </c>
      <c r="S17" s="109">
        <f>IF('2a Aggregate costs'!T$15="-","-",SUM('2a Aggregate costs'!T$15,'2a Aggregate costs'!T$16,'2a Aggregate costs'!T$17,'2a Aggregate costs'!T40)*'3a Demand'!$C$9+'2a Aggregate costs'!T$18)</f>
        <v>114.89522129686249</v>
      </c>
      <c r="T17" s="109">
        <f>IF('2a Aggregate costs'!U$15="-","-",SUM('2a Aggregate costs'!U$15,'2a Aggregate costs'!U$16,'2a Aggregate costs'!U$17,'2a Aggregate costs'!U40)*'3a Demand'!$C$9+'2a Aggregate costs'!U$18)</f>
        <v>114.41188769241774</v>
      </c>
      <c r="U17" s="109">
        <f>IF('2a Aggregate costs'!V$15="-","-",SUM('2a Aggregate costs'!V$15,'2a Aggregate costs'!V$16,'2a Aggregate costs'!V$17,'2a Aggregate costs'!V40)*'3a Demand'!$C$9+'2a Aggregate costs'!V$18)</f>
        <v>121.04682014154253</v>
      </c>
      <c r="V17" s="109">
        <f>IF('2a Aggregate costs'!W$15="-","-",SUM('2a Aggregate costs'!W$15,'2a Aggregate costs'!W$16,'2a Aggregate costs'!W$17,'2a Aggregate costs'!W40)*'3a Demand'!$C$9+'2a Aggregate costs'!W$18)</f>
        <v>120.45547361108393</v>
      </c>
      <c r="W17" s="109">
        <f>IF('2a Aggregate costs'!X$15="-","-",SUM('2a Aggregate costs'!X$15,'2a Aggregate costs'!X$16,'2a Aggregate costs'!X$17,'2a Aggregate costs'!X40)*'3a Demand'!$C$9+'2a Aggregate costs'!X$18)</f>
        <v>126.57473445968105</v>
      </c>
      <c r="X17" s="87"/>
      <c r="Y17" s="109">
        <f>IF('2a Aggregate costs'!Z$15="-","-",SUM('2a Aggregate costs'!Z$15,'2a Aggregate costs'!Z$16,'2a Aggregate costs'!Z$17,'2a Aggregate costs'!Z40)*'3a Demand'!$C$9+'2a Aggregate costs'!Z$18)</f>
        <v>125.50026418064236</v>
      </c>
      <c r="Z17" s="109" t="str">
        <f>IF('2a Aggregate costs'!AA$15="-","-",SUM('2a Aggregate costs'!AA$15,'2a Aggregate costs'!AA$16,'2a Aggregate costs'!AA$17,'2a Aggregate costs'!AA40)*'3a Demand'!$C$9+'2a Aggregate costs'!AA$18)</f>
        <v>-</v>
      </c>
      <c r="AA17" s="109" t="str">
        <f>IF('2a Aggregate costs'!AB$15="-","-",SUM('2a Aggregate costs'!AB$15,'2a Aggregate costs'!AB$16,'2a Aggregate costs'!AB$17,'2a Aggregate costs'!AB40)*'3a Demand'!$C$9+'2a Aggregate costs'!AB$18)</f>
        <v>-</v>
      </c>
    </row>
    <row r="18" spans="1:27" ht="12.75" customHeight="1">
      <c r="A18" s="15"/>
      <c r="B18" s="282"/>
      <c r="C18" s="111" t="s">
        <v>142</v>
      </c>
      <c r="D18" s="276"/>
      <c r="E18" s="300"/>
      <c r="F18" s="87"/>
      <c r="G18" s="109">
        <f>IF('2a Aggregate costs'!H$15="-","-",SUM('2a Aggregate costs'!H$15,'2a Aggregate costs'!H$16,'2a Aggregate costs'!H$17,'2a Aggregate costs'!H41)*'3a Demand'!$C$9+'2a Aggregate costs'!H$18)</f>
        <v>68.565747177307713</v>
      </c>
      <c r="H18" s="109">
        <f>IF('2a Aggregate costs'!I$15="-","-",SUM('2a Aggregate costs'!I$15,'2a Aggregate costs'!I$16,'2a Aggregate costs'!I$17,'2a Aggregate costs'!I41)*'3a Demand'!$C$9+'2a Aggregate costs'!I$18)</f>
        <v>68.545500105325445</v>
      </c>
      <c r="I18" s="109">
        <f>IF('2a Aggregate costs'!J$15="-","-",SUM('2a Aggregate costs'!J$15,'2a Aggregate costs'!J$16,'2a Aggregate costs'!J$17,'2a Aggregate costs'!J41)*'3a Demand'!$C$9+'2a Aggregate costs'!J$18)</f>
        <v>83.614769633672708</v>
      </c>
      <c r="J18" s="109">
        <f>IF('2a Aggregate costs'!K$15="-","-",SUM('2a Aggregate costs'!K$15,'2a Aggregate costs'!K$16,'2a Aggregate costs'!K$17,'2a Aggregate costs'!K41)*'3a Demand'!$C$9+'2a Aggregate costs'!K$18)</f>
        <v>83.537929133537489</v>
      </c>
      <c r="K18" s="109">
        <f>IF('2a Aggregate costs'!L$15="-","-",SUM('2a Aggregate costs'!L$15,'2a Aggregate costs'!L$16,'2a Aggregate costs'!L$17,'2a Aggregate costs'!L41)*'3a Demand'!$C$9+'2a Aggregate costs'!L$18)</f>
        <v>88.91797420411342</v>
      </c>
      <c r="L18" s="109">
        <f>IF('2a Aggregate costs'!M$15="-","-",SUM('2a Aggregate costs'!M$15,'2a Aggregate costs'!M$16,'2a Aggregate costs'!M$17,'2a Aggregate costs'!M41)*'3a Demand'!$C$9+'2a Aggregate costs'!M$18)</f>
        <v>89.232725169567033</v>
      </c>
      <c r="M18" s="109">
        <f>IF('2a Aggregate costs'!N$15="-","-",SUM('2a Aggregate costs'!N$15,'2a Aggregate costs'!N$16,'2a Aggregate costs'!N$17,'2a Aggregate costs'!N41)*'3a Demand'!$C$9+'2a Aggregate costs'!N$18)</f>
        <v>103.20523416154967</v>
      </c>
      <c r="N18" s="109">
        <f>IF('2a Aggregate costs'!O$15="-","-",SUM('2a Aggregate costs'!O$15,'2a Aggregate costs'!O$16,'2a Aggregate costs'!O$17,'2a Aggregate costs'!O41)*'3a Demand'!$C$9+'2a Aggregate costs'!O$18)</f>
        <v>103.27474890235051</v>
      </c>
      <c r="O18" s="87"/>
      <c r="P18" s="109">
        <f>IF('2a Aggregate costs'!Q$15="-","-",SUM('2a Aggregate costs'!Q$15,'2a Aggregate costs'!Q$16,'2a Aggregate costs'!Q$17,'2a Aggregate costs'!Q41)*'3a Demand'!$C$9+'2a Aggregate costs'!Q$18)</f>
        <v>103.27474890235051</v>
      </c>
      <c r="Q18" s="109">
        <f>IF('2a Aggregate costs'!R$15="-","-",SUM('2a Aggregate costs'!R$15,'2a Aggregate costs'!R$16,'2a Aggregate costs'!R$17,'2a Aggregate costs'!R41)*'3a Demand'!$C$9+'2a Aggregate costs'!R$18)</f>
        <v>110.40834451903547</v>
      </c>
      <c r="R18" s="109">
        <f>IF('2a Aggregate costs'!S$15="-","-",SUM('2a Aggregate costs'!S$15,'2a Aggregate costs'!S$16,'2a Aggregate costs'!S$17,'2a Aggregate costs'!S41)*'3a Demand'!$C$9+'2a Aggregate costs'!S$18)</f>
        <v>111.72002066613638</v>
      </c>
      <c r="S18" s="109">
        <f>IF('2a Aggregate costs'!T$15="-","-",SUM('2a Aggregate costs'!T$15,'2a Aggregate costs'!T$16,'2a Aggregate costs'!T$17,'2a Aggregate costs'!T41)*'3a Demand'!$C$9+'2a Aggregate costs'!T$18)</f>
        <v>114.92100619219393</v>
      </c>
      <c r="T18" s="109">
        <f>IF('2a Aggregate costs'!U$15="-","-",SUM('2a Aggregate costs'!U$15,'2a Aggregate costs'!U$16,'2a Aggregate costs'!U$17,'2a Aggregate costs'!U41)*'3a Demand'!$C$9+'2a Aggregate costs'!U$18)</f>
        <v>114.44093718956309</v>
      </c>
      <c r="U18" s="109">
        <f>IF('2a Aggregate costs'!V$15="-","-",SUM('2a Aggregate costs'!V$15,'2a Aggregate costs'!V$16,'2a Aggregate costs'!V$17,'2a Aggregate costs'!V41)*'3a Demand'!$C$9+'2a Aggregate costs'!V$18)</f>
        <v>121.08265454459803</v>
      </c>
      <c r="V18" s="109">
        <f>IF('2a Aggregate costs'!W$15="-","-",SUM('2a Aggregate costs'!W$15,'2a Aggregate costs'!W$16,'2a Aggregate costs'!W$17,'2a Aggregate costs'!W41)*'3a Demand'!$C$9+'2a Aggregate costs'!W$18)</f>
        <v>120.48875645470467</v>
      </c>
      <c r="W18" s="109">
        <f>IF('2a Aggregate costs'!X$15="-","-",SUM('2a Aggregate costs'!X$15,'2a Aggregate costs'!X$16,'2a Aggregate costs'!X$17,'2a Aggregate costs'!X41)*'3a Demand'!$C$9+'2a Aggregate costs'!X$18)</f>
        <v>126.60981518104413</v>
      </c>
      <c r="X18" s="87"/>
      <c r="Y18" s="109">
        <f>IF('2a Aggregate costs'!Z$15="-","-",SUM('2a Aggregate costs'!Z$15,'2a Aggregate costs'!Z$16,'2a Aggregate costs'!Z$17,'2a Aggregate costs'!Z41)*'3a Demand'!$C$9+'2a Aggregate costs'!Z$18)</f>
        <v>125.53404322974728</v>
      </c>
      <c r="Z18" s="109" t="str">
        <f>IF('2a Aggregate costs'!AA$15="-","-",SUM('2a Aggregate costs'!AA$15,'2a Aggregate costs'!AA$16,'2a Aggregate costs'!AA$17,'2a Aggregate costs'!AA41)*'3a Demand'!$C$9+'2a Aggregate costs'!AA$18)</f>
        <v>-</v>
      </c>
      <c r="AA18" s="109" t="str">
        <f>IF('2a Aggregate costs'!AB$15="-","-",SUM('2a Aggregate costs'!AB$15,'2a Aggregate costs'!AB$16,'2a Aggregate costs'!AB$17,'2a Aggregate costs'!AB41)*'3a Demand'!$C$9+'2a Aggregate costs'!AB$18)</f>
        <v>-</v>
      </c>
    </row>
    <row r="19" spans="1:27" ht="12.75" customHeight="1">
      <c r="A19" s="15"/>
      <c r="B19" s="282"/>
      <c r="C19" s="111" t="s">
        <v>143</v>
      </c>
      <c r="D19" s="276"/>
      <c r="E19" s="300"/>
      <c r="F19" s="87"/>
      <c r="G19" s="109">
        <f>IF('2a Aggregate costs'!H$15="-","-",SUM('2a Aggregate costs'!H$15,'2a Aggregate costs'!H$16,'2a Aggregate costs'!H$17,'2a Aggregate costs'!H42)*'3a Demand'!$C$9+'2a Aggregate costs'!H$18)</f>
        <v>68.550813167100358</v>
      </c>
      <c r="H19" s="109">
        <f>IF('2a Aggregate costs'!I$15="-","-",SUM('2a Aggregate costs'!I$15,'2a Aggregate costs'!I$16,'2a Aggregate costs'!I$17,'2a Aggregate costs'!I42)*'3a Demand'!$C$9+'2a Aggregate costs'!I$18)</f>
        <v>68.530805582779863</v>
      </c>
      <c r="I19" s="109">
        <f>IF('2a Aggregate costs'!J$15="-","-",SUM('2a Aggregate costs'!J$15,'2a Aggregate costs'!J$16,'2a Aggregate costs'!J$17,'2a Aggregate costs'!J42)*'3a Demand'!$C$9+'2a Aggregate costs'!J$18)</f>
        <v>83.599722442586042</v>
      </c>
      <c r="J19" s="109">
        <f>IF('2a Aggregate costs'!K$15="-","-",SUM('2a Aggregate costs'!K$15,'2a Aggregate costs'!K$16,'2a Aggregate costs'!K$17,'2a Aggregate costs'!K42)*'3a Demand'!$C$9+'2a Aggregate costs'!K$18)</f>
        <v>83.522230042957943</v>
      </c>
      <c r="K19" s="109">
        <f>IF('2a Aggregate costs'!L$15="-","-",SUM('2a Aggregate costs'!L$15,'2a Aggregate costs'!L$16,'2a Aggregate costs'!L$17,'2a Aggregate costs'!L42)*'3a Demand'!$C$9+'2a Aggregate costs'!L$18)</f>
        <v>88.901992529903438</v>
      </c>
      <c r="L19" s="109">
        <f>IF('2a Aggregate costs'!M$15="-","-",SUM('2a Aggregate costs'!M$15,'2a Aggregate costs'!M$16,'2a Aggregate costs'!M$17,'2a Aggregate costs'!M42)*'3a Demand'!$C$9+'2a Aggregate costs'!M$18)</f>
        <v>89.21703490289589</v>
      </c>
      <c r="M19" s="109">
        <f>IF('2a Aggregate costs'!N$15="-","-",SUM('2a Aggregate costs'!N$15,'2a Aggregate costs'!N$16,'2a Aggregate costs'!N$17,'2a Aggregate costs'!N42)*'3a Demand'!$C$9+'2a Aggregate costs'!N$18)</f>
        <v>103.1814234863363</v>
      </c>
      <c r="N19" s="109">
        <f>IF('2a Aggregate costs'!O$15="-","-",SUM('2a Aggregate costs'!O$15,'2a Aggregate costs'!O$16,'2a Aggregate costs'!O$17,'2a Aggregate costs'!O42)*'3a Demand'!$C$9+'2a Aggregate costs'!O$18)</f>
        <v>103.2504146632336</v>
      </c>
      <c r="O19" s="87"/>
      <c r="P19" s="109">
        <f>IF('2a Aggregate costs'!Q$15="-","-",SUM('2a Aggregate costs'!Q$15,'2a Aggregate costs'!Q$16,'2a Aggregate costs'!Q$17,'2a Aggregate costs'!Q42)*'3a Demand'!$C$9+'2a Aggregate costs'!Q$18)</f>
        <v>103.2504146632336</v>
      </c>
      <c r="Q19" s="109">
        <f>IF('2a Aggregate costs'!R$15="-","-",SUM('2a Aggregate costs'!R$15,'2a Aggregate costs'!R$16,'2a Aggregate costs'!R$17,'2a Aggregate costs'!R42)*'3a Demand'!$C$9+'2a Aggregate costs'!R$18)</f>
        <v>110.38159085908389</v>
      </c>
      <c r="R19" s="109">
        <f>IF('2a Aggregate costs'!S$15="-","-",SUM('2a Aggregate costs'!S$15,'2a Aggregate costs'!S$16,'2a Aggregate costs'!S$17,'2a Aggregate costs'!S42)*'3a Demand'!$C$9+'2a Aggregate costs'!S$18)</f>
        <v>111.69228468957603</v>
      </c>
      <c r="S19" s="109">
        <f>IF('2a Aggregate costs'!T$15="-","-",SUM('2a Aggregate costs'!T$15,'2a Aggregate costs'!T$16,'2a Aggregate costs'!T$17,'2a Aggregate costs'!T42)*'3a Demand'!$C$9+'2a Aggregate costs'!T$18)</f>
        <v>114.89110859099678</v>
      </c>
      <c r="T19" s="109">
        <f>IF('2a Aggregate costs'!U$15="-","-",SUM('2a Aggregate costs'!U$15,'2a Aggregate costs'!U$16,'2a Aggregate costs'!U$17,'2a Aggregate costs'!U42)*'3a Demand'!$C$9+'2a Aggregate costs'!U$18)</f>
        <v>114.40723325319138</v>
      </c>
      <c r="U19" s="109">
        <f>IF('2a Aggregate costs'!V$15="-","-",SUM('2a Aggregate costs'!V$15,'2a Aggregate costs'!V$16,'2a Aggregate costs'!V$17,'2a Aggregate costs'!V42)*'3a Demand'!$C$9+'2a Aggregate costs'!V$18)</f>
        <v>121.04034142400069</v>
      </c>
      <c r="V19" s="109">
        <f>IF('2a Aggregate costs'!W$15="-","-",SUM('2a Aggregate costs'!W$15,'2a Aggregate costs'!W$16,'2a Aggregate costs'!W$17,'2a Aggregate costs'!W42)*'3a Demand'!$C$9+'2a Aggregate costs'!W$18)</f>
        <v>120.44939213964373</v>
      </c>
      <c r="W19" s="109">
        <f>IF('2a Aggregate costs'!X$15="-","-",SUM('2a Aggregate costs'!X$15,'2a Aggregate costs'!X$16,'2a Aggregate costs'!X$17,'2a Aggregate costs'!X42)*'3a Demand'!$C$9+'2a Aggregate costs'!X$18)</f>
        <v>126.56135408710406</v>
      </c>
      <c r="X19" s="87"/>
      <c r="Y19" s="109">
        <f>IF('2a Aggregate costs'!Z$15="-","-",SUM('2a Aggregate costs'!Z$15,'2a Aggregate costs'!Z$16,'2a Aggregate costs'!Z$17,'2a Aggregate costs'!Z42)*'3a Demand'!$C$9+'2a Aggregate costs'!Z$18)</f>
        <v>125.48742132056118</v>
      </c>
      <c r="Z19" s="109" t="str">
        <f>IF('2a Aggregate costs'!AA$15="-","-",SUM('2a Aggregate costs'!AA$15,'2a Aggregate costs'!AA$16,'2a Aggregate costs'!AA$17,'2a Aggregate costs'!AA42)*'3a Demand'!$C$9+'2a Aggregate costs'!AA$18)</f>
        <v>-</v>
      </c>
      <c r="AA19" s="109" t="str">
        <f>IF('2a Aggregate costs'!AB$15="-","-",SUM('2a Aggregate costs'!AB$15,'2a Aggregate costs'!AB$16,'2a Aggregate costs'!AB$17,'2a Aggregate costs'!AB42)*'3a Demand'!$C$9+'2a Aggregate costs'!AB$18)</f>
        <v>-</v>
      </c>
    </row>
    <row r="20" spans="1:27" ht="12.75" customHeight="1">
      <c r="A20" s="15"/>
      <c r="B20" s="282"/>
      <c r="C20" s="111" t="s">
        <v>144</v>
      </c>
      <c r="D20" s="276"/>
      <c r="E20" s="300"/>
      <c r="F20" s="87"/>
      <c r="G20" s="109">
        <f>IF('2a Aggregate costs'!H$15="-","-",SUM('2a Aggregate costs'!H$15,'2a Aggregate costs'!H$16,'2a Aggregate costs'!H$17,'2a Aggregate costs'!H43)*'3a Demand'!$C$9+'2a Aggregate costs'!H$18)</f>
        <v>68.556725848640852</v>
      </c>
      <c r="H20" s="109">
        <f>IF('2a Aggregate costs'!I$15="-","-",SUM('2a Aggregate costs'!I$15,'2a Aggregate costs'!I$16,'2a Aggregate costs'!I$17,'2a Aggregate costs'!I43)*'3a Demand'!$C$9+'2a Aggregate costs'!I$18)</f>
        <v>68.536623446233506</v>
      </c>
      <c r="I20" s="109">
        <f>IF('2a Aggregate costs'!J$15="-","-",SUM('2a Aggregate costs'!J$15,'2a Aggregate costs'!J$16,'2a Aggregate costs'!J$17,'2a Aggregate costs'!J43)*'3a Demand'!$C$9+'2a Aggregate costs'!J$18)</f>
        <v>83.605679934762563</v>
      </c>
      <c r="J20" s="109">
        <f>IF('2a Aggregate costs'!K$15="-","-",SUM('2a Aggregate costs'!K$15,'2a Aggregate costs'!K$16,'2a Aggregate costs'!K$17,'2a Aggregate costs'!K43)*'3a Demand'!$C$9+'2a Aggregate costs'!K$18)</f>
        <v>83.528445635540479</v>
      </c>
      <c r="K20" s="109">
        <f>IF('2a Aggregate costs'!L$15="-","-",SUM('2a Aggregate costs'!L$15,'2a Aggregate costs'!L$16,'2a Aggregate costs'!L$17,'2a Aggregate costs'!L43)*'3a Demand'!$C$9+'2a Aggregate costs'!L$18)</f>
        <v>88.908320003152454</v>
      </c>
      <c r="L20" s="109">
        <f>IF('2a Aggregate costs'!M$15="-","-",SUM('2a Aggregate costs'!M$15,'2a Aggregate costs'!M$16,'2a Aggregate costs'!M$17,'2a Aggregate costs'!M43)*'3a Demand'!$C$9+'2a Aggregate costs'!M$18)</f>
        <v>89.223247001911744</v>
      </c>
      <c r="M20" s="109">
        <f>IF('2a Aggregate costs'!N$15="-","-",SUM('2a Aggregate costs'!N$15,'2a Aggregate costs'!N$16,'2a Aggregate costs'!N$17,'2a Aggregate costs'!N43)*'3a Demand'!$C$9+'2a Aggregate costs'!N$18)</f>
        <v>103.18595324217736</v>
      </c>
      <c r="N20" s="109">
        <f>IF('2a Aggregate costs'!O$15="-","-",SUM('2a Aggregate costs'!O$15,'2a Aggregate costs'!O$16,'2a Aggregate costs'!O$17,'2a Aggregate costs'!O43)*'3a Demand'!$C$9+'2a Aggregate costs'!O$18)</f>
        <v>103.25504402215726</v>
      </c>
      <c r="O20" s="87"/>
      <c r="P20" s="109">
        <f>IF('2a Aggregate costs'!Q$15="-","-",SUM('2a Aggregate costs'!Q$15,'2a Aggregate costs'!Q$16,'2a Aggregate costs'!Q$17,'2a Aggregate costs'!Q43)*'3a Demand'!$C$9+'2a Aggregate costs'!Q$18)</f>
        <v>103.25504402215726</v>
      </c>
      <c r="Q20" s="109">
        <f>IF('2a Aggregate costs'!R$15="-","-",SUM('2a Aggregate costs'!R$15,'2a Aggregate costs'!R$16,'2a Aggregate costs'!R$17,'2a Aggregate costs'!R43)*'3a Demand'!$C$9+'2a Aggregate costs'!R$18)</f>
        <v>110.38189529315571</v>
      </c>
      <c r="R20" s="109">
        <f>IF('2a Aggregate costs'!S$15="-","-",SUM('2a Aggregate costs'!S$15,'2a Aggregate costs'!S$16,'2a Aggregate costs'!S$17,'2a Aggregate costs'!S43)*'3a Demand'!$C$9+'2a Aggregate costs'!S$18)</f>
        <v>111.69260010496798</v>
      </c>
      <c r="S20" s="109">
        <f>IF('2a Aggregate costs'!T$15="-","-",SUM('2a Aggregate costs'!T$15,'2a Aggregate costs'!T$16,'2a Aggregate costs'!T$17,'2a Aggregate costs'!T43)*'3a Demand'!$C$9+'2a Aggregate costs'!T$18)</f>
        <v>114.88427922557452</v>
      </c>
      <c r="T20" s="109">
        <f>IF('2a Aggregate costs'!U$15="-","-",SUM('2a Aggregate costs'!U$15,'2a Aggregate costs'!U$16,'2a Aggregate costs'!U$17,'2a Aggregate costs'!U43)*'3a Demand'!$C$9+'2a Aggregate costs'!U$18)</f>
        <v>114.39954261523624</v>
      </c>
      <c r="U20" s="109">
        <f>IF('2a Aggregate costs'!V$15="-","-",SUM('2a Aggregate costs'!V$15,'2a Aggregate costs'!V$16,'2a Aggregate costs'!V$17,'2a Aggregate costs'!V43)*'3a Demand'!$C$9+'2a Aggregate costs'!V$18)</f>
        <v>121.02891942338647</v>
      </c>
      <c r="V20" s="109">
        <f>IF('2a Aggregate costs'!W$15="-","-",SUM('2a Aggregate costs'!W$15,'2a Aggregate costs'!W$16,'2a Aggregate costs'!W$17,'2a Aggregate costs'!W43)*'3a Demand'!$C$9+'2a Aggregate costs'!W$18)</f>
        <v>120.43876818656001</v>
      </c>
      <c r="W20" s="109">
        <f>IF('2a Aggregate costs'!X$15="-","-",SUM('2a Aggregate costs'!X$15,'2a Aggregate costs'!X$16,'2a Aggregate costs'!X$17,'2a Aggregate costs'!X43)*'3a Demand'!$C$9+'2a Aggregate costs'!X$18)</f>
        <v>126.54810698331491</v>
      </c>
      <c r="X20" s="87"/>
      <c r="Y20" s="109">
        <f>IF('2a Aggregate costs'!Z$15="-","-",SUM('2a Aggregate costs'!Z$15,'2a Aggregate costs'!Z$16,'2a Aggregate costs'!Z$17,'2a Aggregate costs'!Z43)*'3a Demand'!$C$9+'2a Aggregate costs'!Z$18)</f>
        <v>125.47467603525263</v>
      </c>
      <c r="Z20" s="109" t="str">
        <f>IF('2a Aggregate costs'!AA$15="-","-",SUM('2a Aggregate costs'!AA$15,'2a Aggregate costs'!AA$16,'2a Aggregate costs'!AA$17,'2a Aggregate costs'!AA43)*'3a Demand'!$C$9+'2a Aggregate costs'!AA$18)</f>
        <v>-</v>
      </c>
      <c r="AA20" s="109" t="str">
        <f>IF('2a Aggregate costs'!AB$15="-","-",SUM('2a Aggregate costs'!AB$15,'2a Aggregate costs'!AB$16,'2a Aggregate costs'!AB$17,'2a Aggregate costs'!AB43)*'3a Demand'!$C$9+'2a Aggregate costs'!AB$18)</f>
        <v>-</v>
      </c>
    </row>
    <row r="21" spans="1:27" ht="12.75" customHeight="1">
      <c r="A21" s="15"/>
      <c r="B21" s="282"/>
      <c r="C21" s="111" t="s">
        <v>145</v>
      </c>
      <c r="D21" s="276"/>
      <c r="E21" s="300"/>
      <c r="F21" s="87"/>
      <c r="G21" s="109">
        <f>IF('2a Aggregate costs'!H$15="-","-",SUM('2a Aggregate costs'!H$15,'2a Aggregate costs'!H$16,'2a Aggregate costs'!H$17,'2a Aggregate costs'!H44)*'3a Demand'!$C$9+'2a Aggregate costs'!H$18)</f>
        <v>68.560160005926562</v>
      </c>
      <c r="H21" s="109">
        <f>IF('2a Aggregate costs'!I$15="-","-",SUM('2a Aggregate costs'!I$15,'2a Aggregate costs'!I$16,'2a Aggregate costs'!I$17,'2a Aggregate costs'!I44)*'3a Demand'!$C$9+'2a Aggregate costs'!I$18)</f>
        <v>68.5400025320222</v>
      </c>
      <c r="I21" s="109">
        <f>IF('2a Aggregate costs'!J$15="-","-",SUM('2a Aggregate costs'!J$15,'2a Aggregate costs'!J$16,'2a Aggregate costs'!J$17,'2a Aggregate costs'!J44)*'3a Demand'!$C$9+'2a Aggregate costs'!J$18)</f>
        <v>83.609140118610185</v>
      </c>
      <c r="J21" s="109">
        <f>IF('2a Aggregate costs'!K$15="-","-",SUM('2a Aggregate costs'!K$15,'2a Aggregate costs'!K$16,'2a Aggregate costs'!K$17,'2a Aggregate costs'!K44)*'3a Demand'!$C$9+'2a Aggregate costs'!K$18)</f>
        <v>83.532055727240163</v>
      </c>
      <c r="K21" s="109">
        <f>IF('2a Aggregate costs'!L$15="-","-",SUM('2a Aggregate costs'!L$15,'2a Aggregate costs'!L$16,'2a Aggregate costs'!L$17,'2a Aggregate costs'!L44)*'3a Demand'!$C$9+'2a Aggregate costs'!L$18)</f>
        <v>88.911995076502734</v>
      </c>
      <c r="L21" s="109">
        <f>IF('2a Aggregate costs'!M$15="-","-",SUM('2a Aggregate costs'!M$15,'2a Aggregate costs'!M$16,'2a Aggregate costs'!M$17,'2a Aggregate costs'!M44)*'3a Demand'!$C$9+'2a Aggregate costs'!M$18)</f>
        <v>89.226855064505457</v>
      </c>
      <c r="M21" s="109">
        <f>IF('2a Aggregate costs'!N$15="-","-",SUM('2a Aggregate costs'!N$15,'2a Aggregate costs'!N$16,'2a Aggregate costs'!N$17,'2a Aggregate costs'!N44)*'3a Demand'!$C$9+'2a Aggregate costs'!N$18)</f>
        <v>103.19700321494943</v>
      </c>
      <c r="N21" s="109">
        <f>IF('2a Aggregate costs'!O$15="-","-",SUM('2a Aggregate costs'!O$15,'2a Aggregate costs'!O$16,'2a Aggregate costs'!O$17,'2a Aggregate costs'!O44)*'3a Demand'!$C$9+'2a Aggregate costs'!O$18)</f>
        <v>103.26633696858828</v>
      </c>
      <c r="O21" s="87"/>
      <c r="P21" s="109">
        <f>IF('2a Aggregate costs'!Q$15="-","-",SUM('2a Aggregate costs'!Q$15,'2a Aggregate costs'!Q$16,'2a Aggregate costs'!Q$17,'2a Aggregate costs'!Q44)*'3a Demand'!$C$9+'2a Aggregate costs'!Q$18)</f>
        <v>103.26633696858828</v>
      </c>
      <c r="Q21" s="109">
        <f>IF('2a Aggregate costs'!R$15="-","-",SUM('2a Aggregate costs'!R$15,'2a Aggregate costs'!R$16,'2a Aggregate costs'!R$17,'2a Aggregate costs'!R44)*'3a Demand'!$C$9+'2a Aggregate costs'!R$18)</f>
        <v>110.39805303597517</v>
      </c>
      <c r="R21" s="109">
        <f>IF('2a Aggregate costs'!S$15="-","-",SUM('2a Aggregate costs'!S$15,'2a Aggregate costs'!S$16,'2a Aggregate costs'!S$17,'2a Aggregate costs'!S44)*'3a Demand'!$C$9+'2a Aggregate costs'!S$18)</f>
        <v>111.709341177252</v>
      </c>
      <c r="S21" s="109">
        <f>IF('2a Aggregate costs'!T$15="-","-",SUM('2a Aggregate costs'!T$15,'2a Aggregate costs'!T$16,'2a Aggregate costs'!T$17,'2a Aggregate costs'!T44)*'3a Demand'!$C$9+'2a Aggregate costs'!T$18)</f>
        <v>114.90278601608806</v>
      </c>
      <c r="T21" s="109">
        <f>IF('2a Aggregate costs'!U$15="-","-",SUM('2a Aggregate costs'!U$15,'2a Aggregate costs'!U$16,'2a Aggregate costs'!U$17,'2a Aggregate costs'!U44)*'3a Demand'!$C$9+'2a Aggregate costs'!U$18)</f>
        <v>114.42039745696937</v>
      </c>
      <c r="U21" s="109">
        <f>IF('2a Aggregate costs'!V$15="-","-",SUM('2a Aggregate costs'!V$15,'2a Aggregate costs'!V$16,'2a Aggregate costs'!V$17,'2a Aggregate costs'!V44)*'3a Demand'!$C$9+'2a Aggregate costs'!V$18)</f>
        <v>121.04798172649346</v>
      </c>
      <c r="V21" s="109">
        <f>IF('2a Aggregate costs'!W$15="-","-",SUM('2a Aggregate costs'!W$15,'2a Aggregate costs'!W$16,'2a Aggregate costs'!W$17,'2a Aggregate costs'!W44)*'3a Demand'!$C$9+'2a Aggregate costs'!W$18)</f>
        <v>120.45651370700574</v>
      </c>
      <c r="W21" s="109">
        <f>IF('2a Aggregate costs'!X$15="-","-",SUM('2a Aggregate costs'!X$15,'2a Aggregate costs'!X$16,'2a Aggregate costs'!X$17,'2a Aggregate costs'!X44)*'3a Demand'!$C$9+'2a Aggregate costs'!X$18)</f>
        <v>126.56471480313334</v>
      </c>
      <c r="X21" s="87"/>
      <c r="Y21" s="109">
        <f>IF('2a Aggregate costs'!Z$15="-","-",SUM('2a Aggregate costs'!Z$15,'2a Aggregate costs'!Z$16,'2a Aggregate costs'!Z$17,'2a Aggregate costs'!Z44)*'3a Demand'!$C$9+'2a Aggregate costs'!Z$18)</f>
        <v>125.49062295772228</v>
      </c>
      <c r="Z21" s="109" t="str">
        <f>IF('2a Aggregate costs'!AA$15="-","-",SUM('2a Aggregate costs'!AA$15,'2a Aggregate costs'!AA$16,'2a Aggregate costs'!AA$17,'2a Aggregate costs'!AA44)*'3a Demand'!$C$9+'2a Aggregate costs'!AA$18)</f>
        <v>-</v>
      </c>
      <c r="AA21" s="109" t="str">
        <f>IF('2a Aggregate costs'!AB$15="-","-",SUM('2a Aggregate costs'!AB$15,'2a Aggregate costs'!AB$16,'2a Aggregate costs'!AB$17,'2a Aggregate costs'!AB44)*'3a Demand'!$C$9+'2a Aggregate costs'!AB$18)</f>
        <v>-</v>
      </c>
    </row>
    <row r="22" spans="1:27" ht="12.75" customHeight="1">
      <c r="A22" s="15"/>
      <c r="B22" s="282"/>
      <c r="C22" s="111" t="s">
        <v>146</v>
      </c>
      <c r="D22" s="276"/>
      <c r="E22" s="300"/>
      <c r="F22" s="29"/>
      <c r="G22" s="109">
        <f>IF('2a Aggregate costs'!H$15="-","-",SUM('2a Aggregate costs'!H$15,'2a Aggregate costs'!H$16,'2a Aggregate costs'!H$17,'2a Aggregate costs'!H45)*'3a Demand'!$C$9+'2a Aggregate costs'!H$18)</f>
        <v>68.547386682423578</v>
      </c>
      <c r="H22" s="109">
        <f>IF('2a Aggregate costs'!I$15="-","-",SUM('2a Aggregate costs'!I$15,'2a Aggregate costs'!I$16,'2a Aggregate costs'!I$17,'2a Aggregate costs'!I45)*'3a Demand'!$C$9+'2a Aggregate costs'!I$18)</f>
        <v>68.527434046559122</v>
      </c>
      <c r="I22" s="109">
        <f>IF('2a Aggregate costs'!J$15="-","-",SUM('2a Aggregate costs'!J$15,'2a Aggregate costs'!J$16,'2a Aggregate costs'!J$17,'2a Aggregate costs'!J45)*'3a Demand'!$C$9+'2a Aggregate costs'!J$18)</f>
        <v>83.596269989495994</v>
      </c>
      <c r="J22" s="109">
        <f>IF('2a Aggregate costs'!K$15="-","-",SUM('2a Aggregate costs'!K$15,'2a Aggregate costs'!K$16,'2a Aggregate costs'!K$17,'2a Aggregate costs'!K45)*'3a Demand'!$C$9+'2a Aggregate costs'!K$18)</f>
        <v>83.518628016940596</v>
      </c>
      <c r="K22" s="109">
        <f>IF('2a Aggregate costs'!L$15="-","-",SUM('2a Aggregate costs'!L$15,'2a Aggregate costs'!L$16,'2a Aggregate costs'!L$17,'2a Aggregate costs'!L45)*'3a Demand'!$C$9+'2a Aggregate costs'!L$18)</f>
        <v>88.898325667417765</v>
      </c>
      <c r="L22" s="109">
        <f>IF('2a Aggregate costs'!M$15="-","-",SUM('2a Aggregate costs'!M$15,'2a Aggregate costs'!M$16,'2a Aggregate costs'!M$17,'2a Aggregate costs'!M45)*'3a Demand'!$C$9+'2a Aggregate costs'!M$18)</f>
        <v>89.213434901451066</v>
      </c>
      <c r="M22" s="109">
        <f>IF('2a Aggregate costs'!N$15="-","-",SUM('2a Aggregate costs'!N$15,'2a Aggregate costs'!N$16,'2a Aggregate costs'!N$17,'2a Aggregate costs'!N45)*'3a Demand'!$C$9+'2a Aggregate costs'!N$18)</f>
        <v>103.18004779359447</v>
      </c>
      <c r="N22" s="109">
        <f>IF('2a Aggregate costs'!O$15="-","-",SUM('2a Aggregate costs'!O$15,'2a Aggregate costs'!O$16,'2a Aggregate costs'!O$17,'2a Aggregate costs'!O45)*'3a Demand'!$C$9+'2a Aggregate costs'!O$18)</f>
        <v>103.24900872090601</v>
      </c>
      <c r="O22" s="87"/>
      <c r="P22" s="109">
        <f>IF('2a Aggregate costs'!Q$15="-","-",SUM('2a Aggregate costs'!Q$15,'2a Aggregate costs'!Q$16,'2a Aggregate costs'!Q$17,'2a Aggregate costs'!Q45)*'3a Demand'!$C$9+'2a Aggregate costs'!Q$18)</f>
        <v>103.24900872090601</v>
      </c>
      <c r="Q22" s="109">
        <f>IF('2a Aggregate costs'!R$15="-","-",SUM('2a Aggregate costs'!R$15,'2a Aggregate costs'!R$16,'2a Aggregate costs'!R$17,'2a Aggregate costs'!R45)*'3a Demand'!$C$9+'2a Aggregate costs'!R$18)</f>
        <v>110.38013724600586</v>
      </c>
      <c r="R22" s="109">
        <f>IF('2a Aggregate costs'!S$15="-","-",SUM('2a Aggregate costs'!S$15,'2a Aggregate costs'!S$16,'2a Aggregate costs'!S$17,'2a Aggregate costs'!S45)*'3a Demand'!$C$9+'2a Aggregate costs'!S$18)</f>
        <v>111.6946549390581</v>
      </c>
      <c r="S22" s="109">
        <f>IF('2a Aggregate costs'!T$15="-","-",SUM('2a Aggregate costs'!T$15,'2a Aggregate costs'!T$16,'2a Aggregate costs'!T$17,'2a Aggregate costs'!T45)*'3a Demand'!$C$9+'2a Aggregate costs'!T$18)</f>
        <v>114.88906356222863</v>
      </c>
      <c r="T22" s="109">
        <f>IF('2a Aggregate costs'!U$15="-","-",SUM('2a Aggregate costs'!U$15,'2a Aggregate costs'!U$16,'2a Aggregate costs'!U$17,'2a Aggregate costs'!U45)*'3a Demand'!$C$9+'2a Aggregate costs'!U$18)</f>
        <v>114.40848643406545</v>
      </c>
      <c r="U22" s="109">
        <f>IF('2a Aggregate costs'!V$15="-","-",SUM('2a Aggregate costs'!V$15,'2a Aggregate costs'!V$16,'2a Aggregate costs'!V$17,'2a Aggregate costs'!V45)*'3a Demand'!$C$9+'2a Aggregate costs'!V$18)</f>
        <v>121.04212798149379</v>
      </c>
      <c r="V22" s="109">
        <f>IF('2a Aggregate costs'!W$15="-","-",SUM('2a Aggregate costs'!W$15,'2a Aggregate costs'!W$16,'2a Aggregate costs'!W$17,'2a Aggregate costs'!W45)*'3a Demand'!$C$9+'2a Aggregate costs'!W$18)</f>
        <v>120.44834141433503</v>
      </c>
      <c r="W22" s="109">
        <f>IF('2a Aggregate costs'!X$15="-","-",SUM('2a Aggregate costs'!X$15,'2a Aggregate costs'!X$16,'2a Aggregate costs'!X$17,'2a Aggregate costs'!X45)*'3a Demand'!$C$9+'2a Aggregate costs'!X$18)</f>
        <v>126.55616762721465</v>
      </c>
      <c r="X22" s="87"/>
      <c r="Y22" s="109">
        <f>IF('2a Aggregate costs'!Z$15="-","-",SUM('2a Aggregate costs'!Z$15,'2a Aggregate costs'!Z$16,'2a Aggregate costs'!Z$17,'2a Aggregate costs'!Z45)*'3a Demand'!$C$9+'2a Aggregate costs'!Z$18)</f>
        <v>125.48242988043961</v>
      </c>
      <c r="Z22" s="109" t="str">
        <f>IF('2a Aggregate costs'!AA$15="-","-",SUM('2a Aggregate costs'!AA$15,'2a Aggregate costs'!AA$16,'2a Aggregate costs'!AA$17,'2a Aggregate costs'!AA45)*'3a Demand'!$C$9+'2a Aggregate costs'!AA$18)</f>
        <v>-</v>
      </c>
      <c r="AA22" s="109" t="str">
        <f>IF('2a Aggregate costs'!AB$15="-","-",SUM('2a Aggregate costs'!AB$15,'2a Aggregate costs'!AB$16,'2a Aggregate costs'!AB$17,'2a Aggregate costs'!AB45)*'3a Demand'!$C$9+'2a Aggregate costs'!AB$18)</f>
        <v>-</v>
      </c>
    </row>
    <row r="23" spans="1:27" ht="12.75" customHeight="1">
      <c r="A23" s="15"/>
      <c r="B23" s="282"/>
      <c r="C23" s="111" t="s">
        <v>147</v>
      </c>
      <c r="D23" s="276"/>
      <c r="E23" s="300"/>
      <c r="F23" s="29"/>
      <c r="G23" s="109">
        <f>IF('2a Aggregate costs'!H$15="-","-",SUM('2a Aggregate costs'!H$15,'2a Aggregate costs'!H$16,'2a Aggregate costs'!H$17,'2a Aggregate costs'!H46)*'3a Demand'!$C$9+'2a Aggregate costs'!H$18)</f>
        <v>68.55579000687797</v>
      </c>
      <c r="H23" s="109">
        <f>IF('2a Aggregate costs'!I$15="-","-",SUM('2a Aggregate costs'!I$15,'2a Aggregate costs'!I$16,'2a Aggregate costs'!I$17,'2a Aggregate costs'!I46)*'3a Demand'!$C$9+'2a Aggregate costs'!I$18)</f>
        <v>68.535702611997237</v>
      </c>
      <c r="I23" s="109">
        <f>IF('2a Aggregate costs'!J$15="-","-",SUM('2a Aggregate costs'!J$15,'2a Aggregate costs'!J$16,'2a Aggregate costs'!J$17,'2a Aggregate costs'!J46)*'3a Demand'!$C$9+'2a Aggregate costs'!J$18)</f>
        <v>83.604737000504613</v>
      </c>
      <c r="J23" s="109">
        <f>IF('2a Aggregate costs'!K$15="-","-",SUM('2a Aggregate costs'!K$15,'2a Aggregate costs'!K$16,'2a Aggregate costs'!K$17,'2a Aggregate costs'!K46)*'3a Demand'!$C$9+'2a Aggregate costs'!K$18)</f>
        <v>83.527461849912925</v>
      </c>
      <c r="K23" s="109">
        <f>IF('2a Aggregate costs'!L$15="-","-",SUM('2a Aggregate costs'!L$15,'2a Aggregate costs'!L$16,'2a Aggregate costs'!L$17,'2a Aggregate costs'!L46)*'3a Demand'!$C$9+'2a Aggregate costs'!L$18)</f>
        <v>88.9073185093836</v>
      </c>
      <c r="L23" s="109">
        <f>IF('2a Aggregate costs'!M$15="-","-",SUM('2a Aggregate costs'!M$15,'2a Aggregate costs'!M$16,'2a Aggregate costs'!M$17,'2a Aggregate costs'!M46)*'3a Demand'!$C$9+'2a Aggregate costs'!M$18)</f>
        <v>89.22226376923561</v>
      </c>
      <c r="M23" s="109">
        <f>IF('2a Aggregate costs'!N$15="-","-",SUM('2a Aggregate costs'!N$15,'2a Aggregate costs'!N$16,'2a Aggregate costs'!N$17,'2a Aggregate costs'!N46)*'3a Demand'!$C$9+'2a Aggregate costs'!N$18)</f>
        <v>103.18509229444641</v>
      </c>
      <c r="N23" s="109">
        <f>IF('2a Aggregate costs'!O$15="-","-",SUM('2a Aggregate costs'!O$15,'2a Aggregate costs'!O$16,'2a Aggregate costs'!O$17,'2a Aggregate costs'!O46)*'3a Demand'!$C$9+'2a Aggregate costs'!O$18)</f>
        <v>103.25416414337329</v>
      </c>
      <c r="O23" s="87"/>
      <c r="P23" s="109">
        <f>IF('2a Aggregate costs'!Q$15="-","-",SUM('2a Aggregate costs'!Q$15,'2a Aggregate costs'!Q$16,'2a Aggregate costs'!Q$17,'2a Aggregate costs'!Q46)*'3a Demand'!$C$9+'2a Aggregate costs'!Q$18)</f>
        <v>103.25416414337329</v>
      </c>
      <c r="Q23" s="109">
        <f>IF('2a Aggregate costs'!R$15="-","-",SUM('2a Aggregate costs'!R$15,'2a Aggregate costs'!R$16,'2a Aggregate costs'!R$17,'2a Aggregate costs'!R46)*'3a Demand'!$C$9+'2a Aggregate costs'!R$18)</f>
        <v>110.38686246643424</v>
      </c>
      <c r="R23" s="109">
        <f>IF('2a Aggregate costs'!S$15="-","-",SUM('2a Aggregate costs'!S$15,'2a Aggregate costs'!S$16,'2a Aggregate costs'!S$17,'2a Aggregate costs'!S46)*'3a Demand'!$C$9+'2a Aggregate costs'!S$18)</f>
        <v>111.69774923055448</v>
      </c>
      <c r="S23" s="109">
        <f>IF('2a Aggregate costs'!T$15="-","-",SUM('2a Aggregate costs'!T$15,'2a Aggregate costs'!T$16,'2a Aggregate costs'!T$17,'2a Aggregate costs'!T46)*'3a Demand'!$C$9+'2a Aggregate costs'!T$18)</f>
        <v>114.8942978176965</v>
      </c>
      <c r="T23" s="109">
        <f>IF('2a Aggregate costs'!U$15="-","-",SUM('2a Aggregate costs'!U$15,'2a Aggregate costs'!U$16,'2a Aggregate costs'!U$17,'2a Aggregate costs'!U46)*'3a Demand'!$C$9+'2a Aggregate costs'!U$18)</f>
        <v>114.41085689696557</v>
      </c>
      <c r="U23" s="109">
        <f>IF('2a Aggregate costs'!V$15="-","-",SUM('2a Aggregate costs'!V$15,'2a Aggregate costs'!V$16,'2a Aggregate costs'!V$17,'2a Aggregate costs'!V46)*'3a Demand'!$C$9+'2a Aggregate costs'!V$18)</f>
        <v>121.04378830690989</v>
      </c>
      <c r="V23" s="109">
        <f>IF('2a Aggregate costs'!W$15="-","-",SUM('2a Aggregate costs'!W$15,'2a Aggregate costs'!W$16,'2a Aggregate costs'!W$17,'2a Aggregate costs'!W46)*'3a Demand'!$C$9+'2a Aggregate costs'!W$18)</f>
        <v>120.45263635701144</v>
      </c>
      <c r="W23" s="109">
        <f>IF('2a Aggregate costs'!X$15="-","-",SUM('2a Aggregate costs'!X$15,'2a Aggregate costs'!X$16,'2a Aggregate costs'!X$17,'2a Aggregate costs'!X46)*'3a Demand'!$C$9+'2a Aggregate costs'!X$18)</f>
        <v>126.56857488821802</v>
      </c>
      <c r="X23" s="87"/>
      <c r="Y23" s="109">
        <f>IF('2a Aggregate costs'!Z$15="-","-",SUM('2a Aggregate costs'!Z$15,'2a Aggregate costs'!Z$16,'2a Aggregate costs'!Z$17,'2a Aggregate costs'!Z46)*'3a Demand'!$C$9+'2a Aggregate costs'!Z$18)</f>
        <v>125.49433359294778</v>
      </c>
      <c r="Z23" s="109" t="str">
        <f>IF('2a Aggregate costs'!AA$15="-","-",SUM('2a Aggregate costs'!AA$15,'2a Aggregate costs'!AA$16,'2a Aggregate costs'!AA$17,'2a Aggregate costs'!AA46)*'3a Demand'!$C$9+'2a Aggregate costs'!AA$18)</f>
        <v>-</v>
      </c>
      <c r="AA23" s="109" t="str">
        <f>IF('2a Aggregate costs'!AB$15="-","-",SUM('2a Aggregate costs'!AB$15,'2a Aggregate costs'!AB$16,'2a Aggregate costs'!AB$17,'2a Aggregate costs'!AB46)*'3a Demand'!$C$9+'2a Aggregate costs'!AB$18)</f>
        <v>-</v>
      </c>
    </row>
    <row r="24" spans="1:27" ht="12.75" customHeight="1">
      <c r="A24" s="15"/>
      <c r="B24" s="282"/>
      <c r="C24" s="111" t="s">
        <v>148</v>
      </c>
      <c r="D24" s="276"/>
      <c r="E24" s="300"/>
      <c r="F24" s="29"/>
      <c r="G24" s="109">
        <f>IF('2a Aggregate costs'!H$15="-","-",SUM('2a Aggregate costs'!H$15,'2a Aggregate costs'!H$16,'2a Aggregate costs'!H$17,'2a Aggregate costs'!H47)*'3a Demand'!$C$9+'2a Aggregate costs'!H$18)</f>
        <v>68.551645969717612</v>
      </c>
      <c r="H24" s="109">
        <f>IF('2a Aggregate costs'!I$15="-","-",SUM('2a Aggregate costs'!I$15,'2a Aggregate costs'!I$16,'2a Aggregate costs'!I$17,'2a Aggregate costs'!I47)*'3a Demand'!$C$9+'2a Aggregate costs'!I$18)</f>
        <v>68.531625030246786</v>
      </c>
      <c r="I24" s="109">
        <f>IF('2a Aggregate costs'!J$15="-","-",SUM('2a Aggregate costs'!J$15,'2a Aggregate costs'!J$16,'2a Aggregate costs'!J$17,'2a Aggregate costs'!J47)*'3a Demand'!$C$9+'2a Aggregate costs'!J$18)</f>
        <v>83.600561556792172</v>
      </c>
      <c r="J24" s="109">
        <f>IF('2a Aggregate costs'!K$15="-","-",SUM('2a Aggregate costs'!K$15,'2a Aggregate costs'!K$16,'2a Aggregate costs'!K$17,'2a Aggregate costs'!K47)*'3a Demand'!$C$9+'2a Aggregate costs'!K$18)</f>
        <v>83.523105510668344</v>
      </c>
      <c r="K24" s="109">
        <f>IF('2a Aggregate costs'!L$15="-","-",SUM('2a Aggregate costs'!L$15,'2a Aggregate costs'!L$16,'2a Aggregate costs'!L$17,'2a Aggregate costs'!L47)*'3a Demand'!$C$9+'2a Aggregate costs'!L$18)</f>
        <v>88.902883756032622</v>
      </c>
      <c r="L24" s="109">
        <f>IF('2a Aggregate costs'!M$15="-","-",SUM('2a Aggregate costs'!M$15,'2a Aggregate costs'!M$16,'2a Aggregate costs'!M$17,'2a Aggregate costs'!M47)*'3a Demand'!$C$9+'2a Aggregate costs'!M$18)</f>
        <v>89.217909878536574</v>
      </c>
      <c r="M24" s="109">
        <f>IF('2a Aggregate costs'!N$15="-","-",SUM('2a Aggregate costs'!N$15,'2a Aggregate costs'!N$16,'2a Aggregate costs'!N$17,'2a Aggregate costs'!N47)*'3a Demand'!$C$9+'2a Aggregate costs'!N$18)</f>
        <v>103.18045219826936</v>
      </c>
      <c r="N24" s="109">
        <f>IF('2a Aggregate costs'!O$15="-","-",SUM('2a Aggregate costs'!O$15,'2a Aggregate costs'!O$16,'2a Aggregate costs'!O$17,'2a Aggregate costs'!O47)*'3a Demand'!$C$9+'2a Aggregate costs'!O$18)</f>
        <v>103.24942201788187</v>
      </c>
      <c r="O24" s="87"/>
      <c r="P24" s="109">
        <f>IF('2a Aggregate costs'!Q$15="-","-",SUM('2a Aggregate costs'!Q$15,'2a Aggregate costs'!Q$16,'2a Aggregate costs'!Q$17,'2a Aggregate costs'!Q47)*'3a Demand'!$C$9+'2a Aggregate costs'!Q$18)</f>
        <v>103.24942201788187</v>
      </c>
      <c r="Q24" s="109">
        <f>IF('2a Aggregate costs'!R$15="-","-",SUM('2a Aggregate costs'!R$15,'2a Aggregate costs'!R$16,'2a Aggregate costs'!R$17,'2a Aggregate costs'!R47)*'3a Demand'!$C$9+'2a Aggregate costs'!R$18)</f>
        <v>110.3805645564847</v>
      </c>
      <c r="R24" s="109">
        <f>IF('2a Aggregate costs'!S$15="-","-",SUM('2a Aggregate costs'!S$15,'2a Aggregate costs'!S$16,'2a Aggregate costs'!S$17,'2a Aggregate costs'!S47)*'3a Demand'!$C$9+'2a Aggregate costs'!S$18)</f>
        <v>111.69121919139204</v>
      </c>
      <c r="S24" s="109">
        <f>IF('2a Aggregate costs'!T$15="-","-",SUM('2a Aggregate costs'!T$15,'2a Aggregate costs'!T$16,'2a Aggregate costs'!T$17,'2a Aggregate costs'!T47)*'3a Demand'!$C$9+'2a Aggregate costs'!T$18)</f>
        <v>114.88219483508649</v>
      </c>
      <c r="T24" s="109">
        <f>IF('2a Aggregate costs'!U$15="-","-",SUM('2a Aggregate costs'!U$15,'2a Aggregate costs'!U$16,'2a Aggregate costs'!U$17,'2a Aggregate costs'!U47)*'3a Demand'!$C$9+'2a Aggregate costs'!U$18)</f>
        <v>114.39718367156834</v>
      </c>
      <c r="U24" s="109">
        <f>IF('2a Aggregate costs'!V$15="-","-",SUM('2a Aggregate costs'!V$15,'2a Aggregate costs'!V$16,'2a Aggregate costs'!V$17,'2a Aggregate costs'!V47)*'3a Demand'!$C$9+'2a Aggregate costs'!V$18)</f>
        <v>121.02601455728704</v>
      </c>
      <c r="V24" s="109">
        <f>IF('2a Aggregate costs'!W$15="-","-",SUM('2a Aggregate costs'!W$15,'2a Aggregate costs'!W$16,'2a Aggregate costs'!W$17,'2a Aggregate costs'!W47)*'3a Demand'!$C$9+'2a Aggregate costs'!W$18)</f>
        <v>120.43609497203327</v>
      </c>
      <c r="W24" s="109">
        <f>IF('2a Aggregate costs'!X$15="-","-",SUM('2a Aggregate costs'!X$15,'2a Aggregate costs'!X$16,'2a Aggregate costs'!X$17,'2a Aggregate costs'!X47)*'3a Demand'!$C$9+'2a Aggregate costs'!X$18)</f>
        <v>126.55825210065206</v>
      </c>
      <c r="X24" s="87"/>
      <c r="Y24" s="109">
        <f>IF('2a Aggregate costs'!Z$15="-","-",SUM('2a Aggregate costs'!Z$15,'2a Aggregate costs'!Z$16,'2a Aggregate costs'!Z$17,'2a Aggregate costs'!Z47)*'3a Demand'!$C$9+'2a Aggregate costs'!Z$18)</f>
        <v>125.48442905317013</v>
      </c>
      <c r="Z24" s="109" t="str">
        <f>IF('2a Aggregate costs'!AA$15="-","-",SUM('2a Aggregate costs'!AA$15,'2a Aggregate costs'!AA$16,'2a Aggregate costs'!AA$17,'2a Aggregate costs'!AA47)*'3a Demand'!$C$9+'2a Aggregate costs'!AA$18)</f>
        <v>-</v>
      </c>
      <c r="AA24" s="109" t="str">
        <f>IF('2a Aggregate costs'!AB$15="-","-",SUM('2a Aggregate costs'!AB$15,'2a Aggregate costs'!AB$16,'2a Aggregate costs'!AB$17,'2a Aggregate costs'!AB47)*'3a Demand'!$C$9+'2a Aggregate costs'!AB$18)</f>
        <v>-</v>
      </c>
    </row>
    <row r="25" spans="1:27" ht="12.75" customHeight="1">
      <c r="A25" s="15"/>
      <c r="B25" s="282"/>
      <c r="C25" s="111" t="s">
        <v>149</v>
      </c>
      <c r="D25" s="276"/>
      <c r="E25" s="300"/>
      <c r="F25" s="29"/>
      <c r="G25" s="109">
        <f>IF('2a Aggregate costs'!H$15="-","-",SUM('2a Aggregate costs'!H$15,'2a Aggregate costs'!H$16,'2a Aggregate costs'!H$17,'2a Aggregate costs'!H48)*'3a Demand'!$C$9+'2a Aggregate costs'!H$18)</f>
        <v>68.539550896779375</v>
      </c>
      <c r="H25" s="109">
        <f>IF('2a Aggregate costs'!I$15="-","-",SUM('2a Aggregate costs'!I$15,'2a Aggregate costs'!I$16,'2a Aggregate costs'!I$17,'2a Aggregate costs'!I48)*'3a Demand'!$C$9+'2a Aggregate costs'!I$18)</f>
        <v>68.5197239186556</v>
      </c>
      <c r="I25" s="109">
        <f>IF('2a Aggregate costs'!J$15="-","-",SUM('2a Aggregate costs'!J$15,'2a Aggregate costs'!J$16,'2a Aggregate costs'!J$17,'2a Aggregate costs'!J48)*'3a Demand'!$C$9+'2a Aggregate costs'!J$18)</f>
        <v>83.588374818522794</v>
      </c>
      <c r="J25" s="109">
        <f>IF('2a Aggregate costs'!K$15="-","-",SUM('2a Aggregate costs'!K$15,'2a Aggregate costs'!K$16,'2a Aggregate costs'!K$17,'2a Aggregate costs'!K48)*'3a Demand'!$C$9+'2a Aggregate costs'!K$18)</f>
        <v>83.510390798210835</v>
      </c>
      <c r="K25" s="109">
        <f>IF('2a Aggregate costs'!L$15="-","-",SUM('2a Aggregate costs'!L$15,'2a Aggregate costs'!L$16,'2a Aggregate costs'!L$17,'2a Aggregate costs'!L48)*'3a Demand'!$C$9+'2a Aggregate costs'!L$18)</f>
        <v>88.889940178750891</v>
      </c>
      <c r="L25" s="109">
        <f>IF('2a Aggregate costs'!M$15="-","-",SUM('2a Aggregate costs'!M$15,'2a Aggregate costs'!M$16,'2a Aggregate costs'!M$17,'2a Aggregate costs'!M48)*'3a Demand'!$C$9+'2a Aggregate costs'!M$18)</f>
        <v>89.205202312573178</v>
      </c>
      <c r="M25" s="109">
        <f>IF('2a Aggregate costs'!N$15="-","-",SUM('2a Aggregate costs'!N$15,'2a Aggregate costs'!N$16,'2a Aggregate costs'!N$17,'2a Aggregate costs'!N48)*'3a Demand'!$C$9+'2a Aggregate costs'!N$18)</f>
        <v>103.17088658516163</v>
      </c>
      <c r="N25" s="109">
        <f>IF('2a Aggregate costs'!O$15="-","-",SUM('2a Aggregate costs'!O$15,'2a Aggregate costs'!O$16,'2a Aggregate costs'!O$17,'2a Aggregate costs'!O48)*'3a Demand'!$C$9+'2a Aggregate costs'!O$18)</f>
        <v>103.23964607013669</v>
      </c>
      <c r="O25" s="87"/>
      <c r="P25" s="109">
        <f>IF('2a Aggregate costs'!Q$15="-","-",SUM('2a Aggregate costs'!Q$15,'2a Aggregate costs'!Q$16,'2a Aggregate costs'!Q$17,'2a Aggregate costs'!Q48)*'3a Demand'!$C$9+'2a Aggregate costs'!Q$18)</f>
        <v>103.23964607013669</v>
      </c>
      <c r="Q25" s="109">
        <f>IF('2a Aggregate costs'!R$15="-","-",SUM('2a Aggregate costs'!R$15,'2a Aggregate costs'!R$16,'2a Aggregate costs'!R$17,'2a Aggregate costs'!R48)*'3a Demand'!$C$9+'2a Aggregate costs'!R$18)</f>
        <v>110.37504353598116</v>
      </c>
      <c r="R25" s="109">
        <f>IF('2a Aggregate costs'!S$15="-","-",SUM('2a Aggregate costs'!S$15,'2a Aggregate costs'!S$16,'2a Aggregate costs'!S$17,'2a Aggregate costs'!S48)*'3a Demand'!$C$9+'2a Aggregate costs'!S$18)</f>
        <v>111.68549842027564</v>
      </c>
      <c r="S25" s="109">
        <f>IF('2a Aggregate costs'!T$15="-","-",SUM('2a Aggregate costs'!T$15,'2a Aggregate costs'!T$16,'2a Aggregate costs'!T$17,'2a Aggregate costs'!T48)*'3a Demand'!$C$9+'2a Aggregate costs'!T$18)</f>
        <v>114.87963726752957</v>
      </c>
      <c r="T25" s="109">
        <f>IF('2a Aggregate costs'!U$15="-","-",SUM('2a Aggregate costs'!U$15,'2a Aggregate costs'!U$16,'2a Aggregate costs'!U$17,'2a Aggregate costs'!U48)*'3a Demand'!$C$9+'2a Aggregate costs'!U$18)</f>
        <v>114.39430782369746</v>
      </c>
      <c r="U25" s="109">
        <f>IF('2a Aggregate costs'!V$15="-","-",SUM('2a Aggregate costs'!V$15,'2a Aggregate costs'!V$16,'2a Aggregate costs'!V$17,'2a Aggregate costs'!V48)*'3a Demand'!$C$9+'2a Aggregate costs'!V$18)</f>
        <v>121.01750784944342</v>
      </c>
      <c r="V25" s="109">
        <f>IF('2a Aggregate costs'!W$15="-","-",SUM('2a Aggregate costs'!W$15,'2a Aggregate costs'!W$16,'2a Aggregate costs'!W$17,'2a Aggregate costs'!W48)*'3a Demand'!$C$9+'2a Aggregate costs'!W$18)</f>
        <v>120.42817308134462</v>
      </c>
      <c r="W25" s="109">
        <f>IF('2a Aggregate costs'!X$15="-","-",SUM('2a Aggregate costs'!X$15,'2a Aggregate costs'!X$16,'2a Aggregate costs'!X$17,'2a Aggregate costs'!X48)*'3a Demand'!$C$9+'2a Aggregate costs'!X$18)</f>
        <v>126.53507412297992</v>
      </c>
      <c r="X25" s="87"/>
      <c r="Y25" s="109">
        <f>IF('2a Aggregate costs'!Z$15="-","-",SUM('2a Aggregate costs'!Z$15,'2a Aggregate costs'!Z$16,'2a Aggregate costs'!Z$17,'2a Aggregate costs'!Z48)*'3a Demand'!$C$9+'2a Aggregate costs'!Z$18)</f>
        <v>125.46212437900067</v>
      </c>
      <c r="Z25" s="109" t="str">
        <f>IF('2a Aggregate costs'!AA$15="-","-",SUM('2a Aggregate costs'!AA$15,'2a Aggregate costs'!AA$16,'2a Aggregate costs'!AA$17,'2a Aggregate costs'!AA48)*'3a Demand'!$C$9+'2a Aggregate costs'!AA$18)</f>
        <v>-</v>
      </c>
      <c r="AA25" s="109" t="str">
        <f>IF('2a Aggregate costs'!AB$15="-","-",SUM('2a Aggregate costs'!AB$15,'2a Aggregate costs'!AB$16,'2a Aggregate costs'!AB$17,'2a Aggregate costs'!AB48)*'3a Demand'!$C$9+'2a Aggregate costs'!AB$18)</f>
        <v>-</v>
      </c>
    </row>
    <row r="26" spans="1:27" ht="12.75" customHeight="1">
      <c r="A26" s="15"/>
      <c r="B26" s="282"/>
      <c r="C26" s="111" t="s">
        <v>150</v>
      </c>
      <c r="D26" s="276"/>
      <c r="E26" s="300"/>
      <c r="F26" s="29"/>
      <c r="G26" s="109">
        <f>IF('2a Aggregate costs'!H$15="-","-",SUM('2a Aggregate costs'!H$15,'2a Aggregate costs'!H$16,'2a Aggregate costs'!H$17,'2a Aggregate costs'!H49)*'3a Demand'!$C$9+'2a Aggregate costs'!H$18)</f>
        <v>68.566257480138134</v>
      </c>
      <c r="H26" s="109">
        <f>IF('2a Aggregate costs'!I$15="-","-",SUM('2a Aggregate costs'!I$15,'2a Aggregate costs'!I$16,'2a Aggregate costs'!I$17,'2a Aggregate costs'!I49)*'3a Demand'!$C$9+'2a Aggregate costs'!I$18)</f>
        <v>68.54600222473897</v>
      </c>
      <c r="I26" s="109">
        <f>IF('2a Aggregate costs'!J$15="-","-",SUM('2a Aggregate costs'!J$15,'2a Aggregate costs'!J$16,'2a Aggregate costs'!J$17,'2a Aggregate costs'!J49)*'3a Demand'!$C$9+'2a Aggregate costs'!J$18)</f>
        <v>83.615283803952153</v>
      </c>
      <c r="J26" s="109">
        <f>IF('2a Aggregate costs'!K$15="-","-",SUM('2a Aggregate costs'!K$15,'2a Aggregate costs'!K$16,'2a Aggregate costs'!K$17,'2a Aggregate costs'!K49)*'3a Demand'!$C$9+'2a Aggregate costs'!K$18)</f>
        <v>83.538465579558803</v>
      </c>
      <c r="K26" s="109">
        <f>IF('2a Aggregate costs'!L$15="-","-",SUM('2a Aggregate costs'!L$15,'2a Aggregate costs'!L$16,'2a Aggregate costs'!L$17,'2a Aggregate costs'!L49)*'3a Demand'!$C$9+'2a Aggregate costs'!L$18)</f>
        <v>88.918520306163103</v>
      </c>
      <c r="L26" s="109">
        <f>IF('2a Aggregate costs'!M$15="-","-",SUM('2a Aggregate costs'!M$15,'2a Aggregate costs'!M$16,'2a Aggregate costs'!M$17,'2a Aggregate costs'!M49)*'3a Demand'!$C$9+'2a Aggregate costs'!M$18)</f>
        <v>89.23326131407083</v>
      </c>
      <c r="M26" s="109">
        <f>IF('2a Aggregate costs'!N$15="-","-",SUM('2a Aggregate costs'!N$15,'2a Aggregate costs'!N$16,'2a Aggregate costs'!N$17,'2a Aggregate costs'!N49)*'3a Demand'!$C$9+'2a Aggregate costs'!N$18)</f>
        <v>103.19313190317045</v>
      </c>
      <c r="N26" s="109">
        <f>IF('2a Aggregate costs'!O$15="-","-",SUM('2a Aggregate costs'!O$15,'2a Aggregate costs'!O$16,'2a Aggregate costs'!O$17,'2a Aggregate costs'!O49)*'3a Demand'!$C$9+'2a Aggregate costs'!O$18)</f>
        <v>103.26238053200336</v>
      </c>
      <c r="O26" s="87"/>
      <c r="P26" s="109">
        <f>IF('2a Aggregate costs'!Q$15="-","-",SUM('2a Aggregate costs'!Q$15,'2a Aggregate costs'!Q$16,'2a Aggregate costs'!Q$17,'2a Aggregate costs'!Q49)*'3a Demand'!$C$9+'2a Aggregate costs'!Q$18)</f>
        <v>103.26238053200336</v>
      </c>
      <c r="Q26" s="109">
        <f>IF('2a Aggregate costs'!R$15="-","-",SUM('2a Aggregate costs'!R$15,'2a Aggregate costs'!R$16,'2a Aggregate costs'!R$17,'2a Aggregate costs'!R49)*'3a Demand'!$C$9+'2a Aggregate costs'!R$18)</f>
        <v>110.39362986281387</v>
      </c>
      <c r="R26" s="109">
        <f>IF('2a Aggregate costs'!S$15="-","-",SUM('2a Aggregate costs'!S$15,'2a Aggregate costs'!S$16,'2a Aggregate costs'!S$17,'2a Aggregate costs'!S49)*'3a Demand'!$C$9+'2a Aggregate costs'!S$18)</f>
        <v>111.70476541113041</v>
      </c>
      <c r="S26" s="109">
        <f>IF('2a Aggregate costs'!T$15="-","-",SUM('2a Aggregate costs'!T$15,'2a Aggregate costs'!T$16,'2a Aggregate costs'!T$17,'2a Aggregate costs'!T49)*'3a Demand'!$C$9+'2a Aggregate costs'!T$18)</f>
        <v>114.9046356255967</v>
      </c>
      <c r="T26" s="109">
        <f>IF('2a Aggregate costs'!U$15="-","-",SUM('2a Aggregate costs'!U$15,'2a Aggregate costs'!U$16,'2a Aggregate costs'!U$17,'2a Aggregate costs'!U49)*'3a Demand'!$C$9+'2a Aggregate costs'!U$18)</f>
        <v>114.42248377213858</v>
      </c>
      <c r="U26" s="109">
        <f>IF('2a Aggregate costs'!V$15="-","-",SUM('2a Aggregate costs'!V$15,'2a Aggregate costs'!V$16,'2a Aggregate costs'!V$17,'2a Aggregate costs'!V49)*'3a Demand'!$C$9+'2a Aggregate costs'!V$18)</f>
        <v>121.06347608883701</v>
      </c>
      <c r="V26" s="109">
        <f>IF('2a Aggregate costs'!W$15="-","-",SUM('2a Aggregate costs'!W$15,'2a Aggregate costs'!W$16,'2a Aggregate costs'!W$17,'2a Aggregate costs'!W49)*'3a Demand'!$C$9+'2a Aggregate costs'!W$18)</f>
        <v>120.47092116189678</v>
      </c>
      <c r="W26" s="109">
        <f>IF('2a Aggregate costs'!X$15="-","-",SUM('2a Aggregate costs'!X$15,'2a Aggregate costs'!X$16,'2a Aggregate costs'!X$17,'2a Aggregate costs'!X49)*'3a Demand'!$C$9+'2a Aggregate costs'!X$18)</f>
        <v>126.58490194252974</v>
      </c>
      <c r="X26" s="87"/>
      <c r="Y26" s="109">
        <f>IF('2a Aggregate costs'!Z$15="-","-",SUM('2a Aggregate costs'!Z$15,'2a Aggregate costs'!Z$16,'2a Aggregate costs'!Z$17,'2a Aggregate costs'!Z49)*'3a Demand'!$C$9+'2a Aggregate costs'!Z$18)</f>
        <v>125.51006076194567</v>
      </c>
      <c r="Z26" s="109" t="str">
        <f>IF('2a Aggregate costs'!AA$15="-","-",SUM('2a Aggregate costs'!AA$15,'2a Aggregate costs'!AA$16,'2a Aggregate costs'!AA$17,'2a Aggregate costs'!AA49)*'3a Demand'!$C$9+'2a Aggregate costs'!AA$18)</f>
        <v>-</v>
      </c>
      <c r="AA26" s="109" t="str">
        <f>IF('2a Aggregate costs'!AB$15="-","-",SUM('2a Aggregate costs'!AB$15,'2a Aggregate costs'!AB$16,'2a Aggregate costs'!AB$17,'2a Aggregate costs'!AB49)*'3a Demand'!$C$9+'2a Aggregate costs'!AB$18)</f>
        <v>-</v>
      </c>
    </row>
    <row r="27" spans="1:27" ht="12.75" customHeight="1">
      <c r="A27" s="15"/>
      <c r="B27" s="282"/>
      <c r="C27" s="111" t="s">
        <v>151</v>
      </c>
      <c r="D27" s="276"/>
      <c r="E27" s="300"/>
      <c r="F27" s="29"/>
      <c r="G27" s="109">
        <f>IF('2a Aggregate costs'!H$15="-","-",SUM('2a Aggregate costs'!H$15,'2a Aggregate costs'!H$16,'2a Aggregate costs'!H$17,'2a Aggregate costs'!H50)*'3a Demand'!$C$9+'2a Aggregate costs'!H$18)</f>
        <v>68.561272633346178</v>
      </c>
      <c r="H27" s="109">
        <f>IF('2a Aggregate costs'!I$15="-","-",SUM('2a Aggregate costs'!I$15,'2a Aggregate costs'!I$16,'2a Aggregate costs'!I$17,'2a Aggregate costs'!I50)*'3a Demand'!$C$9+'2a Aggregate costs'!I$18)</f>
        <v>68.541097316910879</v>
      </c>
      <c r="I27" s="109">
        <f>IF('2a Aggregate costs'!J$15="-","-",SUM('2a Aggregate costs'!J$15,'2a Aggregate costs'!J$16,'2a Aggregate costs'!J$17,'2a Aggregate costs'!J50)*'3a Demand'!$C$9+'2a Aggregate costs'!J$18)</f>
        <v>83.610261178336188</v>
      </c>
      <c r="J27" s="109">
        <f>IF('2a Aggregate costs'!K$15="-","-",SUM('2a Aggregate costs'!K$15,'2a Aggregate costs'!K$16,'2a Aggregate costs'!K$17,'2a Aggregate costs'!K50)*'3a Demand'!$C$9+'2a Aggregate costs'!K$18)</f>
        <v>83.533225355384204</v>
      </c>
      <c r="K27" s="109">
        <f>IF('2a Aggregate costs'!L$15="-","-",SUM('2a Aggregate costs'!L$15,'2a Aggregate costs'!L$16,'2a Aggregate costs'!L$17,'2a Aggregate costs'!L50)*'3a Demand'!$C$9+'2a Aggregate costs'!L$18)</f>
        <v>88.913185757953372</v>
      </c>
      <c r="L27" s="109">
        <f>IF('2a Aggregate costs'!M$15="-","-",SUM('2a Aggregate costs'!M$15,'2a Aggregate costs'!M$16,'2a Aggregate costs'!M$17,'2a Aggregate costs'!M50)*'3a Demand'!$C$9+'2a Aggregate costs'!M$18)</f>
        <v>89.228024035242527</v>
      </c>
      <c r="M27" s="109">
        <f>IF('2a Aggregate costs'!N$15="-","-",SUM('2a Aggregate costs'!N$15,'2a Aggregate costs'!N$16,'2a Aggregate costs'!N$17,'2a Aggregate costs'!N50)*'3a Demand'!$C$9+'2a Aggregate costs'!N$18)</f>
        <v>103.20172610134659</v>
      </c>
      <c r="N27" s="109">
        <f>IF('2a Aggregate costs'!O$15="-","-",SUM('2a Aggregate costs'!O$15,'2a Aggregate costs'!O$16,'2a Aggregate costs'!O$17,'2a Aggregate costs'!O50)*'3a Demand'!$C$9+'2a Aggregate costs'!O$18)</f>
        <v>103.27116370474258</v>
      </c>
      <c r="O27" s="87"/>
      <c r="P27" s="109">
        <f>IF('2a Aggregate costs'!Q$15="-","-",SUM('2a Aggregate costs'!Q$15,'2a Aggregate costs'!Q$16,'2a Aggregate costs'!Q$17,'2a Aggregate costs'!Q50)*'3a Demand'!$C$9+'2a Aggregate costs'!Q$18)</f>
        <v>103.27116370474258</v>
      </c>
      <c r="Q27" s="109">
        <f>IF('2a Aggregate costs'!R$15="-","-",SUM('2a Aggregate costs'!R$15,'2a Aggregate costs'!R$16,'2a Aggregate costs'!R$17,'2a Aggregate costs'!R50)*'3a Demand'!$C$9+'2a Aggregate costs'!R$18)</f>
        <v>110.40261218544866</v>
      </c>
      <c r="R27" s="109">
        <f>IF('2a Aggregate costs'!S$15="-","-",SUM('2a Aggregate costs'!S$15,'2a Aggregate costs'!S$16,'2a Aggregate costs'!S$17,'2a Aggregate costs'!S50)*'3a Demand'!$C$9+'2a Aggregate costs'!S$18)</f>
        <v>111.71407723629213</v>
      </c>
      <c r="S27" s="109">
        <f>IF('2a Aggregate costs'!T$15="-","-",SUM('2a Aggregate costs'!T$15,'2a Aggregate costs'!T$16,'2a Aggregate costs'!T$17,'2a Aggregate costs'!T50)*'3a Demand'!$C$9+'2a Aggregate costs'!T$18)</f>
        <v>114.90968574928812</v>
      </c>
      <c r="T27" s="109">
        <f>IF('2a Aggregate costs'!U$15="-","-",SUM('2a Aggregate costs'!U$15,'2a Aggregate costs'!U$16,'2a Aggregate costs'!U$17,'2a Aggregate costs'!U50)*'3a Demand'!$C$9+'2a Aggregate costs'!U$18)</f>
        <v>114.42817758934933</v>
      </c>
      <c r="U27" s="109">
        <f>IF('2a Aggregate costs'!V$15="-","-",SUM('2a Aggregate costs'!V$15,'2a Aggregate costs'!V$16,'2a Aggregate costs'!V$17,'2a Aggregate costs'!V50)*'3a Demand'!$C$9+'2a Aggregate costs'!V$18)</f>
        <v>121.07147261883324</v>
      </c>
      <c r="V27" s="109">
        <f>IF('2a Aggregate costs'!W$15="-","-",SUM('2a Aggregate costs'!W$15,'2a Aggregate costs'!W$16,'2a Aggregate costs'!W$17,'2a Aggregate costs'!W50)*'3a Demand'!$C$9+'2a Aggregate costs'!W$18)</f>
        <v>120.47834809609292</v>
      </c>
      <c r="W27" s="109">
        <f>IF('2a Aggregate costs'!X$15="-","-",SUM('2a Aggregate costs'!X$15,'2a Aggregate costs'!X$16,'2a Aggregate costs'!X$17,'2a Aggregate costs'!X50)*'3a Demand'!$C$9+'2a Aggregate costs'!X$18)</f>
        <v>126.59583342312249</v>
      </c>
      <c r="X27" s="87"/>
      <c r="Y27" s="109">
        <f>IF('2a Aggregate costs'!Z$15="-","-",SUM('2a Aggregate costs'!Z$15,'2a Aggregate costs'!Z$16,'2a Aggregate costs'!Z$17,'2a Aggregate costs'!Z50)*'3a Demand'!$C$9+'2a Aggregate costs'!Z$18)</f>
        <v>125.52059600569815</v>
      </c>
      <c r="Z27" s="109" t="str">
        <f>IF('2a Aggregate costs'!AA$15="-","-",SUM('2a Aggregate costs'!AA$15,'2a Aggregate costs'!AA$16,'2a Aggregate costs'!AA$17,'2a Aggregate costs'!AA50)*'3a Demand'!$C$9+'2a Aggregate costs'!AA$18)</f>
        <v>-</v>
      </c>
      <c r="AA27" s="109" t="str">
        <f>IF('2a Aggregate costs'!AB$15="-","-",SUM('2a Aggregate costs'!AB$15,'2a Aggregate costs'!AB$16,'2a Aggregate costs'!AB$17,'2a Aggregate costs'!AB50)*'3a Demand'!$C$9+'2a Aggregate costs'!AB$18)</f>
        <v>-</v>
      </c>
    </row>
    <row r="28" spans="1:27" ht="12.75" customHeight="1">
      <c r="A28" s="15"/>
      <c r="B28" s="299"/>
      <c r="C28" s="111" t="s">
        <v>152</v>
      </c>
      <c r="D28" s="276"/>
      <c r="E28" s="300"/>
      <c r="F28" s="29"/>
      <c r="G28" s="109">
        <f>IF('2a Aggregate costs'!H$15="-","-",SUM('2a Aggregate costs'!H$15,'2a Aggregate costs'!H$16,'2a Aggregate costs'!H$17,'2a Aggregate costs'!H51)*'3a Demand'!$C$9+'2a Aggregate costs'!H$18)</f>
        <v>68.561535547115341</v>
      </c>
      <c r="H28" s="109">
        <f>IF('2a Aggregate costs'!I$15="-","-",SUM('2a Aggregate costs'!I$15,'2a Aggregate costs'!I$16,'2a Aggregate costs'!I$17,'2a Aggregate costs'!I51)*'3a Demand'!$C$9+'2a Aggregate costs'!I$18)</f>
        <v>68.541356014491441</v>
      </c>
      <c r="I28" s="109">
        <f>IF('2a Aggregate costs'!J$15="-","-",SUM('2a Aggregate costs'!J$15,'2a Aggregate costs'!J$16,'2a Aggregate costs'!J$17,'2a Aggregate costs'!J51)*'3a Demand'!$C$9+'2a Aggregate costs'!J$18)</f>
        <v>83.610526084658687</v>
      </c>
      <c r="J28" s="109">
        <f>IF('2a Aggregate costs'!K$15="-","-",SUM('2a Aggregate costs'!K$15,'2a Aggregate costs'!K$16,'2a Aggregate costs'!K$17,'2a Aggregate costs'!K51)*'3a Demand'!$C$9+'2a Aggregate costs'!K$18)</f>
        <v>83.533501738419957</v>
      </c>
      <c r="K28" s="109">
        <f>IF('2a Aggregate costs'!L$15="-","-",SUM('2a Aggregate costs'!L$15,'2a Aggregate costs'!L$16,'2a Aggregate costs'!L$17,'2a Aggregate costs'!L51)*'3a Demand'!$C$9+'2a Aggregate costs'!L$18)</f>
        <v>88.913467115883748</v>
      </c>
      <c r="L28" s="109">
        <f>IF('2a Aggregate costs'!M$15="-","-",SUM('2a Aggregate costs'!M$15,'2a Aggregate costs'!M$16,'2a Aggregate costs'!M$17,'2a Aggregate costs'!M51)*'3a Demand'!$C$9+'2a Aggregate costs'!M$18)</f>
        <v>89.228300262933061</v>
      </c>
      <c r="M28" s="109">
        <f>IF('2a Aggregate costs'!N$15="-","-",SUM('2a Aggregate costs'!N$15,'2a Aggregate costs'!N$16,'2a Aggregate costs'!N$17,'2a Aggregate costs'!N51)*'3a Demand'!$C$9+'2a Aggregate costs'!N$18)</f>
        <v>103.1975772857277</v>
      </c>
      <c r="N28" s="109">
        <f>IF('2a Aggregate costs'!O$15="-","-",SUM('2a Aggregate costs'!O$15,'2a Aggregate costs'!O$16,'2a Aggregate costs'!O$17,'2a Aggregate costs'!O51)*'3a Demand'!$C$9+'2a Aggregate costs'!O$18)</f>
        <v>103.26692366239108</v>
      </c>
      <c r="O28" s="87"/>
      <c r="P28" s="109">
        <f>IF('2a Aggregate costs'!Q$15="-","-",SUM('2a Aggregate costs'!Q$15,'2a Aggregate costs'!Q$16,'2a Aggregate costs'!Q$17,'2a Aggregate costs'!Q51)*'3a Demand'!$C$9+'2a Aggregate costs'!Q$18)</f>
        <v>103.26692366239108</v>
      </c>
      <c r="Q28" s="109">
        <f>IF('2a Aggregate costs'!R$15="-","-",SUM('2a Aggregate costs'!R$15,'2a Aggregate costs'!R$16,'2a Aggregate costs'!R$17,'2a Aggregate costs'!R51)*'3a Demand'!$C$9+'2a Aggregate costs'!R$18)</f>
        <v>110.39865962258104</v>
      </c>
      <c r="R28" s="109">
        <f>IF('2a Aggregate costs'!S$15="-","-",SUM('2a Aggregate costs'!S$15,'2a Aggregate costs'!S$16,'2a Aggregate costs'!S$17,'2a Aggregate costs'!S51)*'3a Demand'!$C$9+'2a Aggregate costs'!S$18)</f>
        <v>111.70578352345682</v>
      </c>
      <c r="S28" s="109">
        <f>IF('2a Aggregate costs'!T$15="-","-",SUM('2a Aggregate costs'!T$15,'2a Aggregate costs'!T$16,'2a Aggregate costs'!T$17,'2a Aggregate costs'!T51)*'3a Demand'!$C$9+'2a Aggregate costs'!T$18)</f>
        <v>114.90052002495398</v>
      </c>
      <c r="T28" s="109">
        <f>IF('2a Aggregate costs'!U$15="-","-",SUM('2a Aggregate costs'!U$15,'2a Aggregate costs'!U$16,'2a Aggregate costs'!U$17,'2a Aggregate costs'!U51)*'3a Demand'!$C$9+'2a Aggregate costs'!U$18)</f>
        <v>114.42647410138612</v>
      </c>
      <c r="U28" s="109">
        <f>IF('2a Aggregate costs'!V$15="-","-",SUM('2a Aggregate costs'!V$15,'2a Aggregate costs'!V$16,'2a Aggregate costs'!V$17,'2a Aggregate costs'!V51)*'3a Demand'!$C$9+'2a Aggregate costs'!V$18)</f>
        <v>121.06777152784824</v>
      </c>
      <c r="V28" s="109">
        <f>IF('2a Aggregate costs'!W$15="-","-",SUM('2a Aggregate costs'!W$15,'2a Aggregate costs'!W$16,'2a Aggregate costs'!W$17,'2a Aggregate costs'!W51)*'3a Demand'!$C$9+'2a Aggregate costs'!W$18)</f>
        <v>120.48357221108611</v>
      </c>
      <c r="W28" s="109">
        <f>IF('2a Aggregate costs'!X$15="-","-",SUM('2a Aggregate costs'!X$15,'2a Aggregate costs'!X$16,'2a Aggregate costs'!X$17,'2a Aggregate costs'!X51)*'3a Demand'!$C$9+'2a Aggregate costs'!X$18)</f>
        <v>126.59301454762269</v>
      </c>
      <c r="X28" s="87"/>
      <c r="Y28" s="109">
        <f>IF('2a Aggregate costs'!Z$15="-","-",SUM('2a Aggregate costs'!Z$15,'2a Aggregate costs'!Z$16,'2a Aggregate costs'!Z$17,'2a Aggregate costs'!Z51)*'3a Demand'!$C$9+'2a Aggregate costs'!Z$18)</f>
        <v>125.51785339724326</v>
      </c>
      <c r="Z28" s="109" t="str">
        <f>IF('2a Aggregate costs'!AA$15="-","-",SUM('2a Aggregate costs'!AA$15,'2a Aggregate costs'!AA$16,'2a Aggregate costs'!AA$17,'2a Aggregate costs'!AA51)*'3a Demand'!$C$9+'2a Aggregate costs'!AA$18)</f>
        <v>-</v>
      </c>
      <c r="AA28" s="109" t="str">
        <f>IF('2a Aggregate costs'!AB$15="-","-",SUM('2a Aggregate costs'!AB$15,'2a Aggregate costs'!AB$16,'2a Aggregate costs'!AB$17,'2a Aggregate costs'!AB51)*'3a Demand'!$C$9+'2a Aggregate costs'!AB$18)</f>
        <v>-</v>
      </c>
    </row>
    <row r="29" spans="1:27" ht="12.75" customHeight="1">
      <c r="A29" s="15"/>
      <c r="B29" s="281" t="s">
        <v>153</v>
      </c>
      <c r="C29" s="111" t="s">
        <v>138</v>
      </c>
      <c r="D29" s="276"/>
      <c r="E29" s="300"/>
      <c r="F29" s="29"/>
      <c r="G29" s="109">
        <f>IF('2a Aggregate costs'!H$20="-","-",SUM('2a Aggregate costs'!H$20,'2a Aggregate costs'!H$21,'2a Aggregate costs'!H$22,'2a Aggregate costs'!H52)*'3a Demand'!$C$10+'2a Aggregate costs'!H$23)</f>
        <v>90.567117574535118</v>
      </c>
      <c r="H29" s="109">
        <f>IF('2a Aggregate costs'!I$20="-","-",SUM('2a Aggregate costs'!I$20,'2a Aggregate costs'!I$21,'2a Aggregate costs'!I$22,'2a Aggregate costs'!I52)*'3a Demand'!$C$10+'2a Aggregate costs'!I$23)</f>
        <v>90.539715227948449</v>
      </c>
      <c r="I29" s="109">
        <f>IF('2a Aggregate costs'!J$20="-","-",SUM('2a Aggregate costs'!J$20,'2a Aggregate costs'!J$21,'2a Aggregate costs'!J$22,'2a Aggregate costs'!J52)*'3a Demand'!$C$10+'2a Aggregate costs'!J$23)</f>
        <v>110.93375524613953</v>
      </c>
      <c r="J29" s="109">
        <f>IF('2a Aggregate costs'!K$20="-","-",SUM('2a Aggregate costs'!K$20,'2a Aggregate costs'!K$21,'2a Aggregate costs'!K$22,'2a Aggregate costs'!K52)*'3a Demand'!$C$10+'2a Aggregate costs'!K$23)</f>
        <v>110.82956935883448</v>
      </c>
      <c r="K29" s="109">
        <f>IF('2a Aggregate costs'!L$20="-","-",SUM('2a Aggregate costs'!L$20,'2a Aggregate costs'!L$21,'2a Aggregate costs'!L$22,'2a Aggregate costs'!L52)*'3a Demand'!$C$10+'2a Aggregate costs'!L$23)</f>
        <v>118.09032386370301</v>
      </c>
      <c r="L29" s="109">
        <f>IF('2a Aggregate costs'!M$20="-","-",SUM('2a Aggregate costs'!M$20,'2a Aggregate costs'!M$21,'2a Aggregate costs'!M$22,'2a Aggregate costs'!M52)*'3a Demand'!$C$10+'2a Aggregate costs'!M$23)</f>
        <v>118.51679614989217</v>
      </c>
      <c r="M29" s="109">
        <f>IF('2a Aggregate costs'!N$20="-","-",SUM('2a Aggregate costs'!N$20,'2a Aggregate costs'!N$21,'2a Aggregate costs'!N$22,'2a Aggregate costs'!N52)*'3a Demand'!$C$10+'2a Aggregate costs'!N$23)</f>
        <v>137.28103747432181</v>
      </c>
      <c r="N29" s="109">
        <f>IF('2a Aggregate costs'!O$20="-","-",SUM('2a Aggregate costs'!O$20,'2a Aggregate costs'!O$21,'2a Aggregate costs'!O$22,'2a Aggregate costs'!O52)*'3a Demand'!$C$10+'2a Aggregate costs'!O$23)</f>
        <v>137.37474822713054</v>
      </c>
      <c r="O29" s="87"/>
      <c r="P29" s="109">
        <f>IF('2a Aggregate costs'!Q$20="-","-",SUM('2a Aggregate costs'!Q$20,'2a Aggregate costs'!Q$21,'2a Aggregate costs'!Q$22,'2a Aggregate costs'!Q52)*'3a Demand'!$C$10+'2a Aggregate costs'!Q$23)</f>
        <v>137.37474822713054</v>
      </c>
      <c r="Q29" s="109">
        <f>IF('2a Aggregate costs'!R$20="-","-",SUM('2a Aggregate costs'!R$20,'2a Aggregate costs'!R$21,'2a Aggregate costs'!R$22,'2a Aggregate costs'!R52)*'3a Demand'!$C$10+'2a Aggregate costs'!R$23)</f>
        <v>146.98247069035597</v>
      </c>
      <c r="R29" s="109">
        <f>IF('2a Aggregate costs'!S$20="-","-",SUM('2a Aggregate costs'!S$20,'2a Aggregate costs'!S$21,'2a Aggregate costs'!S$22,'2a Aggregate costs'!S52)*'3a Demand'!$C$10+'2a Aggregate costs'!S$23)</f>
        <v>148.78953098726072</v>
      </c>
      <c r="S29" s="109">
        <f>IF('2a Aggregate costs'!T$20="-","-",SUM('2a Aggregate costs'!T$20,'2a Aggregate costs'!T$21,'2a Aggregate costs'!T$22,'2a Aggregate costs'!T52)*'3a Demand'!$C$10+'2a Aggregate costs'!T$23)</f>
        <v>153.05757283847046</v>
      </c>
      <c r="T29" s="109">
        <f>IF('2a Aggregate costs'!U$20="-","-",SUM('2a Aggregate costs'!U$20,'2a Aggregate costs'!U$21,'2a Aggregate costs'!U$22,'2a Aggregate costs'!U52)*'3a Demand'!$C$10+'2a Aggregate costs'!U$23)</f>
        <v>152.51322827949241</v>
      </c>
      <c r="U29" s="109">
        <f>IF('2a Aggregate costs'!V$20="-","-",SUM('2a Aggregate costs'!V$20,'2a Aggregate costs'!V$21,'2a Aggregate costs'!V$22,'2a Aggregate costs'!V52)*'3a Demand'!$C$10+'2a Aggregate costs'!V$23)</f>
        <v>161.48084871216054</v>
      </c>
      <c r="V29" s="109">
        <f>IF('2a Aggregate costs'!W$20="-","-",SUM('2a Aggregate costs'!W$20,'2a Aggregate costs'!W$21,'2a Aggregate costs'!W$22,'2a Aggregate costs'!W52)*'3a Demand'!$C$10+'2a Aggregate costs'!W$23)</f>
        <v>160.72410222778456</v>
      </c>
      <c r="W29" s="109">
        <f>IF('2a Aggregate costs'!X$20="-","-",SUM('2a Aggregate costs'!X$20,'2a Aggregate costs'!X$21,'2a Aggregate costs'!X$22,'2a Aggregate costs'!X52)*'3a Demand'!$C$10+'2a Aggregate costs'!X$23)</f>
        <v>168.0685826419278</v>
      </c>
      <c r="X29" s="87"/>
      <c r="Y29" s="109">
        <f>IF('2a Aggregate costs'!Z$20="-","-",SUM('2a Aggregate costs'!Z$20,'2a Aggregate costs'!Z$21,'2a Aggregate costs'!Z$22,'2a Aggregate costs'!Z52)*'3a Demand'!$C$10+'2a Aggregate costs'!Z$23)</f>
        <v>166.49865668087926</v>
      </c>
      <c r="Z29" s="109" t="str">
        <f>IF('2a Aggregate costs'!AA$20="-","-",SUM('2a Aggregate costs'!AA$20,'2a Aggregate costs'!AA$21,'2a Aggregate costs'!AA$22,'2a Aggregate costs'!AA52)*'3a Demand'!$C$10+'2a Aggregate costs'!AA$23)</f>
        <v>-</v>
      </c>
      <c r="AA29" s="109" t="str">
        <f>IF('2a Aggregate costs'!AB$20="-","-",SUM('2a Aggregate costs'!AB$20,'2a Aggregate costs'!AB$21,'2a Aggregate costs'!AB$22,'2a Aggregate costs'!AB52)*'3a Demand'!$C$10+'2a Aggregate costs'!AB$23)</f>
        <v>-</v>
      </c>
    </row>
    <row r="30" spans="1:27" ht="12.75" customHeight="1">
      <c r="A30" s="15"/>
      <c r="B30" s="282"/>
      <c r="C30" s="111" t="s">
        <v>140</v>
      </c>
      <c r="D30" s="276"/>
      <c r="E30" s="300"/>
      <c r="F30" s="29"/>
      <c r="G30" s="109">
        <f>IF('2a Aggregate costs'!H$20="-","-",SUM('2a Aggregate costs'!H$20,'2a Aggregate costs'!H$21,'2a Aggregate costs'!H$22,'2a Aggregate costs'!H53)*'3a Demand'!$C$10+'2a Aggregate costs'!H$23)</f>
        <v>90.54609019473989</v>
      </c>
      <c r="H30" s="109">
        <f>IF('2a Aggregate costs'!I$20="-","-",SUM('2a Aggregate costs'!I$20,'2a Aggregate costs'!I$21,'2a Aggregate costs'!I$22,'2a Aggregate costs'!I53)*'3a Demand'!$C$10+'2a Aggregate costs'!I$23)</f>
        <v>90.519025051486423</v>
      </c>
      <c r="I30" s="109">
        <f>IF('2a Aggregate costs'!J$20="-","-",SUM('2a Aggregate costs'!J$20,'2a Aggregate costs'!J$21,'2a Aggregate costs'!J$22,'2a Aggregate costs'!J53)*'3a Demand'!$C$10+'2a Aggregate costs'!J$23)</f>
        <v>110.91256850544242</v>
      </c>
      <c r="J30" s="109">
        <f>IF('2a Aggregate costs'!K$20="-","-",SUM('2a Aggregate costs'!K$20,'2a Aggregate costs'!K$21,'2a Aggregate costs'!K$22,'2a Aggregate costs'!K53)*'3a Demand'!$C$10+'2a Aggregate costs'!K$23)</f>
        <v>110.80746473084288</v>
      </c>
      <c r="K30" s="109">
        <f>IF('2a Aggregate costs'!L$20="-","-",SUM('2a Aggregate costs'!L$20,'2a Aggregate costs'!L$21,'2a Aggregate costs'!L$22,'2a Aggregate costs'!L53)*'3a Demand'!$C$10+'2a Aggregate costs'!L$23)</f>
        <v>118.06782135240756</v>
      </c>
      <c r="L30" s="109">
        <f>IF('2a Aggregate costs'!M$20="-","-",SUM('2a Aggregate costs'!M$20,'2a Aggregate costs'!M$21,'2a Aggregate costs'!M$22,'2a Aggregate costs'!M53)*'3a Demand'!$C$10+'2a Aggregate costs'!M$23)</f>
        <v>118.49470394613698</v>
      </c>
      <c r="M30" s="109">
        <f>IF('2a Aggregate costs'!N$20="-","-",SUM('2a Aggregate costs'!N$20,'2a Aggregate costs'!N$21,'2a Aggregate costs'!N$22,'2a Aggregate costs'!N53)*'3a Demand'!$C$10+'2a Aggregate costs'!N$23)</f>
        <v>137.26969325567961</v>
      </c>
      <c r="N30" s="109">
        <f>IF('2a Aggregate costs'!O$20="-","-",SUM('2a Aggregate costs'!O$20,'2a Aggregate costs'!O$21,'2a Aggregate costs'!O$22,'2a Aggregate costs'!O53)*'3a Demand'!$C$10+'2a Aggregate costs'!O$23)</f>
        <v>137.36315456476859</v>
      </c>
      <c r="O30" s="87"/>
      <c r="P30" s="109">
        <f>IF('2a Aggregate costs'!Q$20="-","-",SUM('2a Aggregate costs'!Q$20,'2a Aggregate costs'!Q$21,'2a Aggregate costs'!Q$22,'2a Aggregate costs'!Q53)*'3a Demand'!$C$10+'2a Aggregate costs'!Q$23)</f>
        <v>137.36315456476859</v>
      </c>
      <c r="Q30" s="109">
        <f>IF('2a Aggregate costs'!R$20="-","-",SUM('2a Aggregate costs'!R$20,'2a Aggregate costs'!R$21,'2a Aggregate costs'!R$22,'2a Aggregate costs'!R53)*'3a Demand'!$C$10+'2a Aggregate costs'!R$23)</f>
        <v>146.96230604572821</v>
      </c>
      <c r="R30" s="109">
        <f>IF('2a Aggregate costs'!S$20="-","-",SUM('2a Aggregate costs'!S$20,'2a Aggregate costs'!S$21,'2a Aggregate costs'!S$22,'2a Aggregate costs'!S53)*'3a Demand'!$C$10+'2a Aggregate costs'!S$23)</f>
        <v>148.76874688451312</v>
      </c>
      <c r="S30" s="109">
        <f>IF('2a Aggregate costs'!T$20="-","-",SUM('2a Aggregate costs'!T$20,'2a Aggregate costs'!T$21,'2a Aggregate costs'!T$22,'2a Aggregate costs'!T53)*'3a Demand'!$C$10+'2a Aggregate costs'!T$23)</f>
        <v>153.03761316947248</v>
      </c>
      <c r="T30" s="109">
        <f>IF('2a Aggregate costs'!U$20="-","-",SUM('2a Aggregate costs'!U$20,'2a Aggregate costs'!U$21,'2a Aggregate costs'!U$22,'2a Aggregate costs'!U53)*'3a Demand'!$C$10+'2a Aggregate costs'!U$23)</f>
        <v>152.49081670836932</v>
      </c>
      <c r="U30" s="109">
        <f>IF('2a Aggregate costs'!V$20="-","-",SUM('2a Aggregate costs'!V$20,'2a Aggregate costs'!V$21,'2a Aggregate costs'!V$22,'2a Aggregate costs'!V53)*'3a Demand'!$C$10+'2a Aggregate costs'!V$23)</f>
        <v>161.44950082969834</v>
      </c>
      <c r="V30" s="109">
        <f>IF('2a Aggregate costs'!W$20="-","-",SUM('2a Aggregate costs'!W$20,'2a Aggregate costs'!W$21,'2a Aggregate costs'!W$22,'2a Aggregate costs'!W53)*'3a Demand'!$C$10+'2a Aggregate costs'!W$23)</f>
        <v>160.69485302841051</v>
      </c>
      <c r="W30" s="109">
        <f>IF('2a Aggregate costs'!X$20="-","-",SUM('2a Aggregate costs'!X$20,'2a Aggregate costs'!X$21,'2a Aggregate costs'!X$22,'2a Aggregate costs'!X53)*'3a Demand'!$C$10+'2a Aggregate costs'!X$23)</f>
        <v>168.03133237582864</v>
      </c>
      <c r="X30" s="87"/>
      <c r="Y30" s="109">
        <f>IF('2a Aggregate costs'!Z$20="-","-",SUM('2a Aggregate costs'!Z$20,'2a Aggregate costs'!Z$21,'2a Aggregate costs'!Z$22,'2a Aggregate costs'!Z53)*'3a Demand'!$C$10+'2a Aggregate costs'!Z$23)</f>
        <v>166.46231249215157</v>
      </c>
      <c r="Z30" s="109" t="str">
        <f>IF('2a Aggregate costs'!AA$20="-","-",SUM('2a Aggregate costs'!AA$20,'2a Aggregate costs'!AA$21,'2a Aggregate costs'!AA$22,'2a Aggregate costs'!AA53)*'3a Demand'!$C$10+'2a Aggregate costs'!AA$23)</f>
        <v>-</v>
      </c>
      <c r="AA30" s="109" t="str">
        <f>IF('2a Aggregate costs'!AB$20="-","-",SUM('2a Aggregate costs'!AB$20,'2a Aggregate costs'!AB$21,'2a Aggregate costs'!AB$22,'2a Aggregate costs'!AB53)*'3a Demand'!$C$10+'2a Aggregate costs'!AB$23)</f>
        <v>-</v>
      </c>
    </row>
    <row r="31" spans="1:27" ht="12.75" customHeight="1">
      <c r="A31" s="15"/>
      <c r="B31" s="282"/>
      <c r="C31" s="111" t="s">
        <v>141</v>
      </c>
      <c r="D31" s="276"/>
      <c r="E31" s="300"/>
      <c r="F31" s="29"/>
      <c r="G31" s="109">
        <f>IF('2a Aggregate costs'!H$20="-","-",SUM('2a Aggregate costs'!H$20,'2a Aggregate costs'!H$21,'2a Aggregate costs'!H$22,'2a Aggregate costs'!H54)*'3a Demand'!$C$10+'2a Aggregate costs'!H$23)</f>
        <v>90.554631742897769</v>
      </c>
      <c r="H31" s="109">
        <f>IF('2a Aggregate costs'!I$20="-","-",SUM('2a Aggregate costs'!I$20,'2a Aggregate costs'!I$21,'2a Aggregate costs'!I$22,'2a Aggregate costs'!I54)*'3a Demand'!$C$10+'2a Aggregate costs'!I$23)</f>
        <v>90.527429624018353</v>
      </c>
      <c r="I31" s="109">
        <f>IF('2a Aggregate costs'!J$20="-","-",SUM('2a Aggregate costs'!J$20,'2a Aggregate costs'!J$21,'2a Aggregate costs'!J$22,'2a Aggregate costs'!J54)*'3a Demand'!$C$10+'2a Aggregate costs'!J$23)</f>
        <v>110.9211747877151</v>
      </c>
      <c r="J31" s="109">
        <f>IF('2a Aggregate costs'!K$20="-","-",SUM('2a Aggregate costs'!K$20,'2a Aggregate costs'!K$21,'2a Aggregate costs'!K$22,'2a Aggregate costs'!K54)*'3a Demand'!$C$10+'2a Aggregate costs'!K$23)</f>
        <v>110.81644386882112</v>
      </c>
      <c r="K31" s="109">
        <f>IF('2a Aggregate costs'!L$20="-","-",SUM('2a Aggregate costs'!L$20,'2a Aggregate costs'!L$21,'2a Aggregate costs'!L$22,'2a Aggregate costs'!L54)*'3a Demand'!$C$10+'2a Aggregate costs'!L$23)</f>
        <v>118.0769621148694</v>
      </c>
      <c r="L31" s="109">
        <f>IF('2a Aggregate costs'!M$20="-","-",SUM('2a Aggregate costs'!M$20,'2a Aggregate costs'!M$21,'2a Aggregate costs'!M$22,'2a Aggregate costs'!M54)*'3a Demand'!$C$10+'2a Aggregate costs'!M$23)</f>
        <v>118.50367803725658</v>
      </c>
      <c r="M31" s="109">
        <f>IF('2a Aggregate costs'!N$20="-","-",SUM('2a Aggregate costs'!N$20,'2a Aggregate costs'!N$21,'2a Aggregate costs'!N$22,'2a Aggregate costs'!N54)*'3a Demand'!$C$10+'2a Aggregate costs'!N$23)</f>
        <v>137.28023595371837</v>
      </c>
      <c r="N31" s="109">
        <f>IF('2a Aggregate costs'!O$20="-","-",SUM('2a Aggregate costs'!O$20,'2a Aggregate costs'!O$21,'2a Aggregate costs'!O$22,'2a Aggregate costs'!O54)*'3a Demand'!$C$10+'2a Aggregate costs'!O$23)</f>
        <v>137.37392908219465</v>
      </c>
      <c r="O31" s="87"/>
      <c r="P31" s="109">
        <f>IF('2a Aggregate costs'!Q$20="-","-",SUM('2a Aggregate costs'!Q$20,'2a Aggregate costs'!Q$21,'2a Aggregate costs'!Q$22,'2a Aggregate costs'!Q54)*'3a Demand'!$C$10+'2a Aggregate costs'!Q$23)</f>
        <v>137.37392908219465</v>
      </c>
      <c r="Q31" s="109">
        <f>IF('2a Aggregate costs'!R$20="-","-",SUM('2a Aggregate costs'!R$20,'2a Aggregate costs'!R$21,'2a Aggregate costs'!R$22,'2a Aggregate costs'!R54)*'3a Demand'!$C$10+'2a Aggregate costs'!R$23)</f>
        <v>146.97498741432821</v>
      </c>
      <c r="R31" s="109">
        <f>IF('2a Aggregate costs'!S$20="-","-",SUM('2a Aggregate costs'!S$20,'2a Aggregate costs'!S$21,'2a Aggregate costs'!S$22,'2a Aggregate costs'!S54)*'3a Demand'!$C$10+'2a Aggregate costs'!S$23)</f>
        <v>148.78175714405452</v>
      </c>
      <c r="S31" s="109">
        <f>IF('2a Aggregate costs'!T$20="-","-",SUM('2a Aggregate costs'!T$20,'2a Aggregate costs'!T$21,'2a Aggregate costs'!T$22,'2a Aggregate costs'!T54)*'3a Demand'!$C$10+'2a Aggregate costs'!T$23)</f>
        <v>153.04920556322577</v>
      </c>
      <c r="T31" s="109">
        <f>IF('2a Aggregate costs'!U$20="-","-",SUM('2a Aggregate costs'!U$20,'2a Aggregate costs'!U$21,'2a Aggregate costs'!U$22,'2a Aggregate costs'!U54)*'3a Demand'!$C$10+'2a Aggregate costs'!U$23)</f>
        <v>152.5037434187328</v>
      </c>
      <c r="U31" s="109">
        <f>IF('2a Aggregate costs'!V$20="-","-",SUM('2a Aggregate costs'!V$20,'2a Aggregate costs'!V$21,'2a Aggregate costs'!V$22,'2a Aggregate costs'!V54)*'3a Demand'!$C$10+'2a Aggregate costs'!V$23)</f>
        <v>161.47027942059188</v>
      </c>
      <c r="V31" s="109">
        <f>IF('2a Aggregate costs'!W$20="-","-",SUM('2a Aggregate costs'!W$20,'2a Aggregate costs'!W$21,'2a Aggregate costs'!W$22,'2a Aggregate costs'!W54)*'3a Demand'!$C$10+'2a Aggregate costs'!W$23)</f>
        <v>160.71428617598053</v>
      </c>
      <c r="W31" s="109">
        <f>IF('2a Aggregate costs'!X$20="-","-",SUM('2a Aggregate costs'!X$20,'2a Aggregate costs'!X$21,'2a Aggregate costs'!X$22,'2a Aggregate costs'!X54)*'3a Demand'!$C$10+'2a Aggregate costs'!X$23)</f>
        <v>168.06577993437384</v>
      </c>
      <c r="X31" s="87"/>
      <c r="Y31" s="109">
        <f>IF('2a Aggregate costs'!Z$20="-","-",SUM('2a Aggregate costs'!Z$20,'2a Aggregate costs'!Z$21,'2a Aggregate costs'!Z$22,'2a Aggregate costs'!Z54)*'3a Demand'!$C$10+'2a Aggregate costs'!Z$23)</f>
        <v>166.4961991183682</v>
      </c>
      <c r="Z31" s="109" t="str">
        <f>IF('2a Aggregate costs'!AA$20="-","-",SUM('2a Aggregate costs'!AA$20,'2a Aggregate costs'!AA$21,'2a Aggregate costs'!AA$22,'2a Aggregate costs'!AA54)*'3a Demand'!$C$10+'2a Aggregate costs'!AA$23)</f>
        <v>-</v>
      </c>
      <c r="AA31" s="109" t="str">
        <f>IF('2a Aggregate costs'!AB$20="-","-",SUM('2a Aggregate costs'!AB$20,'2a Aggregate costs'!AB$21,'2a Aggregate costs'!AB$22,'2a Aggregate costs'!AB54)*'3a Demand'!$C$10+'2a Aggregate costs'!AB$23)</f>
        <v>-</v>
      </c>
    </row>
    <row r="32" spans="1:27" ht="12.75" customHeight="1">
      <c r="A32" s="15"/>
      <c r="B32" s="282"/>
      <c r="C32" s="111" t="s">
        <v>142</v>
      </c>
      <c r="D32" s="276"/>
      <c r="E32" s="300"/>
      <c r="F32" s="29"/>
      <c r="G32" s="109">
        <f>IF('2a Aggregate costs'!H$20="-","-",SUM('2a Aggregate costs'!H$20,'2a Aggregate costs'!H$21,'2a Aggregate costs'!H$22,'2a Aggregate costs'!H55)*'3a Demand'!$C$10+'2a Aggregate costs'!H$23)</f>
        <v>90.566085462850637</v>
      </c>
      <c r="H32" s="109">
        <f>IF('2a Aggregate costs'!I$20="-","-",SUM('2a Aggregate costs'!I$20,'2a Aggregate costs'!I$21,'2a Aggregate costs'!I$22,'2a Aggregate costs'!I55)*'3a Demand'!$C$10+'2a Aggregate costs'!I$23)</f>
        <v>90.538699667612903</v>
      </c>
      <c r="I32" s="109">
        <f>IF('2a Aggregate costs'!J$20="-","-",SUM('2a Aggregate costs'!J$20,'2a Aggregate costs'!J$21,'2a Aggregate costs'!J$22,'2a Aggregate costs'!J55)*'3a Demand'!$C$10+'2a Aggregate costs'!J$23)</f>
        <v>110.93271531235592</v>
      </c>
      <c r="J32" s="109">
        <f>IF('2a Aggregate costs'!K$20="-","-",SUM('2a Aggregate costs'!K$20,'2a Aggregate costs'!K$21,'2a Aggregate costs'!K$22,'2a Aggregate costs'!K55)*'3a Demand'!$C$10+'2a Aggregate costs'!K$23)</f>
        <v>110.82848437130616</v>
      </c>
      <c r="K32" s="109">
        <f>IF('2a Aggregate costs'!L$20="-","-",SUM('2a Aggregate costs'!L$20,'2a Aggregate costs'!L$21,'2a Aggregate costs'!L$22,'2a Aggregate costs'!L55)*'3a Demand'!$C$10+'2a Aggregate costs'!L$23)</f>
        <v>118.08921934639916</v>
      </c>
      <c r="L32" s="109">
        <f>IF('2a Aggregate costs'!M$20="-","-",SUM('2a Aggregate costs'!M$20,'2a Aggregate costs'!M$21,'2a Aggregate costs'!M$22,'2a Aggregate costs'!M55)*'3a Demand'!$C$10+'2a Aggregate costs'!M$23)</f>
        <v>118.51571177219728</v>
      </c>
      <c r="M32" s="109">
        <f>IF('2a Aggregate costs'!N$20="-","-",SUM('2a Aggregate costs'!N$20,'2a Aggregate costs'!N$21,'2a Aggregate costs'!N$22,'2a Aggregate costs'!N55)*'3a Demand'!$C$10+'2a Aggregate costs'!N$23)</f>
        <v>137.2989597103923</v>
      </c>
      <c r="N32" s="109">
        <f>IF('2a Aggregate costs'!O$20="-","-",SUM('2a Aggregate costs'!O$20,'2a Aggregate costs'!O$21,'2a Aggregate costs'!O$22,'2a Aggregate costs'!O55)*'3a Demand'!$C$10+'2a Aggregate costs'!O$23)</f>
        <v>137.39306454845033</v>
      </c>
      <c r="O32" s="87"/>
      <c r="P32" s="109">
        <f>IF('2a Aggregate costs'!Q$20="-","-",SUM('2a Aggregate costs'!Q$20,'2a Aggregate costs'!Q$21,'2a Aggregate costs'!Q$22,'2a Aggregate costs'!Q55)*'3a Demand'!$C$10+'2a Aggregate costs'!Q$23)</f>
        <v>137.39306454845033</v>
      </c>
      <c r="Q32" s="109">
        <f>IF('2a Aggregate costs'!R$20="-","-",SUM('2a Aggregate costs'!R$20,'2a Aggregate costs'!R$21,'2a Aggregate costs'!R$22,'2a Aggregate costs'!R55)*'3a Demand'!$C$10+'2a Aggregate costs'!R$23)</f>
        <v>146.99821221191939</v>
      </c>
      <c r="R32" s="109">
        <f>IF('2a Aggregate costs'!S$20="-","-",SUM('2a Aggregate costs'!S$20,'2a Aggregate costs'!S$21,'2a Aggregate costs'!S$22,'2a Aggregate costs'!S55)*'3a Demand'!$C$10+'2a Aggregate costs'!S$23)</f>
        <v>148.80581336321671</v>
      </c>
      <c r="S32" s="109">
        <f>IF('2a Aggregate costs'!T$20="-","-",SUM('2a Aggregate costs'!T$20,'2a Aggregate costs'!T$21,'2a Aggregate costs'!T$22,'2a Aggregate costs'!T55)*'3a Demand'!$C$10+'2a Aggregate costs'!T$23)</f>
        <v>153.08319350618063</v>
      </c>
      <c r="T32" s="109">
        <f>IF('2a Aggregate costs'!U$20="-","-",SUM('2a Aggregate costs'!U$20,'2a Aggregate costs'!U$21,'2a Aggregate costs'!U$22,'2a Aggregate costs'!U55)*'3a Demand'!$C$10+'2a Aggregate costs'!U$23)</f>
        <v>152.54196742438145</v>
      </c>
      <c r="U32" s="109">
        <f>IF('2a Aggregate costs'!V$20="-","-",SUM('2a Aggregate costs'!V$20,'2a Aggregate costs'!V$21,'2a Aggregate costs'!V$22,'2a Aggregate costs'!V55)*'3a Demand'!$C$10+'2a Aggregate costs'!V$23)</f>
        <v>161.5173170709491</v>
      </c>
      <c r="V32" s="109">
        <f>IF('2a Aggregate costs'!W$20="-","-",SUM('2a Aggregate costs'!W$20,'2a Aggregate costs'!W$21,'2a Aggregate costs'!W$22,'2a Aggregate costs'!W55)*'3a Demand'!$C$10+'2a Aggregate costs'!W$23)</f>
        <v>160.75795065027589</v>
      </c>
      <c r="W32" s="109">
        <f>IF('2a Aggregate costs'!X$20="-","-",SUM('2a Aggregate costs'!X$20,'2a Aggregate costs'!X$21,'2a Aggregate costs'!X$22,'2a Aggregate costs'!X55)*'3a Demand'!$C$10+'2a Aggregate costs'!X$23)</f>
        <v>168.11166074758674</v>
      </c>
      <c r="X32" s="87"/>
      <c r="Y32" s="109">
        <f>IF('2a Aggregate costs'!Z$20="-","-",SUM('2a Aggregate costs'!Z$20,'2a Aggregate costs'!Z$21,'2a Aggregate costs'!Z$22,'2a Aggregate costs'!Z55)*'3a Demand'!$C$10+'2a Aggregate costs'!Z$23)</f>
        <v>166.54056806853333</v>
      </c>
      <c r="Z32" s="109" t="str">
        <f>IF('2a Aggregate costs'!AA$20="-","-",SUM('2a Aggregate costs'!AA$20,'2a Aggregate costs'!AA$21,'2a Aggregate costs'!AA$22,'2a Aggregate costs'!AA55)*'3a Demand'!$C$10+'2a Aggregate costs'!AA$23)</f>
        <v>-</v>
      </c>
      <c r="AA32" s="109" t="str">
        <f>IF('2a Aggregate costs'!AB$20="-","-",SUM('2a Aggregate costs'!AB$20,'2a Aggregate costs'!AB$21,'2a Aggregate costs'!AB$22,'2a Aggregate costs'!AB55)*'3a Demand'!$C$10+'2a Aggregate costs'!AB$23)</f>
        <v>-</v>
      </c>
    </row>
    <row r="33" spans="1:28" ht="12.75" customHeight="1">
      <c r="A33" s="15"/>
      <c r="B33" s="282"/>
      <c r="C33" s="111" t="s">
        <v>143</v>
      </c>
      <c r="D33" s="276"/>
      <c r="E33" s="300"/>
      <c r="F33" s="29"/>
      <c r="G33" s="109">
        <f>IF('2a Aggregate costs'!H$20="-","-",SUM('2a Aggregate costs'!H$20,'2a Aggregate costs'!H$21,'2a Aggregate costs'!H$22,'2a Aggregate costs'!H56)*'3a Demand'!$C$10+'2a Aggregate costs'!H$23)</f>
        <v>90.547556444583833</v>
      </c>
      <c r="H33" s="109">
        <f>IF('2a Aggregate costs'!I$20="-","-",SUM('2a Aggregate costs'!I$20,'2a Aggregate costs'!I$21,'2a Aggregate costs'!I$22,'2a Aggregate costs'!I56)*'3a Demand'!$C$10+'2a Aggregate costs'!I$23)</f>
        <v>90.520467787971157</v>
      </c>
      <c r="I33" s="109">
        <f>IF('2a Aggregate costs'!J$20="-","-",SUM('2a Aggregate costs'!J$20,'2a Aggregate costs'!J$21,'2a Aggregate costs'!J$22,'2a Aggregate costs'!J56)*'3a Demand'!$C$10+'2a Aggregate costs'!J$23)</f>
        <v>110.91404586760278</v>
      </c>
      <c r="J33" s="109">
        <f>IF('2a Aggregate costs'!K$20="-","-",SUM('2a Aggregate costs'!K$20,'2a Aggregate costs'!K$21,'2a Aggregate costs'!K$22,'2a Aggregate costs'!K56)*'3a Demand'!$C$10+'2a Aggregate costs'!K$23)</f>
        <v>110.80900609774923</v>
      </c>
      <c r="K33" s="109">
        <f>IF('2a Aggregate costs'!L$20="-","-",SUM('2a Aggregate costs'!L$20,'2a Aggregate costs'!L$21,'2a Aggregate costs'!L$22,'2a Aggregate costs'!L56)*'3a Demand'!$C$10+'2a Aggregate costs'!L$23)</f>
        <v>118.06939046391821</v>
      </c>
      <c r="L33" s="109">
        <f>IF('2a Aggregate costs'!M$20="-","-",SUM('2a Aggregate costs'!M$20,'2a Aggregate costs'!M$21,'2a Aggregate costs'!M$22,'2a Aggregate costs'!M56)*'3a Demand'!$C$10+'2a Aggregate costs'!M$23)</f>
        <v>118.49624444669503</v>
      </c>
      <c r="M33" s="109">
        <f>IF('2a Aggregate costs'!N$20="-","-",SUM('2a Aggregate costs'!N$20,'2a Aggregate costs'!N$21,'2a Aggregate costs'!N$22,'2a Aggregate costs'!N56)*'3a Demand'!$C$10+'2a Aggregate costs'!N$23)</f>
        <v>137.26899813137376</v>
      </c>
      <c r="N33" s="109">
        <f>IF('2a Aggregate costs'!O$20="-","-",SUM('2a Aggregate costs'!O$20,'2a Aggregate costs'!O$21,'2a Aggregate costs'!O$22,'2a Aggregate costs'!O56)*'3a Demand'!$C$10+'2a Aggregate costs'!O$23)</f>
        <v>137.36244415563814</v>
      </c>
      <c r="O33" s="87"/>
      <c r="P33" s="109">
        <f>IF('2a Aggregate costs'!Q$20="-","-",SUM('2a Aggregate costs'!Q$20,'2a Aggregate costs'!Q$21,'2a Aggregate costs'!Q$22,'2a Aggregate costs'!Q56)*'3a Demand'!$C$10+'2a Aggregate costs'!Q$23)</f>
        <v>137.36244415563814</v>
      </c>
      <c r="Q33" s="109">
        <f>IF('2a Aggregate costs'!R$20="-","-",SUM('2a Aggregate costs'!R$20,'2a Aggregate costs'!R$21,'2a Aggregate costs'!R$22,'2a Aggregate costs'!R56)*'3a Demand'!$C$10+'2a Aggregate costs'!R$23)</f>
        <v>146.96461957304555</v>
      </c>
      <c r="R33" s="109">
        <f>IF('2a Aggregate costs'!S$20="-","-",SUM('2a Aggregate costs'!S$20,'2a Aggregate costs'!S$21,'2a Aggregate costs'!S$22,'2a Aggregate costs'!S56)*'3a Demand'!$C$10+'2a Aggregate costs'!S$23)</f>
        <v>148.77112454814815</v>
      </c>
      <c r="S33" s="109">
        <f>IF('2a Aggregate costs'!T$20="-","-",SUM('2a Aggregate costs'!T$20,'2a Aggregate costs'!T$21,'2a Aggregate costs'!T$22,'2a Aggregate costs'!T56)*'3a Demand'!$C$10+'2a Aggregate costs'!T$23)</f>
        <v>153.04604975974598</v>
      </c>
      <c r="T33" s="109">
        <f>IF('2a Aggregate costs'!U$20="-","-",SUM('2a Aggregate costs'!U$20,'2a Aggregate costs'!U$21,'2a Aggregate costs'!U$22,'2a Aggregate costs'!U56)*'3a Demand'!$C$10+'2a Aggregate costs'!U$23)</f>
        <v>152.50029132864336</v>
      </c>
      <c r="U33" s="109">
        <f>IF('2a Aggregate costs'!V$20="-","-",SUM('2a Aggregate costs'!V$20,'2a Aggregate costs'!V$21,'2a Aggregate costs'!V$22,'2a Aggregate costs'!V56)*'3a Demand'!$C$10+'2a Aggregate costs'!V$23)</f>
        <v>161.46515228886494</v>
      </c>
      <c r="V33" s="109">
        <f>IF('2a Aggregate costs'!W$20="-","-",SUM('2a Aggregate costs'!W$20,'2a Aggregate costs'!W$21,'2a Aggregate costs'!W$22,'2a Aggregate costs'!W56)*'3a Demand'!$C$10+'2a Aggregate costs'!W$23)</f>
        <v>160.70940848032686</v>
      </c>
      <c r="W33" s="109">
        <f>IF('2a Aggregate costs'!X$20="-","-",SUM('2a Aggregate costs'!X$20,'2a Aggregate costs'!X$21,'2a Aggregate costs'!X$22,'2a Aggregate costs'!X56)*'3a Demand'!$C$10+'2a Aggregate costs'!X$23)</f>
        <v>168.0520523863828</v>
      </c>
      <c r="X33" s="87"/>
      <c r="Y33" s="109">
        <f>IF('2a Aggregate costs'!Z$20="-","-",SUM('2a Aggregate costs'!Z$20,'2a Aggregate costs'!Z$21,'2a Aggregate costs'!Z$22,'2a Aggregate costs'!Z56)*'3a Demand'!$C$10+'2a Aggregate costs'!Z$23)</f>
        <v>166.48245877871517</v>
      </c>
      <c r="Z33" s="109" t="str">
        <f>IF('2a Aggregate costs'!AA$20="-","-",SUM('2a Aggregate costs'!AA$20,'2a Aggregate costs'!AA$21,'2a Aggregate costs'!AA$22,'2a Aggregate costs'!AA56)*'3a Demand'!$C$10+'2a Aggregate costs'!AA$23)</f>
        <v>-</v>
      </c>
      <c r="AA33" s="109" t="str">
        <f>IF('2a Aggregate costs'!AB$20="-","-",SUM('2a Aggregate costs'!AB$20,'2a Aggregate costs'!AB$21,'2a Aggregate costs'!AB$22,'2a Aggregate costs'!AB56)*'3a Demand'!$C$10+'2a Aggregate costs'!AB$23)</f>
        <v>-</v>
      </c>
    </row>
    <row r="34" spans="1:28" ht="12.75" customHeight="1">
      <c r="A34" s="15"/>
      <c r="B34" s="282"/>
      <c r="C34" s="111" t="s">
        <v>144</v>
      </c>
      <c r="D34" s="276"/>
      <c r="E34" s="300"/>
      <c r="F34" s="29"/>
      <c r="G34" s="109">
        <f>IF('2a Aggregate costs'!H$20="-","-",SUM('2a Aggregate costs'!H$20,'2a Aggregate costs'!H$21,'2a Aggregate costs'!H$22,'2a Aggregate costs'!H57)*'3a Demand'!$C$10+'2a Aggregate costs'!H$23)</f>
        <v>90.554689231973299</v>
      </c>
      <c r="H34" s="109">
        <f>IF('2a Aggregate costs'!I$20="-","-",SUM('2a Aggregate costs'!I$20,'2a Aggregate costs'!I$21,'2a Aggregate costs'!I$22,'2a Aggregate costs'!I57)*'3a Demand'!$C$10+'2a Aggregate costs'!I$23)</f>
        <v>90.52748619117645</v>
      </c>
      <c r="I34" s="109">
        <f>IF('2a Aggregate costs'!J$20="-","-",SUM('2a Aggregate costs'!J$20,'2a Aggregate costs'!J$21,'2a Aggregate costs'!J$22,'2a Aggregate costs'!J57)*'3a Demand'!$C$10+'2a Aggregate costs'!J$23)</f>
        <v>110.92123271248501</v>
      </c>
      <c r="J34" s="109">
        <f>IF('2a Aggregate costs'!K$20="-","-",SUM('2a Aggregate costs'!K$20,'2a Aggregate costs'!K$21,'2a Aggregate costs'!K$22,'2a Aggregate costs'!K57)*'3a Demand'!$C$10+'2a Aggregate costs'!K$23)</f>
        <v>110.81650430310445</v>
      </c>
      <c r="K34" s="109">
        <f>IF('2a Aggregate costs'!L$20="-","-",SUM('2a Aggregate costs'!L$20,'2a Aggregate costs'!L$21,'2a Aggregate costs'!L$22,'2a Aggregate costs'!L57)*'3a Demand'!$C$10+'2a Aggregate costs'!L$23)</f>
        <v>118.07702363696983</v>
      </c>
      <c r="L34" s="109">
        <f>IF('2a Aggregate costs'!M$20="-","-",SUM('2a Aggregate costs'!M$20,'2a Aggregate costs'!M$21,'2a Aggregate costs'!M$22,'2a Aggregate costs'!M57)*'3a Demand'!$C$10+'2a Aggregate costs'!M$23)</f>
        <v>118.50373843757191</v>
      </c>
      <c r="M34" s="109">
        <f>IF('2a Aggregate costs'!N$20="-","-",SUM('2a Aggregate costs'!N$20,'2a Aggregate costs'!N$21,'2a Aggregate costs'!N$22,'2a Aggregate costs'!N57)*'3a Demand'!$C$10+'2a Aggregate costs'!N$23)</f>
        <v>137.27470611703933</v>
      </c>
      <c r="N34" s="109">
        <f>IF('2a Aggregate costs'!O$20="-","-",SUM('2a Aggregate costs'!O$20,'2a Aggregate costs'!O$21,'2a Aggregate costs'!O$22,'2a Aggregate costs'!O57)*'3a Demand'!$C$10+'2a Aggregate costs'!O$23)</f>
        <v>137.36827765203489</v>
      </c>
      <c r="O34" s="87"/>
      <c r="P34" s="109">
        <f>IF('2a Aggregate costs'!Q$20="-","-",SUM('2a Aggregate costs'!Q$20,'2a Aggregate costs'!Q$21,'2a Aggregate costs'!Q$22,'2a Aggregate costs'!Q57)*'3a Demand'!$C$10+'2a Aggregate costs'!Q$23)</f>
        <v>137.36827765203489</v>
      </c>
      <c r="Q34" s="109">
        <f>IF('2a Aggregate costs'!R$20="-","-",SUM('2a Aggregate costs'!R$20,'2a Aggregate costs'!R$21,'2a Aggregate costs'!R$22,'2a Aggregate costs'!R57)*'3a Demand'!$C$10+'2a Aggregate costs'!R$23)</f>
        <v>146.96516386155642</v>
      </c>
      <c r="R34" s="109">
        <f>IF('2a Aggregate costs'!S$20="-","-",SUM('2a Aggregate costs'!S$20,'2a Aggregate costs'!S$21,'2a Aggregate costs'!S$22,'2a Aggregate costs'!S57)*'3a Demand'!$C$10+'2a Aggregate costs'!S$23)</f>
        <v>148.77169347757575</v>
      </c>
      <c r="S34" s="109">
        <f>IF('2a Aggregate costs'!T$20="-","-",SUM('2a Aggregate costs'!T$20,'2a Aggregate costs'!T$21,'2a Aggregate costs'!T$22,'2a Aggregate costs'!T57)*'3a Demand'!$C$10+'2a Aggregate costs'!T$23)</f>
        <v>153.03731623623639</v>
      </c>
      <c r="T34" s="109">
        <f>IF('2a Aggregate costs'!U$20="-","-",SUM('2a Aggregate costs'!U$20,'2a Aggregate costs'!U$21,'2a Aggregate costs'!U$22,'2a Aggregate costs'!U57)*'3a Demand'!$C$10+'2a Aggregate costs'!U$23)</f>
        <v>152.4904789077261</v>
      </c>
      <c r="U34" s="109">
        <f>IF('2a Aggregate costs'!V$20="-","-",SUM('2a Aggregate costs'!V$20,'2a Aggregate costs'!V$21,'2a Aggregate costs'!V$22,'2a Aggregate costs'!V57)*'3a Demand'!$C$10+'2a Aggregate costs'!V$23)</f>
        <v>161.45028237819352</v>
      </c>
      <c r="V34" s="109">
        <f>IF('2a Aggregate costs'!W$20="-","-",SUM('2a Aggregate costs'!W$20,'2a Aggregate costs'!W$21,'2a Aggregate costs'!W$22,'2a Aggregate costs'!W57)*'3a Demand'!$C$10+'2a Aggregate costs'!W$23)</f>
        <v>160.69557419311451</v>
      </c>
      <c r="W34" s="109">
        <f>IF('2a Aggregate costs'!X$20="-","-",SUM('2a Aggregate costs'!X$20,'2a Aggregate costs'!X$21,'2a Aggregate costs'!X$22,'2a Aggregate costs'!X57)*'3a Demand'!$C$10+'2a Aggregate costs'!X$23)</f>
        <v>168.03454146468238</v>
      </c>
      <c r="X34" s="87"/>
      <c r="Y34" s="109">
        <f>IF('2a Aggregate costs'!Z$20="-","-",SUM('2a Aggregate costs'!Z$20,'2a Aggregate costs'!Z$21,'2a Aggregate costs'!Z$22,'2a Aggregate costs'!Z57)*'3a Demand'!$C$10+'2a Aggregate costs'!Z$23)</f>
        <v>166.46554915781428</v>
      </c>
      <c r="Z34" s="109" t="str">
        <f>IF('2a Aggregate costs'!AA$20="-","-",SUM('2a Aggregate costs'!AA$20,'2a Aggregate costs'!AA$21,'2a Aggregate costs'!AA$22,'2a Aggregate costs'!AA57)*'3a Demand'!$C$10+'2a Aggregate costs'!AA$23)</f>
        <v>-</v>
      </c>
      <c r="AA34" s="109" t="str">
        <f>IF('2a Aggregate costs'!AB$20="-","-",SUM('2a Aggregate costs'!AB$20,'2a Aggregate costs'!AB$21,'2a Aggregate costs'!AB$22,'2a Aggregate costs'!AB57)*'3a Demand'!$C$10+'2a Aggregate costs'!AB$23)</f>
        <v>-</v>
      </c>
    </row>
    <row r="35" spans="1:28" ht="12.75" customHeight="1">
      <c r="A35" s="15"/>
      <c r="B35" s="282"/>
      <c r="C35" s="111" t="s">
        <v>145</v>
      </c>
      <c r="D35" s="276"/>
      <c r="E35" s="300"/>
      <c r="F35" s="29"/>
      <c r="G35" s="109">
        <f>IF('2a Aggregate costs'!H$20="-","-",SUM('2a Aggregate costs'!H$20,'2a Aggregate costs'!H$21,'2a Aggregate costs'!H$22,'2a Aggregate costs'!H58)*'3a Demand'!$C$10+'2a Aggregate costs'!H$23)</f>
        <v>90.560159994303291</v>
      </c>
      <c r="H35" s="109">
        <f>IF('2a Aggregate costs'!I$20="-","-",SUM('2a Aggregate costs'!I$20,'2a Aggregate costs'!I$21,'2a Aggregate costs'!I$22,'2a Aggregate costs'!I58)*'3a Demand'!$C$10+'2a Aggregate costs'!I$23)</f>
        <v>90.532869222209868</v>
      </c>
      <c r="I35" s="109">
        <f>IF('2a Aggregate costs'!J$20="-","-",SUM('2a Aggregate costs'!J$20,'2a Aggregate costs'!J$21,'2a Aggregate costs'!J$22,'2a Aggregate costs'!J58)*'3a Demand'!$C$10+'2a Aggregate costs'!J$23)</f>
        <v>110.92674493626322</v>
      </c>
      <c r="J35" s="109">
        <f>IF('2a Aggregate costs'!K$20="-","-",SUM('2a Aggregate costs'!K$20,'2a Aggregate costs'!K$21,'2a Aggregate costs'!K$22,'2a Aggregate costs'!K58)*'3a Demand'!$C$10+'2a Aggregate costs'!K$23)</f>
        <v>110.82225533662896</v>
      </c>
      <c r="K35" s="109">
        <f>IF('2a Aggregate costs'!L$20="-","-",SUM('2a Aggregate costs'!L$20,'2a Aggregate costs'!L$21,'2a Aggregate costs'!L$22,'2a Aggregate costs'!L58)*'3a Demand'!$C$10+'2a Aggregate costs'!L$23)</f>
        <v>118.08287818909777</v>
      </c>
      <c r="L35" s="109">
        <f>IF('2a Aggregate costs'!M$20="-","-",SUM('2a Aggregate costs'!M$20,'2a Aggregate costs'!M$21,'2a Aggregate costs'!M$22,'2a Aggregate costs'!M58)*'3a Demand'!$C$10+'2a Aggregate costs'!M$23)</f>
        <v>118.5094862386421</v>
      </c>
      <c r="M35" s="109">
        <f>IF('2a Aggregate costs'!N$20="-","-",SUM('2a Aggregate costs'!N$20,'2a Aggregate costs'!N$21,'2a Aggregate costs'!N$22,'2a Aggregate costs'!N58)*'3a Demand'!$C$10+'2a Aggregate costs'!N$23)</f>
        <v>137.28979342581226</v>
      </c>
      <c r="N35" s="109">
        <f>IF('2a Aggregate costs'!O$20="-","-",SUM('2a Aggregate costs'!O$20,'2a Aggregate costs'!O$21,'2a Aggregate costs'!O$22,'2a Aggregate costs'!O58)*'3a Demand'!$C$10+'2a Aggregate costs'!O$23)</f>
        <v>137.38369670991634</v>
      </c>
      <c r="O35" s="87"/>
      <c r="P35" s="109">
        <f>IF('2a Aggregate costs'!Q$20="-","-",SUM('2a Aggregate costs'!Q$20,'2a Aggregate costs'!Q$21,'2a Aggregate costs'!Q$22,'2a Aggregate costs'!Q58)*'3a Demand'!$C$10+'2a Aggregate costs'!Q$23)</f>
        <v>137.38369670991634</v>
      </c>
      <c r="Q35" s="109">
        <f>IF('2a Aggregate costs'!R$20="-","-",SUM('2a Aggregate costs'!R$20,'2a Aggregate costs'!R$21,'2a Aggregate costs'!R$22,'2a Aggregate costs'!R58)*'3a Demand'!$C$10+'2a Aggregate costs'!R$23)</f>
        <v>146.98659272957821</v>
      </c>
      <c r="R35" s="109">
        <f>IF('2a Aggregate costs'!S$20="-","-",SUM('2a Aggregate costs'!S$20,'2a Aggregate costs'!S$21,'2a Aggregate costs'!S$22,'2a Aggregate costs'!S58)*'3a Demand'!$C$10+'2a Aggregate costs'!S$23)</f>
        <v>148.79387311541902</v>
      </c>
      <c r="S35" s="109">
        <f>IF('2a Aggregate costs'!T$20="-","-",SUM('2a Aggregate costs'!T$20,'2a Aggregate costs'!T$21,'2a Aggregate costs'!T$22,'2a Aggregate costs'!T58)*'3a Demand'!$C$10+'2a Aggregate costs'!T$23)</f>
        <v>153.06084641349003</v>
      </c>
      <c r="T35" s="109">
        <f>IF('2a Aggregate costs'!U$20="-","-",SUM('2a Aggregate costs'!U$20,'2a Aggregate costs'!U$21,'2a Aggregate costs'!U$22,'2a Aggregate costs'!U58)*'3a Demand'!$C$10+'2a Aggregate costs'!U$23)</f>
        <v>152.51690130303038</v>
      </c>
      <c r="U35" s="109">
        <f>IF('2a Aggregate costs'!V$20="-","-",SUM('2a Aggregate costs'!V$20,'2a Aggregate costs'!V$21,'2a Aggregate costs'!V$22,'2a Aggregate costs'!V58)*'3a Demand'!$C$10+'2a Aggregate costs'!V$23)</f>
        <v>161.47498713489335</v>
      </c>
      <c r="V35" s="109">
        <f>IF('2a Aggregate costs'!W$20="-","-",SUM('2a Aggregate costs'!W$20,'2a Aggregate costs'!W$21,'2a Aggregate costs'!W$22,'2a Aggregate costs'!W58)*'3a Demand'!$C$10+'2a Aggregate costs'!W$23)</f>
        <v>160.71857782937983</v>
      </c>
      <c r="W35" s="109">
        <f>IF('2a Aggregate costs'!X$20="-","-",SUM('2a Aggregate costs'!X$20,'2a Aggregate costs'!X$21,'2a Aggregate costs'!X$22,'2a Aggregate costs'!X58)*'3a Demand'!$C$10+'2a Aggregate costs'!X$23)</f>
        <v>168.05614549201195</v>
      </c>
      <c r="X35" s="87"/>
      <c r="Y35" s="109">
        <f>IF('2a Aggregate costs'!Z$20="-","-",SUM('2a Aggregate costs'!Z$20,'2a Aggregate costs'!Z$21,'2a Aggregate costs'!Z$22,'2a Aggregate costs'!Z58)*'3a Demand'!$C$10+'2a Aggregate costs'!Z$23)</f>
        <v>166.48637814352423</v>
      </c>
      <c r="Z35" s="109" t="str">
        <f>IF('2a Aggregate costs'!AA$20="-","-",SUM('2a Aggregate costs'!AA$20,'2a Aggregate costs'!AA$21,'2a Aggregate costs'!AA$22,'2a Aggregate costs'!AA58)*'3a Demand'!$C$10+'2a Aggregate costs'!AA$23)</f>
        <v>-</v>
      </c>
      <c r="AA35" s="109" t="str">
        <f>IF('2a Aggregate costs'!AB$20="-","-",SUM('2a Aggregate costs'!AB$20,'2a Aggregate costs'!AB$21,'2a Aggregate costs'!AB$22,'2a Aggregate costs'!AB58)*'3a Demand'!$C$10+'2a Aggregate costs'!AB$23)</f>
        <v>-</v>
      </c>
    </row>
    <row r="36" spans="1:28" ht="12.75" customHeight="1">
      <c r="A36" s="15"/>
      <c r="B36" s="282"/>
      <c r="C36" s="111" t="s">
        <v>146</v>
      </c>
      <c r="D36" s="276"/>
      <c r="E36" s="300"/>
      <c r="F36" s="29"/>
      <c r="G36" s="109">
        <f>IF('2a Aggregate costs'!H$20="-","-",SUM('2a Aggregate costs'!H$20,'2a Aggregate costs'!H$21,'2a Aggregate costs'!H$22,'2a Aggregate costs'!H59)*'3a Demand'!$C$10+'2a Aggregate costs'!H$23)</f>
        <v>90.54348404455375</v>
      </c>
      <c r="H36" s="109">
        <f>IF('2a Aggregate costs'!I$20="-","-",SUM('2a Aggregate costs'!I$20,'2a Aggregate costs'!I$21,'2a Aggregate costs'!I$22,'2a Aggregate costs'!I59)*'3a Demand'!$C$10+'2a Aggregate costs'!I$23)</f>
        <v>90.516460694549778</v>
      </c>
      <c r="I36" s="109">
        <f>IF('2a Aggregate costs'!J$20="-","-",SUM('2a Aggregate costs'!J$20,'2a Aggregate costs'!J$21,'2a Aggregate costs'!J$22,'2a Aggregate costs'!J59)*'3a Demand'!$C$10+'2a Aggregate costs'!J$23)</f>
        <v>110.9099426039393</v>
      </c>
      <c r="J36" s="109">
        <f>IF('2a Aggregate costs'!K$20="-","-",SUM('2a Aggregate costs'!K$20,'2a Aggregate costs'!K$21,'2a Aggregate costs'!K$22,'2a Aggregate costs'!K59)*'3a Demand'!$C$10+'2a Aggregate costs'!K$23)</f>
        <v>110.80472506565799</v>
      </c>
      <c r="K36" s="109">
        <f>IF('2a Aggregate costs'!L$20="-","-",SUM('2a Aggregate costs'!L$20,'2a Aggregate costs'!L$21,'2a Aggregate costs'!L$22,'2a Aggregate costs'!L59)*'3a Demand'!$C$10+'2a Aggregate costs'!L$23)</f>
        <v>118.06503237324934</v>
      </c>
      <c r="L36" s="109">
        <f>IF('2a Aggregate costs'!M$20="-","-",SUM('2a Aggregate costs'!M$20,'2a Aggregate costs'!M$21,'2a Aggregate costs'!M$22,'2a Aggregate costs'!M59)*'3a Demand'!$C$10+'2a Aggregate costs'!M$23)</f>
        <v>118.49196582082185</v>
      </c>
      <c r="M36" s="109">
        <f>IF('2a Aggregate costs'!N$20="-","-",SUM('2a Aggregate costs'!N$20,'2a Aggregate costs'!N$21,'2a Aggregate costs'!N$22,'2a Aggregate costs'!N59)*'3a Demand'!$C$10+'2a Aggregate costs'!N$23)</f>
        <v>137.26771919915112</v>
      </c>
      <c r="N36" s="109">
        <f>IF('2a Aggregate costs'!O$20="-","-",SUM('2a Aggregate costs'!O$20,'2a Aggregate costs'!O$21,'2a Aggregate costs'!O$22,'2a Aggregate costs'!O59)*'3a Demand'!$C$10+'2a Aggregate costs'!O$23)</f>
        <v>137.36113710146006</v>
      </c>
      <c r="O36" s="87"/>
      <c r="P36" s="109">
        <f>IF('2a Aggregate costs'!Q$20="-","-",SUM('2a Aggregate costs'!Q$20,'2a Aggregate costs'!Q$21,'2a Aggregate costs'!Q$22,'2a Aggregate costs'!Q59)*'3a Demand'!$C$10+'2a Aggregate costs'!Q$23)</f>
        <v>137.36113710146006</v>
      </c>
      <c r="Q36" s="109">
        <f>IF('2a Aggregate costs'!R$20="-","-",SUM('2a Aggregate costs'!R$20,'2a Aggregate costs'!R$21,'2a Aggregate costs'!R$22,'2a Aggregate costs'!R59)*'3a Demand'!$C$10+'2a Aggregate costs'!R$23)</f>
        <v>146.96326820107984</v>
      </c>
      <c r="R36" s="109">
        <f>IF('2a Aggregate costs'!S$20="-","-",SUM('2a Aggregate costs'!S$20,'2a Aggregate costs'!S$21,'2a Aggregate costs'!S$22,'2a Aggregate costs'!S59)*'3a Demand'!$C$10+'2a Aggregate costs'!S$23)</f>
        <v>148.77457848415884</v>
      </c>
      <c r="S36" s="109">
        <f>IF('2a Aggregate costs'!T$20="-","-",SUM('2a Aggregate costs'!T$20,'2a Aggregate costs'!T$21,'2a Aggregate costs'!T$22,'2a Aggregate costs'!T59)*'3a Demand'!$C$10+'2a Aggregate costs'!T$23)</f>
        <v>153.04361658388507</v>
      </c>
      <c r="T36" s="109">
        <f>IF('2a Aggregate costs'!U$20="-","-",SUM('2a Aggregate costs'!U$20,'2a Aggregate costs'!U$21,'2a Aggregate costs'!U$22,'2a Aggregate costs'!U59)*'3a Demand'!$C$10+'2a Aggregate costs'!U$23)</f>
        <v>152.50216532502199</v>
      </c>
      <c r="U36" s="109">
        <f>IF('2a Aggregate costs'!V$20="-","-",SUM('2a Aggregate costs'!V$20,'2a Aggregate costs'!V$21,'2a Aggregate costs'!V$22,'2a Aggregate costs'!V59)*'3a Demand'!$C$10+'2a Aggregate costs'!V$23)</f>
        <v>161.46782389225558</v>
      </c>
      <c r="V36" s="109">
        <f>IF('2a Aggregate costs'!W$20="-","-",SUM('2a Aggregate costs'!W$20,'2a Aggregate costs'!W$21,'2a Aggregate costs'!W$22,'2a Aggregate costs'!W59)*'3a Demand'!$C$10+'2a Aggregate costs'!W$23)</f>
        <v>160.70866171153111</v>
      </c>
      <c r="W36" s="109">
        <f>IF('2a Aggregate costs'!X$20="-","-",SUM('2a Aggregate costs'!X$20,'2a Aggregate costs'!X$21,'2a Aggregate costs'!X$22,'2a Aggregate costs'!X59)*'3a Demand'!$C$10+'2a Aggregate costs'!X$23)</f>
        <v>168.04577449734751</v>
      </c>
      <c r="X36" s="87"/>
      <c r="Y36" s="109">
        <f>IF('2a Aggregate costs'!Z$20="-","-",SUM('2a Aggregate costs'!Z$20,'2a Aggregate costs'!Z$21,'2a Aggregate costs'!Z$22,'2a Aggregate costs'!Z59)*'3a Demand'!$C$10+'2a Aggregate costs'!Z$23)</f>
        <v>166.47630957037103</v>
      </c>
      <c r="Z36" s="109" t="str">
        <f>IF('2a Aggregate costs'!AA$20="-","-",SUM('2a Aggregate costs'!AA$20,'2a Aggregate costs'!AA$21,'2a Aggregate costs'!AA$22,'2a Aggregate costs'!AA59)*'3a Demand'!$C$10+'2a Aggregate costs'!AA$23)</f>
        <v>-</v>
      </c>
      <c r="AA36" s="109" t="str">
        <f>IF('2a Aggregate costs'!AB$20="-","-",SUM('2a Aggregate costs'!AB$20,'2a Aggregate costs'!AB$21,'2a Aggregate costs'!AB$22,'2a Aggregate costs'!AB59)*'3a Demand'!$C$10+'2a Aggregate costs'!AB$23)</f>
        <v>-</v>
      </c>
    </row>
    <row r="37" spans="1:28" ht="12.75" customHeight="1">
      <c r="A37" s="15"/>
      <c r="B37" s="282"/>
      <c r="C37" s="111" t="s">
        <v>147</v>
      </c>
      <c r="D37" s="276"/>
      <c r="E37" s="300"/>
      <c r="F37" s="29"/>
      <c r="G37" s="109">
        <f>IF('2a Aggregate costs'!H$20="-","-",SUM('2a Aggregate costs'!H$20,'2a Aggregate costs'!H$21,'2a Aggregate costs'!H$22,'2a Aggregate costs'!H60)*'3a Demand'!$C$10+'2a Aggregate costs'!H$23)</f>
        <v>90.55277915473367</v>
      </c>
      <c r="H37" s="109">
        <f>IF('2a Aggregate costs'!I$20="-","-",SUM('2a Aggregate costs'!I$20,'2a Aggregate costs'!I$21,'2a Aggregate costs'!I$22,'2a Aggregate costs'!I60)*'3a Demand'!$C$10+'2a Aggregate costs'!I$23)</f>
        <v>90.525606744686769</v>
      </c>
      <c r="I37" s="109">
        <f>IF('2a Aggregate costs'!J$20="-","-",SUM('2a Aggregate costs'!J$20,'2a Aggregate costs'!J$21,'2a Aggregate costs'!J$22,'2a Aggregate costs'!J60)*'3a Demand'!$C$10+'2a Aggregate costs'!J$23)</f>
        <v>110.91930815927955</v>
      </c>
      <c r="J37" s="109">
        <f>IF('2a Aggregate costs'!K$20="-","-",SUM('2a Aggregate costs'!K$20,'2a Aggregate costs'!K$21,'2a Aggregate costs'!K$22,'2a Aggregate costs'!K60)*'3a Demand'!$C$10+'2a Aggregate costs'!K$23)</f>
        <v>110.81449637119719</v>
      </c>
      <c r="K37" s="109">
        <f>IF('2a Aggregate costs'!L$20="-","-",SUM('2a Aggregate costs'!L$20,'2a Aggregate costs'!L$21,'2a Aggregate costs'!L$22,'2a Aggregate costs'!L60)*'3a Demand'!$C$10+'2a Aggregate costs'!L$23)</f>
        <v>118.07497956228825</v>
      </c>
      <c r="L37" s="109">
        <f>IF('2a Aggregate costs'!M$20="-","-",SUM('2a Aggregate costs'!M$20,'2a Aggregate costs'!M$21,'2a Aggregate costs'!M$22,'2a Aggregate costs'!M60)*'3a Demand'!$C$10+'2a Aggregate costs'!M$23)</f>
        <v>118.50173163425278</v>
      </c>
      <c r="M37" s="109">
        <f>IF('2a Aggregate costs'!N$20="-","-",SUM('2a Aggregate costs'!N$20,'2a Aggregate costs'!N$21,'2a Aggregate costs'!N$22,'2a Aggregate costs'!N60)*'3a Demand'!$C$10+'2a Aggregate costs'!N$23)</f>
        <v>137.27333111497819</v>
      </c>
      <c r="N37" s="109">
        <f>IF('2a Aggregate costs'!O$20="-","-",SUM('2a Aggregate costs'!O$20,'2a Aggregate costs'!O$21,'2a Aggregate costs'!O$22,'2a Aggregate costs'!O60)*'3a Demand'!$C$10+'2a Aggregate costs'!O$23)</f>
        <v>137.36687241557513</v>
      </c>
      <c r="O37" s="87"/>
      <c r="P37" s="109">
        <f>IF('2a Aggregate costs'!Q$20="-","-",SUM('2a Aggregate costs'!Q$20,'2a Aggregate costs'!Q$21,'2a Aggregate costs'!Q$22,'2a Aggregate costs'!Q60)*'3a Demand'!$C$10+'2a Aggregate costs'!Q$23)</f>
        <v>137.36687241557513</v>
      </c>
      <c r="Q37" s="109">
        <f>IF('2a Aggregate costs'!R$20="-","-",SUM('2a Aggregate costs'!R$20,'2a Aggregate costs'!R$21,'2a Aggregate costs'!R$22,'2a Aggregate costs'!R60)*'3a Demand'!$C$10+'2a Aggregate costs'!R$23)</f>
        <v>146.97043450994408</v>
      </c>
      <c r="R37" s="109">
        <f>IF('2a Aggregate costs'!S$20="-","-",SUM('2a Aggregate costs'!S$20,'2a Aggregate costs'!S$21,'2a Aggregate costs'!S$22,'2a Aggregate costs'!S60)*'3a Demand'!$C$10+'2a Aggregate costs'!S$23)</f>
        <v>148.77708278774176</v>
      </c>
      <c r="S37" s="109">
        <f>IF('2a Aggregate costs'!T$20="-","-",SUM('2a Aggregate costs'!T$20,'2a Aggregate costs'!T$21,'2a Aggregate costs'!T$22,'2a Aggregate costs'!T60)*'3a Demand'!$C$10+'2a Aggregate costs'!T$23)</f>
        <v>153.0488719837787</v>
      </c>
      <c r="T37" s="109">
        <f>IF('2a Aggregate costs'!U$20="-","-",SUM('2a Aggregate costs'!U$20,'2a Aggregate costs'!U$21,'2a Aggregate costs'!U$22,'2a Aggregate costs'!U60)*'3a Demand'!$C$10+'2a Aggregate costs'!U$23)</f>
        <v>152.50342045863562</v>
      </c>
      <c r="U37" s="109">
        <f>IF('2a Aggregate costs'!V$20="-","-",SUM('2a Aggregate costs'!V$20,'2a Aggregate costs'!V$21,'2a Aggregate costs'!V$22,'2a Aggregate costs'!V60)*'3a Demand'!$C$10+'2a Aggregate costs'!V$23)</f>
        <v>161.46777022160134</v>
      </c>
      <c r="V37" s="109">
        <f>IF('2a Aggregate costs'!W$20="-","-",SUM('2a Aggregate costs'!W$20,'2a Aggregate costs'!W$21,'2a Aggregate costs'!W$22,'2a Aggregate costs'!W60)*'3a Demand'!$C$10+'2a Aggregate costs'!W$23)</f>
        <v>160.711916293798</v>
      </c>
      <c r="W37" s="109">
        <f>IF('2a Aggregate costs'!X$20="-","-",SUM('2a Aggregate costs'!X$20,'2a Aggregate costs'!X$21,'2a Aggregate costs'!X$22,'2a Aggregate costs'!X60)*'3a Demand'!$C$10+'2a Aggregate costs'!X$23)</f>
        <v>168.05913701648814</v>
      </c>
      <c r="X37" s="87"/>
      <c r="Y37" s="109">
        <f>IF('2a Aggregate costs'!Z$20="-","-",SUM('2a Aggregate costs'!Z$20,'2a Aggregate costs'!Z$21,'2a Aggregate costs'!Z$22,'2a Aggregate costs'!Z60)*'3a Demand'!$C$10+'2a Aggregate costs'!Z$23)</f>
        <v>166.48960162234616</v>
      </c>
      <c r="Z37" s="109" t="str">
        <f>IF('2a Aggregate costs'!AA$20="-","-",SUM('2a Aggregate costs'!AA$20,'2a Aggregate costs'!AA$21,'2a Aggregate costs'!AA$22,'2a Aggregate costs'!AA60)*'3a Demand'!$C$10+'2a Aggregate costs'!AA$23)</f>
        <v>-</v>
      </c>
      <c r="AA37" s="109" t="str">
        <f>IF('2a Aggregate costs'!AB$20="-","-",SUM('2a Aggregate costs'!AB$20,'2a Aggregate costs'!AB$21,'2a Aggregate costs'!AB$22,'2a Aggregate costs'!AB60)*'3a Demand'!$C$10+'2a Aggregate costs'!AB$23)</f>
        <v>-</v>
      </c>
    </row>
    <row r="38" spans="1:28" ht="12.75" customHeight="1">
      <c r="A38" s="15"/>
      <c r="B38" s="282"/>
      <c r="C38" s="111" t="s">
        <v>148</v>
      </c>
      <c r="D38" s="276"/>
      <c r="E38" s="300"/>
      <c r="F38" s="29"/>
      <c r="G38" s="109">
        <f>IF('2a Aggregate costs'!H$20="-","-",SUM('2a Aggregate costs'!H$20,'2a Aggregate costs'!H$21,'2a Aggregate costs'!H$22,'2a Aggregate costs'!H61)*'3a Demand'!$C$10+'2a Aggregate costs'!H$23)</f>
        <v>90.549021981319527</v>
      </c>
      <c r="H38" s="109">
        <f>IF('2a Aggregate costs'!I$20="-","-",SUM('2a Aggregate costs'!I$20,'2a Aggregate costs'!I$21,'2a Aggregate costs'!I$22,'2a Aggregate costs'!I61)*'3a Demand'!$C$10+'2a Aggregate costs'!I$23)</f>
        <v>90.521909822783286</v>
      </c>
      <c r="I38" s="109">
        <f>IF('2a Aggregate costs'!J$20="-","-",SUM('2a Aggregate costs'!J$20,'2a Aggregate costs'!J$21,'2a Aggregate costs'!J$22,'2a Aggregate costs'!J61)*'3a Demand'!$C$10+'2a Aggregate costs'!J$23)</f>
        <v>110.9155225112504</v>
      </c>
      <c r="J38" s="109">
        <f>IF('2a Aggregate costs'!K$20="-","-",SUM('2a Aggregate costs'!K$20,'2a Aggregate costs'!K$21,'2a Aggregate costs'!K$22,'2a Aggregate costs'!K61)*'3a Demand'!$C$10+'2a Aggregate costs'!K$23)</f>
        <v>110.81054671501421</v>
      </c>
      <c r="K38" s="109">
        <f>IF('2a Aggregate costs'!L$20="-","-",SUM('2a Aggregate costs'!L$20,'2a Aggregate costs'!L$21,'2a Aggregate costs'!L$22,'2a Aggregate costs'!L61)*'3a Demand'!$C$10+'2a Aggregate costs'!L$23)</f>
        <v>118.07095881229398</v>
      </c>
      <c r="L38" s="109">
        <f>IF('2a Aggregate costs'!M$20="-","-",SUM('2a Aggregate costs'!M$20,'2a Aggregate costs'!M$21,'2a Aggregate costs'!M$22,'2a Aggregate costs'!M61)*'3a Demand'!$C$10+'2a Aggregate costs'!M$23)</f>
        <v>118.49778419803306</v>
      </c>
      <c r="M38" s="109">
        <f>IF('2a Aggregate costs'!N$20="-","-",SUM('2a Aggregate costs'!N$20,'2a Aggregate costs'!N$21,'2a Aggregate costs'!N$22,'2a Aggregate costs'!N61)*'3a Demand'!$C$10+'2a Aggregate costs'!N$23)</f>
        <v>137.26836211165772</v>
      </c>
      <c r="N38" s="109">
        <f>IF('2a Aggregate costs'!O$20="-","-",SUM('2a Aggregate costs'!O$20,'2a Aggregate costs'!O$21,'2a Aggregate costs'!O$22,'2a Aggregate costs'!O61)*'3a Demand'!$C$10+'2a Aggregate costs'!O$23)</f>
        <v>137.36179415072587</v>
      </c>
      <c r="O38" s="87"/>
      <c r="P38" s="109">
        <f>IF('2a Aggregate costs'!Q$20="-","-",SUM('2a Aggregate costs'!Q$20,'2a Aggregate costs'!Q$21,'2a Aggregate costs'!Q$22,'2a Aggregate costs'!Q61)*'3a Demand'!$C$10+'2a Aggregate costs'!Q$23)</f>
        <v>137.36179415072587</v>
      </c>
      <c r="Q38" s="109">
        <f>IF('2a Aggregate costs'!R$20="-","-",SUM('2a Aggregate costs'!R$20,'2a Aggregate costs'!R$21,'2a Aggregate costs'!R$22,'2a Aggregate costs'!R61)*'3a Demand'!$C$10+'2a Aggregate costs'!R$23)</f>
        <v>146.96394752866459</v>
      </c>
      <c r="R38" s="109">
        <f>IF('2a Aggregate costs'!S$20="-","-",SUM('2a Aggregate costs'!S$20,'2a Aggregate costs'!S$21,'2a Aggregate costs'!S$22,'2a Aggregate costs'!S61)*'3a Demand'!$C$10+'2a Aggregate costs'!S$23)</f>
        <v>148.77045370543919</v>
      </c>
      <c r="S38" s="109">
        <f>IF('2a Aggregate costs'!T$20="-","-",SUM('2a Aggregate costs'!T$20,'2a Aggregate costs'!T$21,'2a Aggregate costs'!T$22,'2a Aggregate costs'!T61)*'3a Demand'!$C$10+'2a Aggregate costs'!T$23)</f>
        <v>153.03557357473014</v>
      </c>
      <c r="T38" s="109">
        <f>IF('2a Aggregate costs'!U$20="-","-",SUM('2a Aggregate costs'!U$20,'2a Aggregate costs'!U$21,'2a Aggregate costs'!U$22,'2a Aggregate costs'!U61)*'3a Demand'!$C$10+'2a Aggregate costs'!U$23)</f>
        <v>152.48854539047414</v>
      </c>
      <c r="U38" s="109">
        <f>IF('2a Aggregate costs'!V$20="-","-",SUM('2a Aggregate costs'!V$20,'2a Aggregate costs'!V$21,'2a Aggregate costs'!V$22,'2a Aggregate costs'!V61)*'3a Demand'!$C$10+'2a Aggregate costs'!V$23)</f>
        <v>161.4484070653433</v>
      </c>
      <c r="V38" s="109">
        <f>IF('2a Aggregate costs'!W$20="-","-",SUM('2a Aggregate costs'!W$20,'2a Aggregate costs'!W$21,'2a Aggregate costs'!W$22,'2a Aggregate costs'!W61)*'3a Demand'!$C$10+'2a Aggregate costs'!W$23)</f>
        <v>160.69385763096963</v>
      </c>
      <c r="W38" s="109">
        <f>IF('2a Aggregate costs'!X$20="-","-",SUM('2a Aggregate costs'!X$20,'2a Aggregate costs'!X$21,'2a Aggregate costs'!X$22,'2a Aggregate costs'!X61)*'3a Demand'!$C$10+'2a Aggregate costs'!X$23)</f>
        <v>168.05032147309819</v>
      </c>
      <c r="X38" s="87"/>
      <c r="Y38" s="109">
        <f>IF('2a Aggregate costs'!Z$20="-","-",SUM('2a Aggregate costs'!Z$20,'2a Aggregate costs'!Z$21,'2a Aggregate costs'!Z$22,'2a Aggregate costs'!Z61)*'3a Demand'!$C$10+'2a Aggregate costs'!Z$23)</f>
        <v>166.48042434981238</v>
      </c>
      <c r="Z38" s="109" t="str">
        <f>IF('2a Aggregate costs'!AA$20="-","-",SUM('2a Aggregate costs'!AA$20,'2a Aggregate costs'!AA$21,'2a Aggregate costs'!AA$22,'2a Aggregate costs'!AA61)*'3a Demand'!$C$10+'2a Aggregate costs'!AA$23)</f>
        <v>-</v>
      </c>
      <c r="AA38" s="109" t="str">
        <f>IF('2a Aggregate costs'!AB$20="-","-",SUM('2a Aggregate costs'!AB$20,'2a Aggregate costs'!AB$21,'2a Aggregate costs'!AB$22,'2a Aggregate costs'!AB61)*'3a Demand'!$C$10+'2a Aggregate costs'!AB$23)</f>
        <v>-</v>
      </c>
    </row>
    <row r="39" spans="1:28" ht="12.75" customHeight="1">
      <c r="A39" s="15"/>
      <c r="B39" s="282"/>
      <c r="C39" s="111" t="s">
        <v>149</v>
      </c>
      <c r="D39" s="276"/>
      <c r="E39" s="300"/>
      <c r="F39" s="29"/>
      <c r="G39" s="109">
        <f>IF('2a Aggregate costs'!H$20="-","-",SUM('2a Aggregate costs'!H$20,'2a Aggregate costs'!H$21,'2a Aggregate costs'!H$22,'2a Aggregate costs'!H62)*'3a Demand'!$C$10+'2a Aggregate costs'!H$23)</f>
        <v>90.533351941383316</v>
      </c>
      <c r="H39" s="109">
        <f>IF('2a Aggregate costs'!I$20="-","-",SUM('2a Aggregate costs'!I$20,'2a Aggregate costs'!I$21,'2a Aggregate costs'!I$22,'2a Aggregate costs'!I62)*'3a Demand'!$C$10+'2a Aggregate costs'!I$23)</f>
        <v>90.506491073771102</v>
      </c>
      <c r="I39" s="109">
        <f>IF('2a Aggregate costs'!J$20="-","-",SUM('2a Aggregate costs'!J$20,'2a Aggregate costs'!J$21,'2a Aggregate costs'!J$22,'2a Aggregate costs'!J62)*'3a Demand'!$C$10+'2a Aggregate costs'!J$23)</f>
        <v>110.89973371226192</v>
      </c>
      <c r="J39" s="109">
        <f>IF('2a Aggregate costs'!K$20="-","-",SUM('2a Aggregate costs'!K$20,'2a Aggregate costs'!K$21,'2a Aggregate costs'!K$22,'2a Aggregate costs'!K62)*'3a Demand'!$C$10+'2a Aggregate costs'!K$23)</f>
        <v>110.79407388735923</v>
      </c>
      <c r="K39" s="109">
        <f>IF('2a Aggregate costs'!L$20="-","-",SUM('2a Aggregate costs'!L$20,'2a Aggregate costs'!L$21,'2a Aggregate costs'!L$22,'2a Aggregate costs'!L62)*'3a Demand'!$C$10+'2a Aggregate costs'!L$23)</f>
        <v>118.0541894737412</v>
      </c>
      <c r="L39" s="109">
        <f>IF('2a Aggregate costs'!M$20="-","-",SUM('2a Aggregate costs'!M$20,'2a Aggregate costs'!M$21,'2a Aggregate costs'!M$22,'2a Aggregate costs'!M62)*'3a Demand'!$C$10+'2a Aggregate costs'!M$23)</f>
        <v>118.48132062917698</v>
      </c>
      <c r="M39" s="109">
        <f>IF('2a Aggregate costs'!N$20="-","-",SUM('2a Aggregate costs'!N$20,'2a Aggregate costs'!N$21,'2a Aggregate costs'!N$22,'2a Aggregate costs'!N62)*'3a Demand'!$C$10+'2a Aggregate costs'!N$23)</f>
        <v>137.25579854690255</v>
      </c>
      <c r="N39" s="109">
        <f>IF('2a Aggregate costs'!O$20="-","-",SUM('2a Aggregate costs'!O$20,'2a Aggregate costs'!O$21,'2a Aggregate costs'!O$22,'2a Aggregate costs'!O62)*'3a Demand'!$C$10+'2a Aggregate costs'!O$23)</f>
        <v>137.34895433051187</v>
      </c>
      <c r="O39" s="87"/>
      <c r="P39" s="109">
        <f>IF('2a Aggregate costs'!Q$20="-","-",SUM('2a Aggregate costs'!Q$20,'2a Aggregate costs'!Q$21,'2a Aggregate costs'!Q$22,'2a Aggregate costs'!Q62)*'3a Demand'!$C$10+'2a Aggregate costs'!Q$23)</f>
        <v>137.34895433051187</v>
      </c>
      <c r="Q39" s="109">
        <f>IF('2a Aggregate costs'!R$20="-","-",SUM('2a Aggregate costs'!R$20,'2a Aggregate costs'!R$21,'2a Aggregate costs'!R$22,'2a Aggregate costs'!R62)*'3a Demand'!$C$10+'2a Aggregate costs'!R$23)</f>
        <v>146.95691580657046</v>
      </c>
      <c r="R39" s="109">
        <f>IF('2a Aggregate costs'!S$20="-","-",SUM('2a Aggregate costs'!S$20,'2a Aggregate costs'!S$21,'2a Aggregate costs'!S$22,'2a Aggregate costs'!S62)*'3a Demand'!$C$10+'2a Aggregate costs'!S$23)</f>
        <v>148.76318459930232</v>
      </c>
      <c r="S39" s="109">
        <f>IF('2a Aggregate costs'!T$20="-","-",SUM('2a Aggregate costs'!T$20,'2a Aggregate costs'!T$21,'2a Aggregate costs'!T$22,'2a Aggregate costs'!T62)*'3a Demand'!$C$10+'2a Aggregate costs'!T$23)</f>
        <v>153.03188700422967</v>
      </c>
      <c r="T39" s="109">
        <f>IF('2a Aggregate costs'!U$20="-","-",SUM('2a Aggregate costs'!U$20,'2a Aggregate costs'!U$21,'2a Aggregate costs'!U$22,'2a Aggregate costs'!U62)*'3a Demand'!$C$10+'2a Aggregate costs'!U$23)</f>
        <v>152.48438522640836</v>
      </c>
      <c r="U39" s="109">
        <f>IF('2a Aggregate costs'!V$20="-","-",SUM('2a Aggregate costs'!V$20,'2a Aggregate costs'!V$21,'2a Aggregate costs'!V$22,'2a Aggregate costs'!V62)*'3a Demand'!$C$10+'2a Aggregate costs'!V$23)</f>
        <v>161.43661419323735</v>
      </c>
      <c r="V39" s="109">
        <f>IF('2a Aggregate costs'!W$20="-","-",SUM('2a Aggregate costs'!W$20,'2a Aggregate costs'!W$21,'2a Aggregate costs'!W$22,'2a Aggregate costs'!W62)*'3a Demand'!$C$10+'2a Aggregate costs'!W$23)</f>
        <v>160.68287628598043</v>
      </c>
      <c r="W39" s="109">
        <f>IF('2a Aggregate costs'!X$20="-","-",SUM('2a Aggregate costs'!X$20,'2a Aggregate costs'!X$21,'2a Aggregate costs'!X$22,'2a Aggregate costs'!X62)*'3a Demand'!$C$10+'2a Aggregate costs'!X$23)</f>
        <v>168.01880623064417</v>
      </c>
      <c r="X39" s="87"/>
      <c r="Y39" s="109">
        <f>IF('2a Aggregate costs'!Z$20="-","-",SUM('2a Aggregate costs'!Z$20,'2a Aggregate costs'!Z$21,'2a Aggregate costs'!Z$22,'2a Aggregate costs'!Z62)*'3a Demand'!$C$10+'2a Aggregate costs'!Z$23)</f>
        <v>166.45008075441629</v>
      </c>
      <c r="Z39" s="109" t="str">
        <f>IF('2a Aggregate costs'!AA$20="-","-",SUM('2a Aggregate costs'!AA$20,'2a Aggregate costs'!AA$21,'2a Aggregate costs'!AA$22,'2a Aggregate costs'!AA62)*'3a Demand'!$C$10+'2a Aggregate costs'!AA$23)</f>
        <v>-</v>
      </c>
      <c r="AA39" s="109" t="str">
        <f>IF('2a Aggregate costs'!AB$20="-","-",SUM('2a Aggregate costs'!AB$20,'2a Aggregate costs'!AB$21,'2a Aggregate costs'!AB$22,'2a Aggregate costs'!AB62)*'3a Demand'!$C$10+'2a Aggregate costs'!AB$23)</f>
        <v>-</v>
      </c>
    </row>
    <row r="40" spans="1:28" ht="12.75" customHeight="1">
      <c r="A40" s="15"/>
      <c r="B40" s="282"/>
      <c r="C40" s="111" t="s">
        <v>150</v>
      </c>
      <c r="D40" s="276"/>
      <c r="E40" s="300"/>
      <c r="F40" s="29"/>
      <c r="G40" s="109">
        <f>IF('2a Aggregate costs'!H$20="-","-",SUM('2a Aggregate costs'!H$20,'2a Aggregate costs'!H$21,'2a Aggregate costs'!H$22,'2a Aggregate costs'!H63)*'3a Demand'!$C$10+'2a Aggregate costs'!H$23)</f>
        <v>90.567177454328473</v>
      </c>
      <c r="H40" s="109">
        <f>IF('2a Aggregate costs'!I$20="-","-",SUM('2a Aggregate costs'!I$20,'2a Aggregate costs'!I$21,'2a Aggregate costs'!I$22,'2a Aggregate costs'!I63)*'3a Demand'!$C$10+'2a Aggregate costs'!I$23)</f>
        <v>90.539774147485858</v>
      </c>
      <c r="I40" s="109">
        <f>IF('2a Aggregate costs'!J$20="-","-",SUM('2a Aggregate costs'!J$20,'2a Aggregate costs'!J$21,'2a Aggregate costs'!J$22,'2a Aggregate costs'!J63)*'3a Demand'!$C$10+'2a Aggregate costs'!J$23)</f>
        <v>110.93381557974584</v>
      </c>
      <c r="J40" s="109">
        <f>IF('2a Aggregate costs'!K$20="-","-",SUM('2a Aggregate costs'!K$20,'2a Aggregate costs'!K$21,'2a Aggregate costs'!K$22,'2a Aggregate costs'!K63)*'3a Demand'!$C$10+'2a Aggregate costs'!K$23)</f>
        <v>110.82963230631385</v>
      </c>
      <c r="K40" s="109">
        <f>IF('2a Aggregate costs'!L$20="-","-",SUM('2a Aggregate costs'!L$20,'2a Aggregate costs'!L$21,'2a Aggregate costs'!L$22,'2a Aggregate costs'!L63)*'3a Demand'!$C$10+'2a Aggregate costs'!L$23)</f>
        <v>118.09038794423699</v>
      </c>
      <c r="L40" s="109">
        <f>IF('2a Aggregate costs'!M$20="-","-",SUM('2a Aggregate costs'!M$20,'2a Aggregate costs'!M$21,'2a Aggregate costs'!M$22,'2a Aggregate costs'!M63)*'3a Demand'!$C$10+'2a Aggregate costs'!M$23)</f>
        <v>118.51685906199097</v>
      </c>
      <c r="M40" s="109">
        <f>IF('2a Aggregate costs'!N$20="-","-",SUM('2a Aggregate costs'!N$20,'2a Aggregate costs'!N$21,'2a Aggregate costs'!N$22,'2a Aggregate costs'!N63)*'3a Demand'!$C$10+'2a Aggregate costs'!N$23)</f>
        <v>137.28400182664441</v>
      </c>
      <c r="N40" s="109">
        <f>IF('2a Aggregate costs'!O$20="-","-",SUM('2a Aggregate costs'!O$20,'2a Aggregate costs'!O$21,'2a Aggregate costs'!O$22,'2a Aggregate costs'!O63)*'3a Demand'!$C$10+'2a Aggregate costs'!O$23)</f>
        <v>137.37777776147172</v>
      </c>
      <c r="O40" s="87"/>
      <c r="P40" s="109">
        <f>IF('2a Aggregate costs'!Q$20="-","-",SUM('2a Aggregate costs'!Q$20,'2a Aggregate costs'!Q$21,'2a Aggregate costs'!Q$22,'2a Aggregate costs'!Q63)*'3a Demand'!$C$10+'2a Aggregate costs'!Q$23)</f>
        <v>137.37777776147172</v>
      </c>
      <c r="Q40" s="109">
        <f>IF('2a Aggregate costs'!R$20="-","-",SUM('2a Aggregate costs'!R$20,'2a Aggregate costs'!R$21,'2a Aggregate costs'!R$22,'2a Aggregate costs'!R63)*'3a Demand'!$C$10+'2a Aggregate costs'!R$23)</f>
        <v>146.98010953051718</v>
      </c>
      <c r="R40" s="109">
        <f>IF('2a Aggregate costs'!S$20="-","-",SUM('2a Aggregate costs'!S$20,'2a Aggregate costs'!S$21,'2a Aggregate costs'!S$22,'2a Aggregate costs'!S63)*'3a Demand'!$C$10+'2a Aggregate costs'!S$23)</f>
        <v>148.7871317194722</v>
      </c>
      <c r="S40" s="109">
        <f>IF('2a Aggregate costs'!T$20="-","-",SUM('2a Aggregate costs'!T$20,'2a Aggregate costs'!T$21,'2a Aggregate costs'!T$22,'2a Aggregate costs'!T63)*'3a Demand'!$C$10+'2a Aggregate costs'!T$23)</f>
        <v>153.06304542882961</v>
      </c>
      <c r="T40" s="109">
        <f>IF('2a Aggregate costs'!U$20="-","-",SUM('2a Aggregate costs'!U$20,'2a Aggregate costs'!U$21,'2a Aggregate costs'!U$22,'2a Aggregate costs'!U63)*'3a Demand'!$C$10+'2a Aggregate costs'!U$23)</f>
        <v>152.51937387788138</v>
      </c>
      <c r="U40" s="109">
        <f>IF('2a Aggregate costs'!V$20="-","-",SUM('2a Aggregate costs'!V$20,'2a Aggregate costs'!V$21,'2a Aggregate costs'!V$22,'2a Aggregate costs'!V63)*'3a Demand'!$C$10+'2a Aggregate costs'!V$23)</f>
        <v>161.49460502268013</v>
      </c>
      <c r="V40" s="109">
        <f>IF('2a Aggregate costs'!W$20="-","-",SUM('2a Aggregate costs'!W$20,'2a Aggregate costs'!W$21,'2a Aggregate costs'!W$22,'2a Aggregate costs'!W63)*'3a Demand'!$C$10+'2a Aggregate costs'!W$23)</f>
        <v>160.73683045823435</v>
      </c>
      <c r="W40" s="109">
        <f>IF('2a Aggregate costs'!X$20="-","-",SUM('2a Aggregate costs'!X$20,'2a Aggregate costs'!X$21,'2a Aggregate costs'!X$22,'2a Aggregate costs'!X63)*'3a Demand'!$C$10+'2a Aggregate costs'!X$23)</f>
        <v>168.08146139532414</v>
      </c>
      <c r="X40" s="87"/>
      <c r="Y40" s="109">
        <f>IF('2a Aggregate costs'!Z$20="-","-",SUM('2a Aggregate costs'!Z$20,'2a Aggregate costs'!Z$21,'2a Aggregate costs'!Z$22,'2a Aggregate costs'!Z63)*'3a Demand'!$C$10+'2a Aggregate costs'!Z$23)</f>
        <v>166.51106320233191</v>
      </c>
      <c r="Z40" s="109" t="str">
        <f>IF('2a Aggregate costs'!AA$20="-","-",SUM('2a Aggregate costs'!AA$20,'2a Aggregate costs'!AA$21,'2a Aggregate costs'!AA$22,'2a Aggregate costs'!AA63)*'3a Demand'!$C$10+'2a Aggregate costs'!AA$23)</f>
        <v>-</v>
      </c>
      <c r="AA40" s="109" t="str">
        <f>IF('2a Aggregate costs'!AB$20="-","-",SUM('2a Aggregate costs'!AB$20,'2a Aggregate costs'!AB$21,'2a Aggregate costs'!AB$22,'2a Aggregate costs'!AB63)*'3a Demand'!$C$10+'2a Aggregate costs'!AB$23)</f>
        <v>-</v>
      </c>
    </row>
    <row r="41" spans="1:28" ht="12.75" customHeight="1">
      <c r="A41" s="15"/>
      <c r="B41" s="282"/>
      <c r="C41" s="111" t="s">
        <v>151</v>
      </c>
      <c r="D41" s="276"/>
      <c r="E41" s="300"/>
      <c r="F41" s="29"/>
      <c r="G41" s="109">
        <f>IF('2a Aggregate costs'!H$20="-","-",SUM('2a Aggregate costs'!H$20,'2a Aggregate costs'!H$21,'2a Aggregate costs'!H$22,'2a Aggregate costs'!H64)*'3a Demand'!$C$10+'2a Aggregate costs'!H$23)</f>
        <v>90.560510430644129</v>
      </c>
      <c r="H41" s="109">
        <f>IF('2a Aggregate costs'!I$20="-","-",SUM('2a Aggregate costs'!I$20,'2a Aggregate costs'!I$21,'2a Aggregate costs'!I$22,'2a Aggregate costs'!I64)*'3a Demand'!$C$10+'2a Aggregate costs'!I$23)</f>
        <v>90.533214038815714</v>
      </c>
      <c r="I41" s="109">
        <f>IF('2a Aggregate costs'!J$20="-","-",SUM('2a Aggregate costs'!J$20,'2a Aggregate costs'!J$21,'2a Aggregate costs'!J$22,'2a Aggregate costs'!J64)*'3a Demand'!$C$10+'2a Aggregate costs'!J$23)</f>
        <v>110.92709802846761</v>
      </c>
      <c r="J41" s="109">
        <f>IF('2a Aggregate costs'!K$20="-","-",SUM('2a Aggregate costs'!K$20,'2a Aggregate costs'!K$21,'2a Aggregate costs'!K$22,'2a Aggregate costs'!K64)*'3a Demand'!$C$10+'2a Aggregate costs'!K$23)</f>
        <v>110.82262372608236</v>
      </c>
      <c r="K41" s="109">
        <f>IF('2a Aggregate costs'!L$20="-","-",SUM('2a Aggregate costs'!L$20,'2a Aggregate costs'!L$21,'2a Aggregate costs'!L$22,'2a Aggregate costs'!L64)*'3a Demand'!$C$10+'2a Aggregate costs'!L$23)</f>
        <v>118.08325320956132</v>
      </c>
      <c r="L41" s="109">
        <f>IF('2a Aggregate costs'!M$20="-","-",SUM('2a Aggregate costs'!M$20,'2a Aggregate costs'!M$21,'2a Aggregate costs'!M$22,'2a Aggregate costs'!M64)*'3a Demand'!$C$10+'2a Aggregate costs'!M$23)</f>
        <v>118.50985442103671</v>
      </c>
      <c r="M41" s="109">
        <f>IF('2a Aggregate costs'!N$20="-","-",SUM('2a Aggregate costs'!N$20,'2a Aggregate costs'!N$21,'2a Aggregate costs'!N$22,'2a Aggregate costs'!N64)*'3a Demand'!$C$10+'2a Aggregate costs'!N$23)</f>
        <v>137.29435574829762</v>
      </c>
      <c r="N41" s="109">
        <f>IF('2a Aggregate costs'!O$20="-","-",SUM('2a Aggregate costs'!O$20,'2a Aggregate costs'!O$21,'2a Aggregate costs'!O$22,'2a Aggregate costs'!O64)*'3a Demand'!$C$10+'2a Aggregate costs'!O$23)</f>
        <v>137.38835935157988</v>
      </c>
      <c r="O41" s="87"/>
      <c r="P41" s="109">
        <f>IF('2a Aggregate costs'!Q$20="-","-",SUM('2a Aggregate costs'!Q$20,'2a Aggregate costs'!Q$21,'2a Aggregate costs'!Q$22,'2a Aggregate costs'!Q64)*'3a Demand'!$C$10+'2a Aggregate costs'!Q$23)</f>
        <v>137.38835935157988</v>
      </c>
      <c r="Q41" s="109">
        <f>IF('2a Aggregate costs'!R$20="-","-",SUM('2a Aggregate costs'!R$20,'2a Aggregate costs'!R$21,'2a Aggregate costs'!R$22,'2a Aggregate costs'!R64)*'3a Demand'!$C$10+'2a Aggregate costs'!R$23)</f>
        <v>146.99116772286865</v>
      </c>
      <c r="R41" s="109">
        <f>IF('2a Aggregate costs'!S$20="-","-",SUM('2a Aggregate costs'!S$20,'2a Aggregate costs'!S$21,'2a Aggregate costs'!S$22,'2a Aggregate costs'!S64)*'3a Demand'!$C$10+'2a Aggregate costs'!S$23)</f>
        <v>148.7985438101326</v>
      </c>
      <c r="S41" s="109">
        <f>IF('2a Aggregate costs'!T$20="-","-",SUM('2a Aggregate costs'!T$20,'2a Aggregate costs'!T$21,'2a Aggregate costs'!T$22,'2a Aggregate costs'!T64)*'3a Demand'!$C$10+'2a Aggregate costs'!T$23)</f>
        <v>153.06895857505964</v>
      </c>
      <c r="T41" s="109">
        <f>IF('2a Aggregate costs'!U$20="-","-",SUM('2a Aggregate costs'!U$20,'2a Aggregate costs'!U$21,'2a Aggregate costs'!U$22,'2a Aggregate costs'!U64)*'3a Demand'!$C$10+'2a Aggregate costs'!U$23)</f>
        <v>152.52598938275267</v>
      </c>
      <c r="U41" s="109">
        <f>IF('2a Aggregate costs'!V$20="-","-",SUM('2a Aggregate costs'!V$20,'2a Aggregate costs'!V$21,'2a Aggregate costs'!V$22,'2a Aggregate costs'!V64)*'3a Demand'!$C$10+'2a Aggregate costs'!V$23)</f>
        <v>161.50353869695175</v>
      </c>
      <c r="V41" s="109">
        <f>IF('2a Aggregate costs'!W$20="-","-",SUM('2a Aggregate costs'!W$20,'2a Aggregate costs'!W$21,'2a Aggregate costs'!W$22,'2a Aggregate costs'!W64)*'3a Demand'!$C$10+'2a Aggregate costs'!W$23)</f>
        <v>160.74512331138013</v>
      </c>
      <c r="W41" s="109">
        <f>IF('2a Aggregate costs'!X$20="-","-",SUM('2a Aggregate costs'!X$20,'2a Aggregate costs'!X$21,'2a Aggregate costs'!X$22,'2a Aggregate costs'!X64)*'3a Demand'!$C$10+'2a Aggregate costs'!X$23)</f>
        <v>168.09461002757854</v>
      </c>
      <c r="X41" s="87"/>
      <c r="Y41" s="109">
        <f>IF('2a Aggregate costs'!Z$20="-","-",SUM('2a Aggregate costs'!Z$20,'2a Aggregate costs'!Z$21,'2a Aggregate costs'!Z$22,'2a Aggregate costs'!Z64)*'3a Demand'!$C$10+'2a Aggregate costs'!Z$23)</f>
        <v>166.52394009258819</v>
      </c>
      <c r="Z41" s="109" t="str">
        <f>IF('2a Aggregate costs'!AA$20="-","-",SUM('2a Aggregate costs'!AA$20,'2a Aggregate costs'!AA$21,'2a Aggregate costs'!AA$22,'2a Aggregate costs'!AA64)*'3a Demand'!$C$10+'2a Aggregate costs'!AA$23)</f>
        <v>-</v>
      </c>
      <c r="AA41" s="109" t="str">
        <f>IF('2a Aggregate costs'!AB$20="-","-",SUM('2a Aggregate costs'!AB$20,'2a Aggregate costs'!AB$21,'2a Aggregate costs'!AB$22,'2a Aggregate costs'!AB64)*'3a Demand'!$C$10+'2a Aggregate costs'!AB$23)</f>
        <v>-</v>
      </c>
    </row>
    <row r="42" spans="1:28" ht="12.75" customHeight="1">
      <c r="A42" s="15"/>
      <c r="B42" s="299"/>
      <c r="C42" s="111" t="s">
        <v>152</v>
      </c>
      <c r="D42" s="276"/>
      <c r="E42" s="300"/>
      <c r="F42" s="29"/>
      <c r="G42" s="109">
        <f>IF('2a Aggregate costs'!H$20="-","-",SUM('2a Aggregate costs'!H$20,'2a Aggregate costs'!H$21,'2a Aggregate costs'!H$22,'2a Aggregate costs'!H65)*'3a Demand'!$C$10+'2a Aggregate costs'!H$23)</f>
        <v>90.563452996014576</v>
      </c>
      <c r="H42" s="109">
        <f>IF('2a Aggregate costs'!I$20="-","-",SUM('2a Aggregate costs'!I$20,'2a Aggregate costs'!I$21,'2a Aggregate costs'!I$22,'2a Aggregate costs'!I65)*'3a Demand'!$C$10+'2a Aggregate costs'!I$23)</f>
        <v>90.536109416050465</v>
      </c>
      <c r="I42" s="109">
        <f>IF('2a Aggregate costs'!J$20="-","-",SUM('2a Aggregate costs'!J$20,'2a Aggregate costs'!J$21,'2a Aggregate costs'!J$22,'2a Aggregate costs'!J65)*'3a Demand'!$C$10+'2a Aggregate costs'!J$23)</f>
        <v>110.93006289475601</v>
      </c>
      <c r="J42" s="109">
        <f>IF('2a Aggregate costs'!K$20="-","-",SUM('2a Aggregate costs'!K$20,'2a Aggregate costs'!K$21,'2a Aggregate costs'!K$22,'2a Aggregate costs'!K65)*'3a Demand'!$C$10+'2a Aggregate costs'!K$23)</f>
        <v>110.82571704124992</v>
      </c>
      <c r="K42" s="109">
        <f>IF('2a Aggregate costs'!L$20="-","-",SUM('2a Aggregate costs'!L$20,'2a Aggregate costs'!L$21,'2a Aggregate costs'!L$22,'2a Aggregate costs'!L65)*'3a Demand'!$C$10+'2a Aggregate costs'!L$23)</f>
        <v>118.08640220440191</v>
      </c>
      <c r="L42" s="109">
        <f>IF('2a Aggregate costs'!M$20="-","-",SUM('2a Aggregate costs'!M$20,'2a Aggregate costs'!M$21,'2a Aggregate costs'!M$22,'2a Aggregate costs'!M65)*'3a Demand'!$C$10+'2a Aggregate costs'!M$23)</f>
        <v>118.51294599756027</v>
      </c>
      <c r="M42" s="109">
        <f>IF('2a Aggregate costs'!N$20="-","-",SUM('2a Aggregate costs'!N$20,'2a Aggregate costs'!N$21,'2a Aggregate costs'!N$22,'2a Aggregate costs'!N65)*'3a Demand'!$C$10+'2a Aggregate costs'!N$23)</f>
        <v>137.29258493285312</v>
      </c>
      <c r="N42" s="109">
        <f>IF('2a Aggregate costs'!O$20="-","-",SUM('2a Aggregate costs'!O$20,'2a Aggregate costs'!O$21,'2a Aggregate costs'!O$22,'2a Aggregate costs'!O65)*'3a Demand'!$C$10+'2a Aggregate costs'!O$23)</f>
        <v>137.38654959834642</v>
      </c>
      <c r="O42" s="87"/>
      <c r="P42" s="109">
        <f>IF('2a Aggregate costs'!Q$20="-","-",SUM('2a Aggregate costs'!Q$20,'2a Aggregate costs'!Q$21,'2a Aggregate costs'!Q$22,'2a Aggregate costs'!Q65)*'3a Demand'!$C$10+'2a Aggregate costs'!Q$23)</f>
        <v>137.38654959834642</v>
      </c>
      <c r="Q42" s="109">
        <f>IF('2a Aggregate costs'!R$20="-","-",SUM('2a Aggregate costs'!R$20,'2a Aggregate costs'!R$21,'2a Aggregate costs'!R$22,'2a Aggregate costs'!R65)*'3a Demand'!$C$10+'2a Aggregate costs'!R$23)</f>
        <v>146.98954234980852</v>
      </c>
      <c r="R42" s="109">
        <f>IF('2a Aggregate costs'!S$20="-","-",SUM('2a Aggregate costs'!S$20,'2a Aggregate costs'!S$21,'2a Aggregate costs'!S$22,'2a Aggregate costs'!S65)*'3a Demand'!$C$10+'2a Aggregate costs'!S$23)</f>
        <v>148.79160549110014</v>
      </c>
      <c r="S42" s="109">
        <f>IF('2a Aggregate costs'!T$20="-","-",SUM('2a Aggregate costs'!T$20,'2a Aggregate costs'!T$21,'2a Aggregate costs'!T$22,'2a Aggregate costs'!T65)*'3a Demand'!$C$10+'2a Aggregate costs'!T$23)</f>
        <v>153.06114525270391</v>
      </c>
      <c r="T42" s="109">
        <f>IF('2a Aggregate costs'!U$20="-","-",SUM('2a Aggregate costs'!U$20,'2a Aggregate costs'!U$21,'2a Aggregate costs'!U$22,'2a Aggregate costs'!U65)*'3a Demand'!$C$10+'2a Aggregate costs'!U$23)</f>
        <v>152.52962101673523</v>
      </c>
      <c r="U42" s="109">
        <f>IF('2a Aggregate costs'!V$20="-","-",SUM('2a Aggregate costs'!V$20,'2a Aggregate costs'!V$21,'2a Aggregate costs'!V$22,'2a Aggregate costs'!V65)*'3a Demand'!$C$10+'2a Aggregate costs'!V$23)</f>
        <v>161.50696522673715</v>
      </c>
      <c r="V42" s="109">
        <f>IF('2a Aggregate costs'!W$20="-","-",SUM('2a Aggregate costs'!W$20,'2a Aggregate costs'!W$21,'2a Aggregate costs'!W$22,'2a Aggregate costs'!W65)*'3a Demand'!$C$10+'2a Aggregate costs'!W$23)</f>
        <v>160.76007965978201</v>
      </c>
      <c r="W42" s="109">
        <f>IF('2a Aggregate costs'!X$20="-","-",SUM('2a Aggregate costs'!X$20,'2a Aggregate costs'!X$21,'2a Aggregate costs'!X$22,'2a Aggregate costs'!X65)*'3a Demand'!$C$10+'2a Aggregate costs'!X$23)</f>
        <v>168.09955111387231</v>
      </c>
      <c r="X42" s="87"/>
      <c r="Y42" s="109">
        <f>IF('2a Aggregate costs'!Z$20="-","-",SUM('2a Aggregate costs'!Z$20,'2a Aggregate costs'!Z$21,'2a Aggregate costs'!Z$22,'2a Aggregate costs'!Z65)*'3a Demand'!$C$10+'2a Aggregate costs'!Z$23)</f>
        <v>166.5274391746747</v>
      </c>
      <c r="Z42" s="109" t="str">
        <f>IF('2a Aggregate costs'!AA$20="-","-",SUM('2a Aggregate costs'!AA$20,'2a Aggregate costs'!AA$21,'2a Aggregate costs'!AA$22,'2a Aggregate costs'!AA65)*'3a Demand'!$C$10+'2a Aggregate costs'!AA$23)</f>
        <v>-</v>
      </c>
      <c r="AA42" s="109" t="str">
        <f>IF('2a Aggregate costs'!AB$20="-","-",SUM('2a Aggregate costs'!AB$20,'2a Aggregate costs'!AB$21,'2a Aggregate costs'!AB$22,'2a Aggregate costs'!AB65)*'3a Demand'!$C$10+'2a Aggregate costs'!AB$23)</f>
        <v>-</v>
      </c>
    </row>
    <row r="43" spans="1:28" ht="12.75" customHeight="1">
      <c r="A43" s="15"/>
      <c r="B43" s="227" t="s">
        <v>154</v>
      </c>
      <c r="C43" s="147"/>
      <c r="D43" s="276"/>
      <c r="E43" s="300"/>
      <c r="F43" s="29"/>
      <c r="G43" s="109">
        <f>IF('2a Aggregate costs'!H$25="-","-",'2a Aggregate costs'!H25*'3a Demand'!$C$11+'2a Aggregate costs'!H26+'2a Aggregate costs'!H27)</f>
        <v>21.926269106402124</v>
      </c>
      <c r="H43" s="109">
        <f>IF('2a Aggregate costs'!I$15="-","-",'2a Aggregate costs'!I25*'3a Demand'!$C$11+'2a Aggregate costs'!I26+'2a Aggregate costs'!I27)</f>
        <v>21.926269106402124</v>
      </c>
      <c r="I43" s="109">
        <f>IF('2a Aggregate costs'!J$15="-","-",'2a Aggregate costs'!J25*'3a Demand'!$C$11+'2a Aggregate costs'!J26+'2a Aggregate costs'!J27)</f>
        <v>22.64764819235609</v>
      </c>
      <c r="J43" s="109">
        <f>IF('2a Aggregate costs'!K$15="-","-",'2a Aggregate costs'!K25*'3a Demand'!$C$11+'2a Aggregate costs'!K26+'2a Aggregate costs'!K27)</f>
        <v>22.505107470829557</v>
      </c>
      <c r="K43" s="109">
        <f>IF('2a Aggregate costs'!L$15="-","-",'2a Aggregate costs'!L25*'3a Demand'!$C$11+'2a Aggregate costs'!L26+'2a Aggregate costs'!L27)</f>
        <v>19.106297226763825</v>
      </c>
      <c r="L43" s="109">
        <f>IF('2a Aggregate costs'!M$15="-","-",'2a Aggregate costs'!M25*'3a Demand'!$C$11+'2a Aggregate costs'!M26+'2a Aggregate costs'!M27)</f>
        <v>19.106297226763825</v>
      </c>
      <c r="M43" s="109">
        <f>IF('2a Aggregate costs'!N$15="-","-",'2a Aggregate costs'!N25*'3a Demand'!$C$11+'2a Aggregate costs'!N26+'2a Aggregate costs'!N27)</f>
        <v>20.852393125569616</v>
      </c>
      <c r="N43" s="109">
        <f>IF('2a Aggregate costs'!O$15="-","-",'2a Aggregate costs'!O25*'3a Demand'!$C$11+'2a Aggregate costs'!O26+'2a Aggregate costs'!O27)</f>
        <v>20.849370287873604</v>
      </c>
      <c r="O43" s="29"/>
      <c r="P43" s="109">
        <f>IF('2a Aggregate costs'!Q$15="-","-",'2a Aggregate costs'!Q25*'3a Demand'!$C$11+'2a Aggregate costs'!Q26+'2a Aggregate costs'!Q27)</f>
        <v>20.849370287873604</v>
      </c>
      <c r="Q43" s="109">
        <f>IF('2a Aggregate costs'!R$15="-","-",'2a Aggregate costs'!R25*'3a Demand'!$C$11+'2a Aggregate costs'!R26+'2a Aggregate costs'!R27)</f>
        <v>21.503193401206047</v>
      </c>
      <c r="R43" s="109">
        <f>IF('2a Aggregate costs'!S$15="-","-",'2a Aggregate costs'!S25*'3a Demand'!$C$11+'2a Aggregate costs'!S26+'2a Aggregate costs'!S27)</f>
        <v>21.819481548965161</v>
      </c>
      <c r="S43" s="109">
        <f>IF('2a Aggregate costs'!T$15="-","-",'2a Aggregate costs'!T25*'3a Demand'!$C$11+'2a Aggregate costs'!T26+'2a Aggregate costs'!T27)</f>
        <v>25.256715910577427</v>
      </c>
      <c r="T43" s="109">
        <f>IF('2a Aggregate costs'!U$15="-","-",'2a Aggregate costs'!U25*'3a Demand'!$C$11+'2a Aggregate costs'!U26+'2a Aggregate costs'!U27)</f>
        <v>24.167303215101221</v>
      </c>
      <c r="U43" s="109">
        <f>IF('2a Aggregate costs'!V$15="-","-",'2a Aggregate costs'!V25*'3a Demand'!$C$11+'2a Aggregate costs'!V26+'2a Aggregate costs'!V27)</f>
        <v>23.962512789411701</v>
      </c>
      <c r="V43" s="109">
        <f>IF('2a Aggregate costs'!W$15="-","-",'2a Aggregate costs'!W25*'3a Demand'!$C$11+'2a Aggregate costs'!W26+'2a Aggregate costs'!W27)</f>
        <v>23.858648398084732</v>
      </c>
      <c r="W43" s="109">
        <f>IF('2a Aggregate costs'!X$15="-","-",'2a Aggregate costs'!X25*'3a Demand'!$C$11+'2a Aggregate costs'!X26+'2a Aggregate costs'!X27)</f>
        <v>33.366817904048837</v>
      </c>
      <c r="X43" s="29"/>
      <c r="Y43" s="109">
        <f>IF('2a Aggregate costs'!Z$15="-","-",'2a Aggregate costs'!Z25*'3a Demand'!$C$11+'2a Aggregate costs'!Z26+'2a Aggregate costs'!Z27)</f>
        <v>33.475871166766694</v>
      </c>
      <c r="Z43" s="109" t="str">
        <f>IF('2a Aggregate costs'!AA$15="-","-",'2a Aggregate costs'!AA25*'3a Demand'!$C$11+'2a Aggregate costs'!AA26+'2a Aggregate costs'!AA27)</f>
        <v>-</v>
      </c>
      <c r="AA43" s="109" t="str">
        <f>IF('2a Aggregate costs'!AB$15="-","-",'2a Aggregate costs'!AB25*'3a Demand'!$C$11+'2a Aggregate costs'!AB26+'2a Aggregate costs'!AB27)</f>
        <v>-</v>
      </c>
    </row>
    <row r="44" spans="1:28">
      <c r="A44" s="15"/>
      <c r="B44" s="15"/>
      <c r="C44" s="15"/>
      <c r="D44" s="110"/>
      <c r="E44" s="110"/>
      <c r="F44" s="15"/>
      <c r="G44" s="15"/>
      <c r="H44" s="15"/>
      <c r="I44" s="15"/>
      <c r="J44" s="15"/>
      <c r="K44" s="15"/>
      <c r="L44" s="15"/>
      <c r="M44" s="15"/>
      <c r="N44" s="15"/>
      <c r="O44" s="15"/>
      <c r="P44" s="15"/>
      <c r="Q44" s="78"/>
      <c r="R44" s="15"/>
      <c r="S44" s="15"/>
      <c r="T44" s="15"/>
      <c r="U44" s="15"/>
      <c r="V44" s="15"/>
      <c r="W44" s="15"/>
      <c r="X44" s="15"/>
      <c r="Y44" s="15"/>
      <c r="Z44" s="15"/>
      <c r="AA44" s="15"/>
      <c r="AB44" s="15"/>
    </row>
    <row r="45" spans="1:28" s="88" customFormat="1">
      <c r="B45" s="89" t="s">
        <v>155</v>
      </c>
    </row>
    <row r="46" spans="1:28" s="15" customFormat="1"/>
    <row r="47" spans="1:28">
      <c r="A47" s="15"/>
      <c r="B47" s="294" t="s">
        <v>77</v>
      </c>
      <c r="C47" s="284" t="s">
        <v>156</v>
      </c>
      <c r="D47" s="287" t="s">
        <v>79</v>
      </c>
      <c r="E47" s="295"/>
      <c r="F47" s="87"/>
      <c r="G47" s="291" t="s">
        <v>80</v>
      </c>
      <c r="H47" s="292"/>
      <c r="I47" s="292"/>
      <c r="J47" s="292"/>
      <c r="K47" s="292"/>
      <c r="L47" s="292"/>
      <c r="M47" s="292"/>
      <c r="N47" s="293"/>
      <c r="O47" s="139"/>
      <c r="P47" s="248" t="s">
        <v>81</v>
      </c>
      <c r="Q47" s="249"/>
      <c r="R47" s="249"/>
      <c r="S47" s="249"/>
      <c r="T47" s="249"/>
      <c r="U47" s="249"/>
      <c r="V47" s="249"/>
      <c r="W47" s="249"/>
      <c r="X47" s="87"/>
      <c r="Y47" s="249"/>
      <c r="Z47" s="249"/>
      <c r="AA47" s="250"/>
    </row>
    <row r="48" spans="1:28" ht="12.75" customHeight="1">
      <c r="A48" s="15"/>
      <c r="B48" s="294"/>
      <c r="C48" s="285"/>
      <c r="D48" s="287"/>
      <c r="E48" s="296"/>
      <c r="F48" s="87"/>
      <c r="G48" s="288" t="s">
        <v>82</v>
      </c>
      <c r="H48" s="289"/>
      <c r="I48" s="289"/>
      <c r="J48" s="289"/>
      <c r="K48" s="289"/>
      <c r="L48" s="289"/>
      <c r="M48" s="289"/>
      <c r="N48" s="290"/>
      <c r="O48" s="139"/>
      <c r="P48" s="251" t="s">
        <v>83</v>
      </c>
      <c r="Q48" s="252"/>
      <c r="R48" s="252"/>
      <c r="S48" s="252"/>
      <c r="T48" s="252"/>
      <c r="U48" s="252"/>
      <c r="V48" s="252"/>
      <c r="W48" s="252"/>
      <c r="X48" s="87"/>
      <c r="Y48" s="252"/>
      <c r="Z48" s="252"/>
      <c r="AA48" s="253"/>
    </row>
    <row r="49" spans="1:27" ht="22.5" customHeight="1">
      <c r="A49" s="15"/>
      <c r="B49" s="294"/>
      <c r="C49" s="285"/>
      <c r="D49" s="287"/>
      <c r="E49" s="100" t="s">
        <v>84</v>
      </c>
      <c r="F49" s="87"/>
      <c r="G49" s="34" t="s">
        <v>85</v>
      </c>
      <c r="H49" s="34" t="s">
        <v>86</v>
      </c>
      <c r="I49" s="34" t="s">
        <v>87</v>
      </c>
      <c r="J49" s="34" t="s">
        <v>88</v>
      </c>
      <c r="K49" s="34" t="s">
        <v>89</v>
      </c>
      <c r="L49" s="35" t="s">
        <v>90</v>
      </c>
      <c r="M49" s="34" t="s">
        <v>91</v>
      </c>
      <c r="N49" s="34" t="s">
        <v>92</v>
      </c>
      <c r="O49" s="87"/>
      <c r="P49" s="30" t="s">
        <v>93</v>
      </c>
      <c r="Q49" s="30" t="s">
        <v>94</v>
      </c>
      <c r="R49" s="30" t="s">
        <v>95</v>
      </c>
      <c r="S49" s="36" t="s">
        <v>96</v>
      </c>
      <c r="T49" s="30" t="s">
        <v>97</v>
      </c>
      <c r="U49" s="30" t="s">
        <v>98</v>
      </c>
      <c r="V49" s="30" t="s">
        <v>99</v>
      </c>
      <c r="W49" s="30" t="s">
        <v>100</v>
      </c>
      <c r="X49" s="87"/>
      <c r="Y49" s="30" t="s">
        <v>157</v>
      </c>
      <c r="Z49" s="30" t="s">
        <v>158</v>
      </c>
      <c r="AA49" s="30" t="s">
        <v>103</v>
      </c>
    </row>
    <row r="50" spans="1:27" ht="22.5" customHeight="1">
      <c r="A50" s="15"/>
      <c r="B50" s="294"/>
      <c r="C50" s="285"/>
      <c r="D50" s="287"/>
      <c r="E50" s="100" t="s">
        <v>84</v>
      </c>
      <c r="F50" s="87"/>
      <c r="G50" s="34" t="s">
        <v>85</v>
      </c>
      <c r="H50" s="34" t="s">
        <v>86</v>
      </c>
      <c r="I50" s="34" t="s">
        <v>87</v>
      </c>
      <c r="J50" s="34" t="s">
        <v>88</v>
      </c>
      <c r="K50" s="34" t="s">
        <v>89</v>
      </c>
      <c r="L50" s="35" t="s">
        <v>90</v>
      </c>
      <c r="M50" s="34" t="s">
        <v>91</v>
      </c>
      <c r="N50" s="34" t="s">
        <v>92</v>
      </c>
      <c r="O50" s="87"/>
      <c r="P50" s="30" t="s">
        <v>93</v>
      </c>
      <c r="Q50" s="30" t="s">
        <v>94</v>
      </c>
      <c r="R50" s="30" t="s">
        <v>95</v>
      </c>
      <c r="S50" s="36" t="s">
        <v>96</v>
      </c>
      <c r="T50" s="30" t="s">
        <v>97</v>
      </c>
      <c r="U50" s="30" t="s">
        <v>98</v>
      </c>
      <c r="V50" s="30" t="s">
        <v>99</v>
      </c>
      <c r="W50" s="30" t="s">
        <v>100</v>
      </c>
      <c r="X50" s="87"/>
      <c r="Y50" s="30" t="s">
        <v>104</v>
      </c>
      <c r="Z50" s="30" t="s">
        <v>105</v>
      </c>
      <c r="AA50" s="30" t="s">
        <v>103</v>
      </c>
    </row>
    <row r="51" spans="1:27" ht="12.75" customHeight="1">
      <c r="A51" s="15"/>
      <c r="B51" s="294"/>
      <c r="C51" s="285"/>
      <c r="D51" s="287"/>
      <c r="E51" s="100" t="s">
        <v>106</v>
      </c>
      <c r="F51" s="87"/>
      <c r="G51" s="32" t="s">
        <v>107</v>
      </c>
      <c r="H51" s="32" t="s">
        <v>108</v>
      </c>
      <c r="I51" s="32" t="s">
        <v>109</v>
      </c>
      <c r="J51" s="32" t="s">
        <v>110</v>
      </c>
      <c r="K51" s="32" t="s">
        <v>111</v>
      </c>
      <c r="L51" s="33" t="s">
        <v>112</v>
      </c>
      <c r="M51" s="32" t="s">
        <v>113</v>
      </c>
      <c r="N51" s="32" t="s">
        <v>114</v>
      </c>
      <c r="O51" s="87"/>
      <c r="P51" s="32" t="s">
        <v>115</v>
      </c>
      <c r="Q51" s="32" t="s">
        <v>116</v>
      </c>
      <c r="R51" s="32" t="s">
        <v>117</v>
      </c>
      <c r="S51" s="37" t="s">
        <v>118</v>
      </c>
      <c r="T51" s="32" t="s">
        <v>119</v>
      </c>
      <c r="U51" s="32" t="s">
        <v>120</v>
      </c>
      <c r="V51" s="32" t="s">
        <v>121</v>
      </c>
      <c r="W51" s="32" t="s">
        <v>122</v>
      </c>
      <c r="X51" s="87"/>
      <c r="Y51" s="32" t="s">
        <v>123</v>
      </c>
      <c r="Z51" s="32" t="s">
        <v>124</v>
      </c>
      <c r="AA51" s="32" t="s">
        <v>125</v>
      </c>
    </row>
    <row r="52" spans="1:27" ht="30.75" customHeight="1">
      <c r="A52" s="15"/>
      <c r="B52" s="294"/>
      <c r="C52" s="286"/>
      <c r="D52" s="287"/>
      <c r="E52" s="142" t="s">
        <v>126</v>
      </c>
      <c r="F52" s="87"/>
      <c r="G52" s="30" t="s">
        <v>127</v>
      </c>
      <c r="H52" s="30" t="s">
        <v>127</v>
      </c>
      <c r="I52" s="30" t="s">
        <v>128</v>
      </c>
      <c r="J52" s="30" t="s">
        <v>128</v>
      </c>
      <c r="K52" s="30" t="s">
        <v>129</v>
      </c>
      <c r="L52" s="31" t="s">
        <v>129</v>
      </c>
      <c r="M52" s="30" t="s">
        <v>130</v>
      </c>
      <c r="N52" s="30" t="s">
        <v>130</v>
      </c>
      <c r="O52" s="87"/>
      <c r="P52" s="30" t="s">
        <v>131</v>
      </c>
      <c r="Q52" s="30" t="s">
        <v>132</v>
      </c>
      <c r="R52" s="30" t="s">
        <v>132</v>
      </c>
      <c r="S52" s="36" t="s">
        <v>133</v>
      </c>
      <c r="T52" s="30" t="s">
        <v>133</v>
      </c>
      <c r="U52" s="30" t="s">
        <v>134</v>
      </c>
      <c r="V52" s="30" t="s">
        <v>134</v>
      </c>
      <c r="W52" s="30" t="s">
        <v>135</v>
      </c>
      <c r="X52" s="87"/>
      <c r="Y52" s="30" t="s">
        <v>135</v>
      </c>
      <c r="Z52" s="30" t="s">
        <v>136</v>
      </c>
      <c r="AA52" s="30" t="s">
        <v>136</v>
      </c>
    </row>
    <row r="53" spans="1:27" ht="12.75" customHeight="1">
      <c r="A53" s="15"/>
      <c r="B53" s="283" t="s">
        <v>137</v>
      </c>
      <c r="C53" s="149" t="s">
        <v>159</v>
      </c>
      <c r="D53" s="233" t="s">
        <v>160</v>
      </c>
      <c r="E53" s="277"/>
      <c r="F53" s="29"/>
      <c r="G53" s="141">
        <f>'2a Aggregate costs'!H15</f>
        <v>12.858367999999999</v>
      </c>
      <c r="H53" s="141">
        <f>'2a Aggregate costs'!I15</f>
        <v>12.855699999999999</v>
      </c>
      <c r="I53" s="141">
        <f>'2a Aggregate costs'!J15</f>
        <v>15.581108399999998</v>
      </c>
      <c r="J53" s="141">
        <f>'2a Aggregate costs'!K15</f>
        <v>15.57996</v>
      </c>
      <c r="K53" s="141">
        <f>'2a Aggregate costs'!L15</f>
        <v>18.640526740000002</v>
      </c>
      <c r="L53" s="141">
        <f>'2a Aggregate costs'!M15</f>
        <v>18.642219999999998</v>
      </c>
      <c r="M53" s="141">
        <f>'2a Aggregate costs'!N15</f>
        <v>22.102678517046183</v>
      </c>
      <c r="N53" s="141">
        <f>'2a Aggregate costs'!O15</f>
        <v>22.098960000000002</v>
      </c>
      <c r="O53" s="29"/>
      <c r="P53" s="141">
        <f>'2a Aggregate costs'!Q15</f>
        <v>22.098960000000002</v>
      </c>
      <c r="Q53" s="141">
        <f>'2a Aggregate costs'!R15</f>
        <v>23.644631305063015</v>
      </c>
      <c r="R53" s="141">
        <f>'2a Aggregate costs'!S15</f>
        <v>23.60952</v>
      </c>
      <c r="S53" s="141">
        <f>'2a Aggregate costs'!T15</f>
        <v>23.652418974429146</v>
      </c>
      <c r="T53" s="141">
        <f>'2a Aggregate costs'!U15</f>
        <v>23.573549999999997</v>
      </c>
      <c r="U53" s="141">
        <f>'2a Aggregate costs'!V15</f>
        <v>24.983646662697712</v>
      </c>
      <c r="V53" s="141">
        <f>'2a Aggregate costs'!W15</f>
        <v>24.993599999999997</v>
      </c>
      <c r="W53" s="141">
        <f>'2a Aggregate costs'!X15</f>
        <v>25.836025060581413</v>
      </c>
      <c r="X53" s="29"/>
      <c r="Y53" s="141">
        <f>'2a Aggregate costs'!Z15</f>
        <v>25.964079999999999</v>
      </c>
      <c r="Z53" s="141" t="str">
        <f>'2a Aggregate costs'!AA15</f>
        <v>-</v>
      </c>
      <c r="AA53" s="141" t="str">
        <f>'2a Aggregate costs'!AB15</f>
        <v>-</v>
      </c>
    </row>
    <row r="54" spans="1:27">
      <c r="A54" s="15"/>
      <c r="B54" s="283"/>
      <c r="C54" s="149" t="s">
        <v>161</v>
      </c>
      <c r="D54" s="233" t="s">
        <v>160</v>
      </c>
      <c r="E54" s="278"/>
      <c r="F54" s="29"/>
      <c r="G54" s="141">
        <f>'2a Aggregate costs'!H16</f>
        <v>3.1029774792790059</v>
      </c>
      <c r="H54" s="141">
        <f>'2a Aggregate costs'!I16</f>
        <v>3.1029774792790059</v>
      </c>
      <c r="I54" s="141">
        <f>'2a Aggregate costs'!J16</f>
        <v>5.1727215521988335</v>
      </c>
      <c r="J54" s="141">
        <f>'2a Aggregate costs'!K16</f>
        <v>5.1727215521988335</v>
      </c>
      <c r="K54" s="141">
        <f>'2a Aggregate costs'!L16</f>
        <v>4.5823442285238185</v>
      </c>
      <c r="L54" s="141">
        <f>'2a Aggregate costs'!M16</f>
        <v>4.6868844010376698</v>
      </c>
      <c r="M54" s="141">
        <f>'2a Aggregate costs'!N16</f>
        <v>5.3125820560931691</v>
      </c>
      <c r="N54" s="141">
        <f>'2a Aggregate costs'!O16</f>
        <v>5.3125820560931691</v>
      </c>
      <c r="O54" s="29"/>
      <c r="P54" s="141">
        <f>'2a Aggregate costs'!Q16</f>
        <v>5.3125820560931691</v>
      </c>
      <c r="Q54" s="141">
        <f>'2a Aggregate costs'!R16</f>
        <v>5.8835962363334122</v>
      </c>
      <c r="R54" s="141">
        <f>'2a Aggregate costs'!S16</f>
        <v>6.1125706929592383</v>
      </c>
      <c r="S54" s="141">
        <f>'2a Aggregate costs'!T16</f>
        <v>6.209419523851972</v>
      </c>
      <c r="T54" s="141">
        <f>'2a Aggregate costs'!U16</f>
        <v>6.209419523851972</v>
      </c>
      <c r="U54" s="141">
        <f>'2a Aggregate costs'!V16</f>
        <v>6.8501864450773278</v>
      </c>
      <c r="V54" s="141">
        <f>'2a Aggregate costs'!W16</f>
        <v>6.8480043107034856</v>
      </c>
      <c r="W54" s="141">
        <f>'2a Aggregate costs'!X16</f>
        <v>6.0338953603312691</v>
      </c>
      <c r="X54" s="29"/>
      <c r="Y54" s="141">
        <f>'2a Aggregate costs'!Z16</f>
        <v>5.6258217510753665</v>
      </c>
      <c r="Z54" s="141" t="str">
        <f>'2a Aggregate costs'!AA16</f>
        <v>-</v>
      </c>
      <c r="AA54" s="141" t="str">
        <f>'2a Aggregate costs'!AB16</f>
        <v>-</v>
      </c>
    </row>
    <row r="55" spans="1:27" ht="15" customHeight="1">
      <c r="A55" s="15"/>
      <c r="B55" s="283"/>
      <c r="C55" s="149" t="s">
        <v>162</v>
      </c>
      <c r="D55" s="233" t="s">
        <v>160</v>
      </c>
      <c r="E55" s="278"/>
      <c r="F55" s="29"/>
      <c r="G55" s="141">
        <f>'2a Aggregate costs'!H17</f>
        <v>3.800644849537282</v>
      </c>
      <c r="H55" s="141">
        <f>'2a Aggregate costs'!I17</f>
        <v>3.800644849537282</v>
      </c>
      <c r="I55" s="141">
        <f>'2a Aggregate costs'!J17</f>
        <v>3.840542773328024</v>
      </c>
      <c r="J55" s="141">
        <f>'2a Aggregate costs'!K17</f>
        <v>3.8063877486640387</v>
      </c>
      <c r="K55" s="141">
        <f>'2a Aggregate costs'!L17</f>
        <v>3.0414069526975425</v>
      </c>
      <c r="L55" s="141">
        <f>'2a Aggregate costs'!M17</f>
        <v>3.0414069526975425</v>
      </c>
      <c r="M55" s="141">
        <f>'2a Aggregate costs'!N17</f>
        <v>3.3175524355353234</v>
      </c>
      <c r="N55" s="141">
        <f>'2a Aggregate costs'!O17</f>
        <v>3.3378759371842848</v>
      </c>
      <c r="O55" s="29"/>
      <c r="P55" s="141">
        <f>'2a Aggregate costs'!Q17</f>
        <v>3.3378759371842848</v>
      </c>
      <c r="Q55" s="141">
        <f>'2a Aggregate costs'!R17</f>
        <v>3.458686192546887</v>
      </c>
      <c r="R55" s="141">
        <f>'2a Aggregate costs'!S17</f>
        <v>3.7058915530784011</v>
      </c>
      <c r="S55" s="141">
        <f>'2a Aggregate costs'!T17</f>
        <v>4.5347994584924356</v>
      </c>
      <c r="T55" s="141">
        <f>'2a Aggregate costs'!U17</f>
        <v>4.5210234547962456</v>
      </c>
      <c r="U55" s="141">
        <f>'2a Aggregate costs'!V17</f>
        <v>4.4511581333846166</v>
      </c>
      <c r="V55" s="141">
        <f>'2a Aggregate costs'!W17</f>
        <v>4.3254615450700591</v>
      </c>
      <c r="W55" s="141">
        <f>'2a Aggregate costs'!X17</f>
        <v>5.3948055674536768</v>
      </c>
      <c r="X55" s="29"/>
      <c r="Y55" s="141">
        <f>'2a Aggregate costs'!Z17</f>
        <v>5.2411778994660096</v>
      </c>
      <c r="Z55" s="141" t="str">
        <f>'2a Aggregate costs'!AA17</f>
        <v>-</v>
      </c>
      <c r="AA55" s="141" t="str">
        <f>'2a Aggregate costs'!AB17</f>
        <v>-</v>
      </c>
    </row>
    <row r="56" spans="1:27">
      <c r="A56" s="15"/>
      <c r="B56" s="283"/>
      <c r="C56" s="149" t="s">
        <v>163</v>
      </c>
      <c r="D56" s="233" t="s">
        <v>164</v>
      </c>
      <c r="E56" s="278"/>
      <c r="F56" s="29"/>
      <c r="G56" s="141">
        <f>'2a Aggregate costs'!H18</f>
        <v>6.5567588596821027</v>
      </c>
      <c r="H56" s="141">
        <f>'2a Aggregate costs'!I18</f>
        <v>6.5567588596821027</v>
      </c>
      <c r="I56" s="141">
        <f>'2a Aggregate costs'!J18</f>
        <v>6.6197359495950758</v>
      </c>
      <c r="J56" s="141">
        <f>'2a Aggregate costs'!K18</f>
        <v>6.6197359495950758</v>
      </c>
      <c r="K56" s="141">
        <f>'2a Aggregate costs'!L18</f>
        <v>6.6995028867368616</v>
      </c>
      <c r="L56" s="141">
        <f>'2a Aggregate costs'!M18</f>
        <v>6.6995028867368616</v>
      </c>
      <c r="M56" s="141">
        <f>'2a Aggregate costs'!N18</f>
        <v>7.1131218301273513</v>
      </c>
      <c r="N56" s="141">
        <f>'2a Aggregate costs'!O18</f>
        <v>7.1131218301273513</v>
      </c>
      <c r="O56" s="29"/>
      <c r="P56" s="141">
        <f>'2a Aggregate costs'!Q18</f>
        <v>7.1131218301273513</v>
      </c>
      <c r="Q56" s="141">
        <f>'2a Aggregate costs'!R18</f>
        <v>7.2804579515147188</v>
      </c>
      <c r="R56" s="141">
        <f>'2a Aggregate costs'!S18</f>
        <v>7.1935840895118579</v>
      </c>
      <c r="S56" s="141">
        <f>'2a Aggregate costs'!T18</f>
        <v>7.3593999937099728</v>
      </c>
      <c r="T56" s="141">
        <f>'2a Aggregate costs'!U18</f>
        <v>7.0492243060839304</v>
      </c>
      <c r="U56" s="141">
        <f>'2a Aggregate costs'!V18</f>
        <v>7.1089669218364691</v>
      </c>
      <c r="V56" s="141">
        <f>'2a Aggregate costs'!W18</f>
        <v>6.9829560851947949</v>
      </c>
      <c r="W56" s="141">
        <f>'2a Aggregate costs'!X18</f>
        <v>9.6262235975887975</v>
      </c>
      <c r="X56" s="29"/>
      <c r="Y56" s="141">
        <f>'2a Aggregate costs'!Z18</f>
        <v>9.9504863797742438</v>
      </c>
      <c r="Z56" s="141" t="str">
        <f>'2a Aggregate costs'!AA18</f>
        <v/>
      </c>
      <c r="AA56" s="141" t="str">
        <f>'2a Aggregate costs'!AB18</f>
        <v/>
      </c>
    </row>
    <row r="57" spans="1:27">
      <c r="A57" s="15"/>
      <c r="B57" s="283"/>
      <c r="C57" s="149" t="s">
        <v>165</v>
      </c>
      <c r="D57" s="233" t="s">
        <v>160</v>
      </c>
      <c r="E57" s="278"/>
      <c r="F57" s="29"/>
      <c r="G57" s="141">
        <f>IF('2a Aggregate costs'!H38="-","-",AVERAGE('2a Aggregate costs'!H38:H51))</f>
        <v>0.23787266062646714</v>
      </c>
      <c r="H57" s="141">
        <f>IF('2a Aggregate costs'!I38="-","-",AVERAGE('2a Aggregate costs'!I38:I51))</f>
        <v>0.23405804107669168</v>
      </c>
      <c r="I57" s="141">
        <f>IF('2a Aggregate costs'!J38="-","-",AVERAGE('2a Aggregate costs'!J38:J51))</f>
        <v>0.23967543406253228</v>
      </c>
      <c r="J57" s="141">
        <f>IF('2a Aggregate costs'!K38="-","-",AVERAGE('2a Aggregate costs'!K38:K51))</f>
        <v>0.25005905270741374</v>
      </c>
      <c r="K57" s="141">
        <f>IF('2a Aggregate costs'!L38="-","-",AVERAGE('2a Aggregate costs'!L38:L51))</f>
        <v>0.25456011565614728</v>
      </c>
      <c r="L57" s="141">
        <f>IF('2a Aggregate costs'!M38="-","-",AVERAGE('2a Aggregate costs'!M38:M51))</f>
        <v>0.24991850328092774</v>
      </c>
      <c r="M57" s="141">
        <f>IF('2a Aggregate costs'!N38="-","-",AVERAGE('2a Aggregate costs'!N38:N51))</f>
        <v>0.25930699580357647</v>
      </c>
      <c r="N57" s="141">
        <f>IF('2a Aggregate costs'!O38="-","-",AVERAGE('2a Aggregate costs'!O38:O51))</f>
        <v>0.26500879895363916</v>
      </c>
      <c r="O57" s="29"/>
      <c r="P57" s="141">
        <f>IF('2a Aggregate costs'!Q38="-","-",AVERAGE('2a Aggregate costs'!Q38:Q51))</f>
        <v>0.26500879895363916</v>
      </c>
      <c r="Q57" s="141">
        <f>IF('2a Aggregate costs'!R38="-","-",AVERAGE('2a Aggregate costs'!R38:R51))</f>
        <v>0.27408717862375309</v>
      </c>
      <c r="R57" s="141">
        <f>IF('2a Aggregate costs'!S38="-","-",AVERAGE('2a Aggregate costs'!S38:S51))</f>
        <v>0.2839334741516375</v>
      </c>
      <c r="S57" s="141">
        <f>IF('2a Aggregate costs'!T38="-","-",AVERAGE('2a Aggregate costs'!T38:T51))</f>
        <v>0.29248246799623245</v>
      </c>
      <c r="T57" s="141">
        <f>IF('2a Aggregate costs'!U38="-","-",AVERAGE('2a Aggregate costs'!U38:U51))</f>
        <v>0.3295656989188761</v>
      </c>
      <c r="U57" s="141">
        <f>IF('2a Aggregate costs'!V38="-","-",AVERAGE('2a Aggregate costs'!V38:V51))</f>
        <v>0.46926337075289293</v>
      </c>
      <c r="V57" s="141">
        <f>IF('2a Aggregate costs'!W38="-","-",AVERAGE('2a Aggregate costs'!W38:W51))</f>
        <v>0.43719761103565702</v>
      </c>
      <c r="W57" s="141">
        <f>IF('2a Aggregate costs'!X38="-","-",AVERAGE('2a Aggregate costs'!X38:X51))</f>
        <v>0.45886420375052539</v>
      </c>
      <c r="X57" s="29"/>
      <c r="Y57" s="141">
        <f>IF('2a Aggregate costs'!Z38="-","-",AVERAGE('2a Aggregate costs'!Z38:Z51))</f>
        <v>0.44137716249549996</v>
      </c>
      <c r="Z57" s="141" t="str">
        <f>IF('2a Aggregate costs'!AA38="-","-",AVERAGE('2a Aggregate costs'!AA38:AA51))</f>
        <v>-</v>
      </c>
      <c r="AA57" s="141" t="str">
        <f>IF('2a Aggregate costs'!AB38="-","-",AVERAGE('2a Aggregate costs'!AB38:AB51))</f>
        <v>-</v>
      </c>
    </row>
    <row r="58" spans="1:27">
      <c r="A58" s="15"/>
      <c r="B58" s="281" t="s">
        <v>153</v>
      </c>
      <c r="C58" s="149" t="s">
        <v>159</v>
      </c>
      <c r="D58" s="233" t="s">
        <v>160</v>
      </c>
      <c r="E58" s="278"/>
      <c r="F58" s="29"/>
      <c r="G58" s="141">
        <f>'2a Aggregate costs'!H20</f>
        <v>12.858367999999999</v>
      </c>
      <c r="H58" s="141">
        <f>'2a Aggregate costs'!I20</f>
        <v>12.855699999999999</v>
      </c>
      <c r="I58" s="141">
        <f>'2a Aggregate costs'!J20</f>
        <v>15.581108399999998</v>
      </c>
      <c r="J58" s="141">
        <f>'2a Aggregate costs'!K20</f>
        <v>15.57996</v>
      </c>
      <c r="K58" s="141">
        <f>'2a Aggregate costs'!L20</f>
        <v>18.640526740000002</v>
      </c>
      <c r="L58" s="141">
        <f>'2a Aggregate costs'!M20</f>
        <v>18.642219999999998</v>
      </c>
      <c r="M58" s="141">
        <f>'2a Aggregate costs'!N20</f>
        <v>22.102678517046183</v>
      </c>
      <c r="N58" s="141">
        <f>'2a Aggregate costs'!O20</f>
        <v>22.098960000000002</v>
      </c>
      <c r="O58" s="29"/>
      <c r="P58" s="141">
        <f>'2a Aggregate costs'!Q20</f>
        <v>22.098960000000002</v>
      </c>
      <c r="Q58" s="141">
        <f>'2a Aggregate costs'!R20</f>
        <v>23.644631305063015</v>
      </c>
      <c r="R58" s="141">
        <f>'2a Aggregate costs'!S20</f>
        <v>23.60952</v>
      </c>
      <c r="S58" s="141">
        <f>'2a Aggregate costs'!T20</f>
        <v>23.652418974429146</v>
      </c>
      <c r="T58" s="141">
        <f>'2a Aggregate costs'!U20</f>
        <v>23.573549999999997</v>
      </c>
      <c r="U58" s="141">
        <f>'2a Aggregate costs'!V20</f>
        <v>24.983646662697712</v>
      </c>
      <c r="V58" s="141">
        <f>'2a Aggregate costs'!W20</f>
        <v>24.993599999999997</v>
      </c>
      <c r="W58" s="141">
        <f>'2a Aggregate costs'!X20</f>
        <v>25.836025060581413</v>
      </c>
      <c r="X58" s="29"/>
      <c r="Y58" s="141">
        <f>'2a Aggregate costs'!Z20</f>
        <v>25.964079999999999</v>
      </c>
      <c r="Z58" s="141" t="str">
        <f>'2a Aggregate costs'!AA20</f>
        <v>-</v>
      </c>
      <c r="AA58" s="141" t="str">
        <f>'2a Aggregate costs'!AB20</f>
        <v>-</v>
      </c>
    </row>
    <row r="59" spans="1:27">
      <c r="A59" s="15"/>
      <c r="B59" s="282"/>
      <c r="C59" s="149" t="s">
        <v>161</v>
      </c>
      <c r="D59" s="233" t="s">
        <v>160</v>
      </c>
      <c r="E59" s="278"/>
      <c r="F59" s="29"/>
      <c r="G59" s="141">
        <f>'2a Aggregate costs'!H21</f>
        <v>3.1029774792790059</v>
      </c>
      <c r="H59" s="141">
        <f>'2a Aggregate costs'!I21</f>
        <v>3.1029774792790059</v>
      </c>
      <c r="I59" s="141">
        <f>'2a Aggregate costs'!J21</f>
        <v>5.1727215521988335</v>
      </c>
      <c r="J59" s="141">
        <f>'2a Aggregate costs'!K21</f>
        <v>5.1727215521988335</v>
      </c>
      <c r="K59" s="141">
        <f>'2a Aggregate costs'!L21</f>
        <v>4.5823442285238185</v>
      </c>
      <c r="L59" s="141">
        <f>'2a Aggregate costs'!M21</f>
        <v>4.6868844010376698</v>
      </c>
      <c r="M59" s="141">
        <f>'2a Aggregate costs'!N21</f>
        <v>5.3125820560931691</v>
      </c>
      <c r="N59" s="141">
        <f>'2a Aggregate costs'!O21</f>
        <v>5.3125820560931691</v>
      </c>
      <c r="O59" s="29"/>
      <c r="P59" s="141">
        <f>'2a Aggregate costs'!Q21</f>
        <v>5.3125820560931691</v>
      </c>
      <c r="Q59" s="141">
        <f>'2a Aggregate costs'!R21</f>
        <v>5.8835962363334122</v>
      </c>
      <c r="R59" s="141">
        <f>'2a Aggregate costs'!S21</f>
        <v>6.1125706929592383</v>
      </c>
      <c r="S59" s="141">
        <f>'2a Aggregate costs'!T21</f>
        <v>6.209419523851972</v>
      </c>
      <c r="T59" s="141">
        <f>'2a Aggregate costs'!U21</f>
        <v>6.209419523851972</v>
      </c>
      <c r="U59" s="141">
        <f>'2a Aggregate costs'!V21</f>
        <v>6.8501864450773278</v>
      </c>
      <c r="V59" s="141">
        <f>'2a Aggregate costs'!W21</f>
        <v>6.8480043107034856</v>
      </c>
      <c r="W59" s="141">
        <f>'2a Aggregate costs'!X21</f>
        <v>6.0338953603312691</v>
      </c>
      <c r="X59" s="29"/>
      <c r="Y59" s="141">
        <f>'2a Aggregate costs'!Z21</f>
        <v>5.6258217510753665</v>
      </c>
      <c r="Z59" s="141" t="str">
        <f>'2a Aggregate costs'!AA21</f>
        <v>-</v>
      </c>
      <c r="AA59" s="141" t="str">
        <f>'2a Aggregate costs'!AB21</f>
        <v>-</v>
      </c>
    </row>
    <row r="60" spans="1:27">
      <c r="A60" s="15"/>
      <c r="B60" s="282"/>
      <c r="C60" s="149" t="s">
        <v>162</v>
      </c>
      <c r="D60" s="233" t="s">
        <v>160</v>
      </c>
      <c r="E60" s="278"/>
      <c r="F60" s="29"/>
      <c r="G60" s="141">
        <f>'2a Aggregate costs'!H22</f>
        <v>3.800644849537282</v>
      </c>
      <c r="H60" s="141">
        <f>'2a Aggregate costs'!I22</f>
        <v>3.800644849537282</v>
      </c>
      <c r="I60" s="141">
        <f>'2a Aggregate costs'!J22</f>
        <v>3.840542773328024</v>
      </c>
      <c r="J60" s="141">
        <f>'2a Aggregate costs'!K22</f>
        <v>3.8063877486640387</v>
      </c>
      <c r="K60" s="141">
        <f>'2a Aggregate costs'!L22</f>
        <v>3.0414069526975425</v>
      </c>
      <c r="L60" s="141">
        <f>'2a Aggregate costs'!M22</f>
        <v>3.0414069526975425</v>
      </c>
      <c r="M60" s="141">
        <f>'2a Aggregate costs'!N22</f>
        <v>3.3175524355353234</v>
      </c>
      <c r="N60" s="141">
        <f>'2a Aggregate costs'!O22</f>
        <v>3.3378759371842848</v>
      </c>
      <c r="O60" s="29"/>
      <c r="P60" s="141">
        <f>'2a Aggregate costs'!Q22</f>
        <v>3.3378759371842848</v>
      </c>
      <c r="Q60" s="141">
        <f>'2a Aggregate costs'!R22</f>
        <v>3.458686192546887</v>
      </c>
      <c r="R60" s="141">
        <f>'2a Aggregate costs'!S22</f>
        <v>3.7058915530784011</v>
      </c>
      <c r="S60" s="141">
        <f>'2a Aggregate costs'!T22</f>
        <v>4.5347994584924356</v>
      </c>
      <c r="T60" s="141">
        <f>'2a Aggregate costs'!U22</f>
        <v>4.5210234547962456</v>
      </c>
      <c r="U60" s="141">
        <f>'2a Aggregate costs'!V22</f>
        <v>4.4511581333846166</v>
      </c>
      <c r="V60" s="141">
        <f>'2a Aggregate costs'!W22</f>
        <v>4.3254615450700591</v>
      </c>
      <c r="W60" s="141">
        <f>'2a Aggregate costs'!X22</f>
        <v>5.3948055674536768</v>
      </c>
      <c r="X60" s="29"/>
      <c r="Y60" s="141">
        <f>'2a Aggregate costs'!Z22</f>
        <v>5.2411778994660096</v>
      </c>
      <c r="Z60" s="141" t="str">
        <f>'2a Aggregate costs'!AA22</f>
        <v>-</v>
      </c>
      <c r="AA60" s="141" t="str">
        <f>'2a Aggregate costs'!AB22</f>
        <v>-</v>
      </c>
    </row>
    <row r="61" spans="1:27">
      <c r="A61" s="15"/>
      <c r="B61" s="282"/>
      <c r="C61" s="149" t="s">
        <v>163</v>
      </c>
      <c r="D61" s="233" t="s">
        <v>164</v>
      </c>
      <c r="E61" s="278"/>
      <c r="F61" s="29"/>
      <c r="G61" s="141">
        <f>'2a Aggregate costs'!H23</f>
        <v>6.5567588596821027</v>
      </c>
      <c r="H61" s="141">
        <f>'2a Aggregate costs'!I23</f>
        <v>6.5567588596821027</v>
      </c>
      <c r="I61" s="141">
        <f>'2a Aggregate costs'!J23</f>
        <v>6.6197359495950758</v>
      </c>
      <c r="J61" s="141">
        <f>'2a Aggregate costs'!K23</f>
        <v>6.6197359495950758</v>
      </c>
      <c r="K61" s="141">
        <f>'2a Aggregate costs'!L23</f>
        <v>6.6995028867368616</v>
      </c>
      <c r="L61" s="141">
        <f>'2a Aggregate costs'!M23</f>
        <v>6.6995028867368616</v>
      </c>
      <c r="M61" s="141">
        <f>'2a Aggregate costs'!N23</f>
        <v>7.1131218301273513</v>
      </c>
      <c r="N61" s="141">
        <f>'2a Aggregate costs'!O23</f>
        <v>7.1131218301273513</v>
      </c>
      <c r="O61" s="29"/>
      <c r="P61" s="141">
        <f>'2a Aggregate costs'!Q23</f>
        <v>7.1131218301273513</v>
      </c>
      <c r="Q61" s="141">
        <f>'2a Aggregate costs'!R23</f>
        <v>7.2804579515147188</v>
      </c>
      <c r="R61" s="141">
        <f>'2a Aggregate costs'!S23</f>
        <v>7.1935840895118579</v>
      </c>
      <c r="S61" s="141">
        <f>'2a Aggregate costs'!T23</f>
        <v>7.3593999937099728</v>
      </c>
      <c r="T61" s="141">
        <f>'2a Aggregate costs'!U23</f>
        <v>7.0492243060839304</v>
      </c>
      <c r="U61" s="141">
        <f>'2a Aggregate costs'!V23</f>
        <v>7.1089669218364691</v>
      </c>
      <c r="V61" s="141">
        <f>'2a Aggregate costs'!W23</f>
        <v>6.9829560851947949</v>
      </c>
      <c r="W61" s="141">
        <f>'2a Aggregate costs'!X23</f>
        <v>9.6262235975887975</v>
      </c>
      <c r="X61" s="29"/>
      <c r="Y61" s="141">
        <f>'2a Aggregate costs'!Z23</f>
        <v>9.9504863797742438</v>
      </c>
      <c r="Z61" s="141" t="str">
        <f>'2a Aggregate costs'!AA23</f>
        <v/>
      </c>
      <c r="AA61" s="141" t="str">
        <f>'2a Aggregate costs'!AB23</f>
        <v/>
      </c>
    </row>
    <row r="62" spans="1:27">
      <c r="A62" s="15"/>
      <c r="B62" s="282"/>
      <c r="C62" s="149" t="s">
        <v>165</v>
      </c>
      <c r="D62" s="233" t="s">
        <v>160</v>
      </c>
      <c r="E62" s="278"/>
      <c r="F62" s="29"/>
      <c r="G62" s="141">
        <f>IF('2a Aggregate costs'!H52="-","-",AVERAGE('2a Aggregate costs'!H52:H65))</f>
        <v>0.23752471562779204</v>
      </c>
      <c r="H62" s="141">
        <f>IF('2a Aggregate costs'!I52="-","-",AVERAGE('2a Aggregate costs'!I52:I65))</f>
        <v>0.23371567586087477</v>
      </c>
      <c r="I62" s="141">
        <f>IF('2a Aggregate costs'!J52="-","-",AVERAGE('2a Aggregate costs'!J52:J65))</f>
        <v>0.23932485208153578</v>
      </c>
      <c r="J62" s="141">
        <f>IF('2a Aggregate costs'!K52="-","-",AVERAGE('2a Aggregate costs'!K52:K65))</f>
        <v>0.24969328222948742</v>
      </c>
      <c r="K62" s="141">
        <f>IF('2a Aggregate costs'!L52="-","-",AVERAGE('2a Aggregate costs'!L52:L65))</f>
        <v>0.25418776130961818</v>
      </c>
      <c r="L62" s="141">
        <f>IF('2a Aggregate costs'!M52="-","-",AVERAGE('2a Aggregate costs'!M52:M65))</f>
        <v>0.24955293838976308</v>
      </c>
      <c r="M62" s="141">
        <f>IF('2a Aggregate costs'!N52="-","-",AVERAGE('2a Aggregate costs'!N52:N65))</f>
        <v>0.25895352069674143</v>
      </c>
      <c r="N62" s="141">
        <f>IF('2a Aggregate costs'!O52="-","-",AVERAGE('2a Aggregate costs'!O52:O65))</f>
        <v>0.26464755141678786</v>
      </c>
      <c r="O62" s="29"/>
      <c r="P62" s="141">
        <f>IF('2a Aggregate costs'!Q52="-","-",AVERAGE('2a Aggregate costs'!Q52:Q65))</f>
        <v>0.26464755141678786</v>
      </c>
      <c r="Q62" s="141">
        <f>IF('2a Aggregate costs'!R52="-","-",AVERAGE('2a Aggregate costs'!R52:R65))</f>
        <v>0.27368706290633843</v>
      </c>
      <c r="R62" s="141">
        <f>IF('2a Aggregate costs'!S52="-","-",AVERAGE('2a Aggregate costs'!S52:S65))</f>
        <v>0.2834963741046907</v>
      </c>
      <c r="S62" s="141">
        <f>IF('2a Aggregate costs'!T52="-","-",AVERAGE('2a Aggregate costs'!T52:T65))</f>
        <v>0.29202353945261356</v>
      </c>
      <c r="T62" s="141">
        <f>IF('2a Aggregate costs'!U52="-","-",AVERAGE('2a Aggregate costs'!U52:U65))</f>
        <v>0.32903062276522305</v>
      </c>
      <c r="U62" s="141">
        <f>IF('2a Aggregate costs'!V52="-","-",AVERAGE('2a Aggregate costs'!V52:V65))</f>
        <v>0.46855561680713737</v>
      </c>
      <c r="V62" s="141">
        <f>IF('2a Aggregate costs'!W52="-","-",AVERAGE('2a Aggregate costs'!W52:W65))</f>
        <v>0.43655170790368708</v>
      </c>
      <c r="W62" s="141">
        <f>IF('2a Aggregate costs'!X52="-","-",AVERAGE('2a Aggregate costs'!X52:X65))</f>
        <v>0.45810779447214506</v>
      </c>
      <c r="X62" s="29"/>
      <c r="Y62" s="141">
        <f>IF('2a Aggregate costs'!Z52="-","-",AVERAGE('2a Aggregate costs'!Z52:Z65))</f>
        <v>0.4407600074464999</v>
      </c>
      <c r="Z62" s="141" t="str">
        <f>IF('2a Aggregate costs'!AA52="-","-",AVERAGE('2a Aggregate costs'!AA52:AA65))</f>
        <v>-</v>
      </c>
      <c r="AA62" s="141" t="str">
        <f>IF('2a Aggregate costs'!AB52="-","-",AVERAGE('2a Aggregate costs'!AB52:AB65))</f>
        <v>-</v>
      </c>
    </row>
    <row r="63" spans="1:27">
      <c r="A63" s="15"/>
      <c r="B63" s="277" t="s">
        <v>154</v>
      </c>
      <c r="C63" s="149" t="s">
        <v>162</v>
      </c>
      <c r="D63" s="233" t="s">
        <v>160</v>
      </c>
      <c r="E63" s="278"/>
      <c r="F63" s="29"/>
      <c r="G63" s="141">
        <f>'2a Aggregate costs'!H25</f>
        <v>1.2807925205600019</v>
      </c>
      <c r="H63" s="141">
        <f>'2a Aggregate costs'!I25</f>
        <v>1.2807925205600019</v>
      </c>
      <c r="I63" s="141">
        <f>'2a Aggregate costs'!J25</f>
        <v>1.335659353563418</v>
      </c>
      <c r="J63" s="141">
        <f>'2a Aggregate costs'!K25</f>
        <v>1.3237809601028736</v>
      </c>
      <c r="K63" s="141">
        <f>'2a Aggregate costs'!L25</f>
        <v>1.0338995283355803</v>
      </c>
      <c r="L63" s="141">
        <f>'2a Aggregate costs'!M25</f>
        <v>1.0338995283355803</v>
      </c>
      <c r="M63" s="141">
        <f>'2a Aggregate costs'!N25</f>
        <v>1.1449392746201887</v>
      </c>
      <c r="N63" s="141">
        <f>'2a Aggregate costs'!O25</f>
        <v>1.1446873714788544</v>
      </c>
      <c r="O63" s="29"/>
      <c r="P63" s="141">
        <f>'2a Aggregate costs'!Q25</f>
        <v>1.1446873714788544</v>
      </c>
      <c r="Q63" s="141">
        <f>'2a Aggregate costs'!R25</f>
        <v>1.1852279541409441</v>
      </c>
      <c r="R63" s="141">
        <f>'2a Aggregate costs'!S25</f>
        <v>1.2188247882877752</v>
      </c>
      <c r="S63" s="141">
        <f>'2a Aggregate costs'!T25</f>
        <v>1.4914429930722879</v>
      </c>
      <c r="T63" s="141">
        <f>'2a Aggregate costs'!U25</f>
        <v>1.4265065757514408</v>
      </c>
      <c r="U63" s="141">
        <f>'2a Aggregate costs'!V25</f>
        <v>1.4044621556312693</v>
      </c>
      <c r="V63" s="141">
        <f>'2a Aggregate costs'!W25</f>
        <v>1.406307692740828</v>
      </c>
      <c r="W63" s="141">
        <f>'2a Aggregate costs'!X25</f>
        <v>1.7539761922050034</v>
      </c>
      <c r="X63" s="29"/>
      <c r="Y63" s="141">
        <f>'2a Aggregate costs'!Z25</f>
        <v>1.7360420655827042</v>
      </c>
      <c r="Z63" s="141" t="str">
        <f>'2a Aggregate costs'!AA25</f>
        <v>-</v>
      </c>
      <c r="AA63" s="141" t="str">
        <f>'2a Aggregate costs'!AB25</f>
        <v>-</v>
      </c>
    </row>
    <row r="64" spans="1:27">
      <c r="A64" s="15"/>
      <c r="B64" s="278"/>
      <c r="C64" s="149" t="s">
        <v>163</v>
      </c>
      <c r="D64" s="233" t="s">
        <v>164</v>
      </c>
      <c r="E64" s="278"/>
      <c r="F64" s="29"/>
      <c r="G64" s="141">
        <f>'2a Aggregate costs'!H26</f>
        <v>6.5567588596821027</v>
      </c>
      <c r="H64" s="141">
        <f>'2a Aggregate costs'!I26</f>
        <v>6.5567588596821027</v>
      </c>
      <c r="I64" s="141">
        <f>'2a Aggregate costs'!J26</f>
        <v>6.6197359495950758</v>
      </c>
      <c r="J64" s="141">
        <f>'2a Aggregate costs'!K26</f>
        <v>6.6197359495950758</v>
      </c>
      <c r="K64" s="141">
        <f>'2a Aggregate costs'!L26</f>
        <v>6.6995028867368616</v>
      </c>
      <c r="L64" s="141">
        <f>'2a Aggregate costs'!M26</f>
        <v>6.6995028867368616</v>
      </c>
      <c r="M64" s="141">
        <f>'2a Aggregate costs'!N26</f>
        <v>7.1131218301273513</v>
      </c>
      <c r="N64" s="141">
        <f>'2a Aggregate costs'!O26</f>
        <v>7.1131218301273513</v>
      </c>
      <c r="O64" s="29"/>
      <c r="P64" s="141">
        <f>'2a Aggregate costs'!Q26</f>
        <v>7.1131218301273513</v>
      </c>
      <c r="Q64" s="141">
        <f>'2a Aggregate costs'!R26</f>
        <v>7.2804579515147188</v>
      </c>
      <c r="R64" s="141">
        <f>'2a Aggregate costs'!S26</f>
        <v>7.1935840895118579</v>
      </c>
      <c r="S64" s="141">
        <f>'2a Aggregate costs'!T26</f>
        <v>7.3593999937099728</v>
      </c>
      <c r="T64" s="141">
        <f>'2a Aggregate costs'!U26</f>
        <v>7.0492243060839304</v>
      </c>
      <c r="U64" s="141">
        <f>'2a Aggregate costs'!V26</f>
        <v>7.1089669218364691</v>
      </c>
      <c r="V64" s="141">
        <f>'2a Aggregate costs'!W26</f>
        <v>6.9829560851947949</v>
      </c>
      <c r="W64" s="141">
        <f>'2a Aggregate costs'!X26</f>
        <v>9.6262235975887975</v>
      </c>
      <c r="X64" s="29"/>
      <c r="Y64" s="141">
        <f>'2a Aggregate costs'!Z26</f>
        <v>9.9504863797742438</v>
      </c>
      <c r="Z64" s="141" t="str">
        <f>'2a Aggregate costs'!AA26</f>
        <v/>
      </c>
      <c r="AA64" s="141" t="str">
        <f>'2a Aggregate costs'!AB26</f>
        <v/>
      </c>
    </row>
    <row r="65" spans="1:28">
      <c r="A65" s="15"/>
      <c r="B65" s="279"/>
      <c r="C65" s="149" t="s">
        <v>166</v>
      </c>
      <c r="D65" s="233" t="s">
        <v>164</v>
      </c>
      <c r="E65" s="279"/>
      <c r="F65" s="29"/>
      <c r="G65" s="141">
        <f>'2a Aggregate costs'!H27</f>
        <v>0</v>
      </c>
      <c r="H65" s="141">
        <f>'2a Aggregate costs'!I27</f>
        <v>0</v>
      </c>
      <c r="I65" s="141">
        <f>'2a Aggregate costs'!J27</f>
        <v>0</v>
      </c>
      <c r="J65" s="141">
        <f>'2a Aggregate costs'!K27</f>
        <v>0</v>
      </c>
      <c r="K65" s="141">
        <f>'2a Aggregate costs'!L27</f>
        <v>0</v>
      </c>
      <c r="L65" s="141">
        <f>'2a Aggregate costs'!M27</f>
        <v>0</v>
      </c>
      <c r="M65" s="141">
        <f>'2a Aggregate costs'!N27</f>
        <v>0</v>
      </c>
      <c r="N65" s="141">
        <f>'2a Aggregate costs'!O27</f>
        <v>0</v>
      </c>
      <c r="O65" s="29"/>
      <c r="P65" s="141">
        <f>'2a Aggregate costs'!Q27</f>
        <v>0</v>
      </c>
      <c r="Q65" s="141">
        <f>'2a Aggregate costs'!R27</f>
        <v>0</v>
      </c>
      <c r="R65" s="141">
        <f>'2a Aggregate costs'!S27</f>
        <v>0</v>
      </c>
      <c r="S65" s="141">
        <f>'2a Aggregate costs'!T27</f>
        <v>0</v>
      </c>
      <c r="T65" s="141">
        <f>'2a Aggregate costs'!U27</f>
        <v>0</v>
      </c>
      <c r="U65" s="141">
        <f>'2a Aggregate costs'!V27</f>
        <v>0</v>
      </c>
      <c r="V65" s="141">
        <f>'2a Aggregate costs'!W27</f>
        <v>0</v>
      </c>
      <c r="W65" s="141">
        <f>'2a Aggregate costs'!X27</f>
        <v>2.6928799999999997</v>
      </c>
      <c r="X65" s="29"/>
      <c r="Y65" s="141">
        <f>'2a Aggregate costs'!Z27</f>
        <v>2.6928799999999997</v>
      </c>
      <c r="Z65" s="141" t="str">
        <f>'2a Aggregate costs'!AA27</f>
        <v>-</v>
      </c>
      <c r="AA65" s="141" t="str">
        <f>'2a Aggregate costs'!AB27</f>
        <v>-</v>
      </c>
    </row>
    <row r="66" spans="1:28" s="15" customFormat="1"/>
    <row r="67" spans="1:28">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88" customFormat="1">
      <c r="B68" s="89" t="s">
        <v>167</v>
      </c>
    </row>
    <row r="69" spans="1:28" s="15" customFormat="1">
      <c r="B69" s="86"/>
    </row>
    <row r="70" spans="1:28" s="15" customFormat="1"/>
    <row r="71" spans="1:28" s="15" customFormat="1" ht="25.2">
      <c r="B71" s="235" t="s">
        <v>77</v>
      </c>
      <c r="C71" s="148" t="s">
        <v>156</v>
      </c>
      <c r="D71" s="232" t="s">
        <v>79</v>
      </c>
      <c r="E71" s="130" t="s">
        <v>168</v>
      </c>
      <c r="F71" s="29"/>
      <c r="G71" s="131" t="s">
        <v>127</v>
      </c>
      <c r="H71" s="131" t="s">
        <v>128</v>
      </c>
      <c r="I71" s="131" t="s">
        <v>129</v>
      </c>
    </row>
    <row r="72" spans="1:28" s="15" customFormat="1">
      <c r="B72" s="283" t="s">
        <v>137</v>
      </c>
      <c r="C72" s="149" t="s">
        <v>159</v>
      </c>
      <c r="D72" s="277" t="s">
        <v>139</v>
      </c>
      <c r="E72" s="280"/>
      <c r="F72" s="29"/>
      <c r="G72" s="109">
        <f>'3a Demand'!$C$9*((G53*'3a Demand'!$C$17)+(H53*'3a Demand'!$D$17))</f>
        <v>39.856246279654741</v>
      </c>
      <c r="H72" s="109">
        <f>'3a Demand'!$C$9*((I53*'3a Demand'!$C$17)+(J53*'3a Demand'!$D$17))</f>
        <v>48.299415355155737</v>
      </c>
      <c r="I72" s="109">
        <f>'3a Demand'!$C$9*((K53*'3a Demand'!$C$17)+(L53*'3a Demand'!$D$17))</f>
        <v>57.788612295619139</v>
      </c>
    </row>
    <row r="73" spans="1:28" s="15" customFormat="1">
      <c r="B73" s="283"/>
      <c r="C73" s="149" t="s">
        <v>161</v>
      </c>
      <c r="D73" s="278"/>
      <c r="E73" s="280"/>
      <c r="F73" s="29"/>
      <c r="G73" s="109">
        <f>'3a Demand'!$C$9*((G54*'3a Demand'!$C$17)+(H54*'3a Demand'!$D$17))</f>
        <v>9.6192301857649181</v>
      </c>
      <c r="H73" s="109">
        <f>'3a Demand'!$C$9*((I54*'3a Demand'!$C$17)+(J54*'3a Demand'!$D$17))</f>
        <v>16.035436811816385</v>
      </c>
      <c r="I73" s="109">
        <f>'3a Demand'!$C$9*((K54*'3a Demand'!$C$17)+(L54*'3a Demand'!$D$17))</f>
        <v>14.38921237332776</v>
      </c>
    </row>
    <row r="74" spans="1:28" s="15" customFormat="1">
      <c r="B74" s="283"/>
      <c r="C74" s="149" t="s">
        <v>162</v>
      </c>
      <c r="D74" s="278"/>
      <c r="E74" s="280"/>
      <c r="F74" s="29"/>
      <c r="G74" s="109">
        <f>'3a Demand'!$C$9*((G55*'3a Demand'!$C$17)+(H55*'3a Demand'!$D$17))</f>
        <v>11.781999033565574</v>
      </c>
      <c r="H74" s="109">
        <f>'3a Demand'!$C$9*((I55*'3a Demand'!$C$17)+(J55*'3a Demand'!$D$17))</f>
        <v>11.845584599499011</v>
      </c>
      <c r="I74" s="109">
        <f>'3a Demand'!$C$9*((K55*'3a Demand'!$C$17)+(L55*'3a Demand'!$D$17))</f>
        <v>9.4283615533623824</v>
      </c>
    </row>
    <row r="75" spans="1:28" s="15" customFormat="1">
      <c r="B75" s="283"/>
      <c r="C75" s="149" t="s">
        <v>163</v>
      </c>
      <c r="D75" s="278"/>
      <c r="E75" s="280"/>
      <c r="F75" s="29"/>
      <c r="G75" s="109">
        <f>((G56*'3a Demand'!$C$17)+(H56*'3a Demand'!$D$17))</f>
        <v>6.5567588596821036</v>
      </c>
      <c r="H75" s="109">
        <f>((I56*'3a Demand'!$C$17)+(J56*'3a Demand'!$D$17))</f>
        <v>6.6197359495950767</v>
      </c>
      <c r="I75" s="109">
        <f>((K56*'3a Demand'!$C$17)+(L56*'3a Demand'!$D$17))</f>
        <v>6.6995028867368625</v>
      </c>
    </row>
    <row r="76" spans="1:28" s="15" customFormat="1">
      <c r="B76" s="283"/>
      <c r="C76" s="149" t="s">
        <v>169</v>
      </c>
      <c r="D76" s="278"/>
      <c r="E76" s="280"/>
      <c r="F76" s="29"/>
      <c r="G76" s="109">
        <f>'3a Demand'!$C$9*((G57*'3a Demand'!$C$17)+(H57*'3a Demand'!$D$17))</f>
        <v>0.73069317557103552</v>
      </c>
      <c r="H76" s="109">
        <f>'3a Demand'!$C$9*((I57*'3a Demand'!$C$17)+(J57*'3a Demand'!$D$17))</f>
        <v>0.76126450113577537</v>
      </c>
      <c r="I76" s="109">
        <f>'3a Demand'!$C$9*((K57*'3a Demand'!$C$17)+(L57*'3a Demand'!$D$17))</f>
        <v>0.78096913824533987</v>
      </c>
    </row>
    <row r="77" spans="1:28" s="15" customFormat="1">
      <c r="B77" s="283"/>
      <c r="C77" s="150" t="s">
        <v>170</v>
      </c>
      <c r="D77" s="278"/>
      <c r="E77" s="280"/>
      <c r="F77" s="29"/>
      <c r="G77" s="129">
        <f>(AVERAGE(G15:G28)*'3a Demand'!C17)+(AVERAGE(H15:H28)*'3a Demand'!D17)</f>
        <v>68.544927534238354</v>
      </c>
      <c r="H77" s="129">
        <f>(AVERAGE(I15:I28)*'3a Demand'!C17)+(AVERAGE(J15:J28)*'3a Demand'!D17)</f>
        <v>83.561437217201998</v>
      </c>
      <c r="I77" s="129">
        <f>(AVERAGE(K15:K28)*'3a Demand'!C17)+(AVERAGE(L15:L28)*'3a Demand'!D17)</f>
        <v>89.086658247291481</v>
      </c>
    </row>
    <row r="78" spans="1:28" s="15" customFormat="1">
      <c r="B78" s="281" t="s">
        <v>153</v>
      </c>
      <c r="C78" s="149" t="s">
        <v>159</v>
      </c>
      <c r="D78" s="278"/>
      <c r="E78" s="280"/>
      <c r="F78" s="29"/>
      <c r="G78" s="109">
        <f>'3a Demand'!$C$10*((G58*'3a Demand'!$C$18)+(H58*'3a Demand'!$D$18))</f>
        <v>53.998364769631209</v>
      </c>
      <c r="H78" s="109">
        <f>'3a Demand'!$C$10*((I58*'3a Demand'!$C$18)+(J58*'3a Demand'!$D$18))</f>
        <v>65.437736574754297</v>
      </c>
      <c r="I78" s="109">
        <f>'3a Demand'!$C$10*((K58*'3a Demand'!$C$18)+(L58*'3a Demand'!$D$18))</f>
        <v>78.294515797066808</v>
      </c>
    </row>
    <row r="79" spans="1:28" s="15" customFormat="1">
      <c r="B79" s="282"/>
      <c r="C79" s="149" t="s">
        <v>161</v>
      </c>
      <c r="D79" s="278"/>
      <c r="E79" s="280"/>
      <c r="F79" s="29"/>
      <c r="G79" s="109">
        <f>'3a Demand'!$C$10*((G59*'3a Demand'!$C$18)+(H59*'3a Demand'!$D$18))</f>
        <v>13.032505412971826</v>
      </c>
      <c r="H79" s="109">
        <f>'3a Demand'!$C$10*((I59*'3a Demand'!$C$18)+(J59*'3a Demand'!$D$18))</f>
        <v>21.7254305192351</v>
      </c>
      <c r="I79" s="109">
        <f>'3a Demand'!$C$10*((K59*'3a Demand'!$C$18)+(L59*'3a Demand'!$D$18))</f>
        <v>19.511538854455289</v>
      </c>
    </row>
    <row r="80" spans="1:28" s="15" customFormat="1">
      <c r="B80" s="282"/>
      <c r="C80" s="149" t="s">
        <v>162</v>
      </c>
      <c r="D80" s="278"/>
      <c r="E80" s="280"/>
      <c r="F80" s="29"/>
      <c r="G80" s="109">
        <f>'3a Demand'!$C$10*((G60*'3a Demand'!$C$18)+(H60*'3a Demand'!$D$18))</f>
        <v>15.962708368056587</v>
      </c>
      <c r="H80" s="109">
        <f>'3a Demand'!$C$10*((I60*'3a Demand'!$C$18)+(J60*'3a Demand'!$D$18))</f>
        <v>16.043473265485858</v>
      </c>
      <c r="I80" s="109">
        <f>'3a Demand'!$C$10*((K60*'3a Demand'!$C$18)+(L60*'3a Demand'!$D$18))</f>
        <v>12.77390920132968</v>
      </c>
    </row>
    <row r="81" spans="2:9" s="15" customFormat="1">
      <c r="B81" s="282"/>
      <c r="C81" s="149" t="s">
        <v>163</v>
      </c>
      <c r="D81" s="278"/>
      <c r="E81" s="280"/>
      <c r="F81" s="29"/>
      <c r="G81" s="109">
        <f>((G61*'3a Demand'!$C$18)+(H61*'3a Demand'!$D$18))</f>
        <v>6.5567588596821027</v>
      </c>
      <c r="H81" s="109">
        <f>((I61*'3a Demand'!$C$18)+(J61*'3a Demand'!$D$18))</f>
        <v>6.6197359495950767</v>
      </c>
      <c r="I81" s="109">
        <f>((K61*'3a Demand'!$C$18)+(L61*'3a Demand'!$D$18))</f>
        <v>6.6995028867368607</v>
      </c>
    </row>
    <row r="82" spans="2:9" s="15" customFormat="1">
      <c r="B82" s="282"/>
      <c r="C82" s="149" t="s">
        <v>169</v>
      </c>
      <c r="D82" s="278"/>
      <c r="E82" s="280"/>
      <c r="F82" s="29"/>
      <c r="G82" s="109">
        <f>'3a Demand'!$C$10*((G62*'3a Demand'!$C$18)+(H62*'3a Demand'!$D$18))</f>
        <v>0.98792297635358117</v>
      </c>
      <c r="H82" s="109">
        <f>'3a Demand'!$C$10*((I62*'3a Demand'!$C$18)+(J62*'3a Demand'!$D$18))</f>
        <v>1.0315161651082234</v>
      </c>
      <c r="I82" s="109">
        <f>'3a Demand'!$C$10*((K62*'3a Demand'!$C$18)+(L62*'3a Demand'!$D$18))</f>
        <v>1.0558090067924109</v>
      </c>
    </row>
    <row r="83" spans="2:9" s="15" customFormat="1">
      <c r="B83" s="282"/>
      <c r="C83" s="150" t="s">
        <v>170</v>
      </c>
      <c r="D83" s="278"/>
      <c r="E83" s="280"/>
      <c r="F83" s="29"/>
      <c r="G83" s="129">
        <f>(AVERAGE(G29:G42)*'3a Demand'!C18)+(AVERAGE(H29:H42)*'3a Demand'!D18)</f>
        <v>90.538260386695313</v>
      </c>
      <c r="H83" s="129">
        <f>(AVERAGE(I29:I42)*'3a Demand'!C18)+(AVERAGE(J29:J42)*'3a Demand'!D18)</f>
        <v>110.85789247417857</v>
      </c>
      <c r="I83" s="129">
        <f>(AVERAGE(K29:K42)*'3a Demand'!C18)+(AVERAGE(L29:L42)*'3a Demand'!D18)</f>
        <v>118.33527574638106</v>
      </c>
    </row>
    <row r="84" spans="2:9" s="15" customFormat="1">
      <c r="B84" s="276" t="s">
        <v>154</v>
      </c>
      <c r="C84" s="149" t="s">
        <v>162</v>
      </c>
      <c r="D84" s="278"/>
      <c r="E84" s="280"/>
      <c r="F84" s="29"/>
      <c r="G84" s="109">
        <f>'3a Demand'!$C$11*((G63*'3a Demand'!$C$19)+(H63*'3a Demand'!$D$19))</f>
        <v>15.369510236881789</v>
      </c>
      <c r="H84" s="109">
        <f>'3a Demand'!$C$11*((I63*'3a Demand'!$C$19)+(J63*'3a Demand'!$D$19))</f>
        <v>15.920595779679616</v>
      </c>
      <c r="I84" s="109">
        <f>'3a Demand'!$C$11*((K63*'3a Demand'!$C$19)+(L63*'3a Demand'!$D$19))</f>
        <v>12.406794332085205</v>
      </c>
    </row>
    <row r="85" spans="2:9" s="15" customFormat="1">
      <c r="B85" s="276"/>
      <c r="C85" s="149" t="s">
        <v>163</v>
      </c>
      <c r="D85" s="278"/>
      <c r="E85" s="280"/>
      <c r="F85" s="29"/>
      <c r="G85" s="109">
        <f>((G64*'3a Demand'!$C$19)+(H64*'3a Demand'!$D$19))</f>
        <v>6.5567588554850307</v>
      </c>
      <c r="H85" s="109">
        <f>((I64*'3a Demand'!$C$19)+(J64*'3a Demand'!$D$19))</f>
        <v>6.6197359453576921</v>
      </c>
      <c r="I85" s="109">
        <f>((K64*'3a Demand'!$C$19)+(L64*'3a Demand'!$D$19))</f>
        <v>6.6995028824484173</v>
      </c>
    </row>
    <row r="86" spans="2:9" s="15" customFormat="1">
      <c r="B86" s="276"/>
      <c r="C86" s="150" t="s">
        <v>170</v>
      </c>
      <c r="D86" s="279"/>
      <c r="E86" s="280"/>
      <c r="F86" s="29"/>
      <c r="G86" s="129">
        <f>(G43*'3a Demand'!C19)+(H43*'3a Demand'!D19)</f>
        <v>21.926269092366816</v>
      </c>
      <c r="H86" s="129">
        <f>I43*'3a Demand'!C19+J43*'3a Demand'!D19</f>
        <v>22.540331725037305</v>
      </c>
      <c r="I86" s="129">
        <f>K43*'3a Demand'!C19+L43*'3a Demand'!D19</f>
        <v>19.106297214533623</v>
      </c>
    </row>
    <row r="87" spans="2:9" s="15" customFormat="1"/>
    <row r="88" spans="2:9" s="15" customFormat="1"/>
    <row r="89" spans="2:9" s="15" customFormat="1" hidden="1"/>
    <row r="90" spans="2:9" s="15" customFormat="1" hidden="1"/>
    <row r="91" spans="2:9"/>
    <row r="92" spans="2:9"/>
    <row r="93" spans="2:9"/>
    <row r="94" spans="2:9"/>
    <row r="95" spans="2:9"/>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3:B65"/>
    <mergeCell ref="G48:N48"/>
    <mergeCell ref="G47:N47"/>
    <mergeCell ref="B47:B52"/>
    <mergeCell ref="E47:E48"/>
    <mergeCell ref="E53:E65"/>
    <mergeCell ref="B53:B57"/>
    <mergeCell ref="B58:B62"/>
    <mergeCell ref="B84:B86"/>
    <mergeCell ref="D72:D86"/>
    <mergeCell ref="E72:E86"/>
    <mergeCell ref="B78:B83"/>
    <mergeCell ref="B72:B77"/>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D93"/>
  <sheetViews>
    <sheetView topLeftCell="K4" zoomScale="80" zoomScaleNormal="80" workbookViewId="0">
      <selection activeCell="Z27" sqref="Z27"/>
    </sheetView>
  </sheetViews>
  <sheetFormatPr defaultColWidth="0" defaultRowHeight="12.6" zeroHeight="1"/>
  <cols>
    <col min="1" max="1" width="2.453125" customWidth="1"/>
    <col min="2" max="2" width="25.1796875" customWidth="1"/>
    <col min="3" max="3" width="15" customWidth="1"/>
    <col min="4" max="4" width="11.36328125" customWidth="1"/>
    <col min="5" max="5" width="26" customWidth="1"/>
    <col min="6" max="6" width="23.6328125" customWidth="1"/>
    <col min="7" max="7" width="1.36328125" customWidth="1"/>
    <col min="8" max="15" width="15.6328125" customWidth="1"/>
    <col min="16" max="16" width="1.36328125" customWidth="1"/>
    <col min="17" max="24" width="15.6328125" customWidth="1"/>
    <col min="25" max="25" width="1.36328125" customWidth="1"/>
    <col min="26" max="28" width="15.6328125" customWidth="1"/>
    <col min="29" max="29" width="9" customWidth="1"/>
    <col min="30" max="30" width="0" hidden="1" customWidth="1"/>
    <col min="31" max="16384" width="9" hidden="1"/>
  </cols>
  <sheetData>
    <row r="1" spans="1:28" s="2" customFormat="1" ht="12.75" customHeight="1"/>
    <row r="2" spans="1:28" s="2" customFormat="1" ht="18.75" customHeight="1">
      <c r="B2" s="41" t="s">
        <v>171</v>
      </c>
      <c r="C2" s="41"/>
      <c r="D2" s="41"/>
      <c r="E2" s="41"/>
      <c r="F2" s="41"/>
      <c r="G2" s="41"/>
      <c r="H2" s="41"/>
      <c r="P2" s="41"/>
      <c r="Y2" s="41"/>
    </row>
    <row r="3" spans="1:28" s="2" customFormat="1" ht="28.5" customHeight="1">
      <c r="B3" s="297" t="s">
        <v>172</v>
      </c>
      <c r="C3" s="297"/>
      <c r="D3" s="297"/>
      <c r="E3" s="297"/>
      <c r="F3" s="297"/>
      <c r="G3" s="297"/>
      <c r="H3" s="297"/>
      <c r="I3" s="297"/>
      <c r="J3" s="297"/>
      <c r="K3" s="40"/>
      <c r="L3" s="40"/>
      <c r="M3" s="40"/>
      <c r="N3" s="40"/>
      <c r="O3" s="40"/>
      <c r="P3" s="40"/>
      <c r="Q3" s="40"/>
      <c r="R3" s="40"/>
      <c r="S3" s="40"/>
      <c r="T3" s="40"/>
      <c r="U3" s="40"/>
      <c r="V3" s="40"/>
      <c r="W3" s="40"/>
      <c r="X3" s="40"/>
      <c r="Y3" s="40"/>
      <c r="Z3" s="40"/>
      <c r="AA3" s="40"/>
      <c r="AB3" s="40"/>
    </row>
    <row r="4" spans="1:28" s="2" customFormat="1" ht="12.75" customHeight="1"/>
    <row r="5" spans="1:28" s="15" customFormat="1">
      <c r="I5" s="57"/>
      <c r="S5" s="57"/>
    </row>
    <row r="6" spans="1:28" s="15" customFormat="1"/>
    <row r="7" spans="1:28" s="88" customFormat="1">
      <c r="B7" s="89" t="s">
        <v>173</v>
      </c>
      <c r="C7" s="89"/>
    </row>
    <row r="8" spans="1:28" s="15" customFormat="1"/>
    <row r="9" spans="1:28">
      <c r="A9" s="15"/>
      <c r="B9" s="294" t="s">
        <v>77</v>
      </c>
      <c r="C9" s="311" t="s">
        <v>156</v>
      </c>
      <c r="D9" s="312"/>
      <c r="E9" s="287" t="s">
        <v>79</v>
      </c>
      <c r="F9" s="301"/>
      <c r="G9" s="87"/>
      <c r="H9" s="302" t="s">
        <v>80</v>
      </c>
      <c r="I9" s="303"/>
      <c r="J9" s="303"/>
      <c r="K9" s="303"/>
      <c r="L9" s="303"/>
      <c r="M9" s="303"/>
      <c r="N9" s="303"/>
      <c r="O9" s="304"/>
      <c r="P9" s="139"/>
      <c r="Q9" s="248" t="s">
        <v>81</v>
      </c>
      <c r="R9" s="249"/>
      <c r="S9" s="249"/>
      <c r="T9" s="249"/>
      <c r="U9" s="249"/>
      <c r="V9" s="249"/>
      <c r="W9" s="249"/>
      <c r="X9" s="249"/>
      <c r="Y9" s="87"/>
      <c r="Z9" s="249"/>
      <c r="AA9" s="249"/>
      <c r="AB9" s="250"/>
    </row>
    <row r="10" spans="1:28" ht="12.75" customHeight="1">
      <c r="A10" s="15"/>
      <c r="B10" s="294"/>
      <c r="C10" s="313"/>
      <c r="D10" s="314"/>
      <c r="E10" s="287"/>
      <c r="F10" s="301"/>
      <c r="G10" s="87"/>
      <c r="H10" s="288" t="s">
        <v>82</v>
      </c>
      <c r="I10" s="289"/>
      <c r="J10" s="289"/>
      <c r="K10" s="289"/>
      <c r="L10" s="289"/>
      <c r="M10" s="289"/>
      <c r="N10" s="289"/>
      <c r="O10" s="290"/>
      <c r="P10" s="139"/>
      <c r="Q10" s="251" t="s">
        <v>83</v>
      </c>
      <c r="R10" s="252"/>
      <c r="S10" s="252"/>
      <c r="T10" s="252"/>
      <c r="U10" s="252"/>
      <c r="V10" s="252"/>
      <c r="W10" s="252"/>
      <c r="X10" s="252"/>
      <c r="Y10" s="87"/>
      <c r="Z10" s="252"/>
      <c r="AA10" s="252"/>
      <c r="AB10" s="253"/>
    </row>
    <row r="11" spans="1:28" ht="22.8">
      <c r="A11" s="15"/>
      <c r="B11" s="294"/>
      <c r="C11" s="313"/>
      <c r="D11" s="314"/>
      <c r="E11" s="287"/>
      <c r="F11" s="100" t="s">
        <v>84</v>
      </c>
      <c r="G11" s="87"/>
      <c r="H11" s="34" t="s">
        <v>85</v>
      </c>
      <c r="I11" s="34" t="s">
        <v>86</v>
      </c>
      <c r="J11" s="34" t="s">
        <v>87</v>
      </c>
      <c r="K11" s="34" t="s">
        <v>88</v>
      </c>
      <c r="L11" s="34" t="s">
        <v>89</v>
      </c>
      <c r="M11" s="35" t="s">
        <v>90</v>
      </c>
      <c r="N11" s="34" t="s">
        <v>91</v>
      </c>
      <c r="O11" s="34" t="s">
        <v>92</v>
      </c>
      <c r="P11" s="87"/>
      <c r="Q11" s="30" t="s">
        <v>93</v>
      </c>
      <c r="R11" s="30" t="s">
        <v>94</v>
      </c>
      <c r="S11" s="30" t="s">
        <v>95</v>
      </c>
      <c r="T11" s="36" t="s">
        <v>96</v>
      </c>
      <c r="U11" s="30" t="s">
        <v>97</v>
      </c>
      <c r="V11" s="30" t="s">
        <v>98</v>
      </c>
      <c r="W11" s="30" t="s">
        <v>99</v>
      </c>
      <c r="X11" s="30" t="s">
        <v>100</v>
      </c>
      <c r="Y11" s="87"/>
      <c r="Z11" s="30" t="s">
        <v>101</v>
      </c>
      <c r="AA11" s="30" t="s">
        <v>102</v>
      </c>
      <c r="AB11" s="30" t="s">
        <v>103</v>
      </c>
    </row>
    <row r="12" spans="1:28" ht="22.8">
      <c r="A12" s="15"/>
      <c r="B12" s="294"/>
      <c r="C12" s="313"/>
      <c r="D12" s="314"/>
      <c r="E12" s="287"/>
      <c r="F12" s="100" t="s">
        <v>84</v>
      </c>
      <c r="G12" s="87"/>
      <c r="H12" s="34" t="s">
        <v>85</v>
      </c>
      <c r="I12" s="34" t="s">
        <v>86</v>
      </c>
      <c r="J12" s="34" t="s">
        <v>87</v>
      </c>
      <c r="K12" s="34" t="s">
        <v>88</v>
      </c>
      <c r="L12" s="34" t="s">
        <v>89</v>
      </c>
      <c r="M12" s="35" t="s">
        <v>90</v>
      </c>
      <c r="N12" s="34" t="s">
        <v>91</v>
      </c>
      <c r="O12" s="34" t="s">
        <v>92</v>
      </c>
      <c r="P12" s="87"/>
      <c r="Q12" s="30" t="s">
        <v>93</v>
      </c>
      <c r="R12" s="30" t="s">
        <v>94</v>
      </c>
      <c r="S12" s="30" t="s">
        <v>95</v>
      </c>
      <c r="T12" s="36" t="s">
        <v>96</v>
      </c>
      <c r="U12" s="30" t="s">
        <v>97</v>
      </c>
      <c r="V12" s="30" t="s">
        <v>98</v>
      </c>
      <c r="W12" s="30" t="s">
        <v>99</v>
      </c>
      <c r="X12" s="30" t="s">
        <v>100</v>
      </c>
      <c r="Y12" s="87"/>
      <c r="Z12" s="30" t="s">
        <v>104</v>
      </c>
      <c r="AA12" s="30" t="s">
        <v>105</v>
      </c>
      <c r="AB12" s="30" t="s">
        <v>103</v>
      </c>
    </row>
    <row r="13" spans="1:28" ht="12.75" customHeight="1">
      <c r="A13" s="15"/>
      <c r="B13" s="294"/>
      <c r="C13" s="313"/>
      <c r="D13" s="314"/>
      <c r="E13" s="287"/>
      <c r="F13" s="100" t="s">
        <v>106</v>
      </c>
      <c r="G13" s="87"/>
      <c r="H13" s="32" t="s">
        <v>107</v>
      </c>
      <c r="I13" s="32" t="s">
        <v>108</v>
      </c>
      <c r="J13" s="32" t="s">
        <v>109</v>
      </c>
      <c r="K13" s="32" t="s">
        <v>110</v>
      </c>
      <c r="L13" s="32" t="s">
        <v>111</v>
      </c>
      <c r="M13" s="33" t="s">
        <v>112</v>
      </c>
      <c r="N13" s="32" t="s">
        <v>113</v>
      </c>
      <c r="O13" s="32" t="s">
        <v>114</v>
      </c>
      <c r="P13" s="87"/>
      <c r="Q13" s="32" t="s">
        <v>115</v>
      </c>
      <c r="R13" s="32" t="s">
        <v>116</v>
      </c>
      <c r="S13" s="32" t="s">
        <v>117</v>
      </c>
      <c r="T13" s="37" t="s">
        <v>118</v>
      </c>
      <c r="U13" s="32" t="s">
        <v>119</v>
      </c>
      <c r="V13" s="32" t="s">
        <v>120</v>
      </c>
      <c r="W13" s="32" t="s">
        <v>121</v>
      </c>
      <c r="X13" s="32" t="s">
        <v>122</v>
      </c>
      <c r="Y13" s="87"/>
      <c r="Z13" s="32" t="s">
        <v>123</v>
      </c>
      <c r="AA13" s="32" t="s">
        <v>124</v>
      </c>
      <c r="AB13" s="32" t="s">
        <v>125</v>
      </c>
    </row>
    <row r="14" spans="1:28" ht="30.75" customHeight="1">
      <c r="A14" s="15"/>
      <c r="B14" s="294"/>
      <c r="C14" s="315"/>
      <c r="D14" s="316"/>
      <c r="E14" s="287"/>
      <c r="F14" s="101" t="s">
        <v>168</v>
      </c>
      <c r="G14" s="87"/>
      <c r="H14" s="30" t="s">
        <v>127</v>
      </c>
      <c r="I14" s="30" t="s">
        <v>127</v>
      </c>
      <c r="J14" s="30" t="s">
        <v>128</v>
      </c>
      <c r="K14" s="30" t="s">
        <v>128</v>
      </c>
      <c r="L14" s="30" t="s">
        <v>129</v>
      </c>
      <c r="M14" s="31" t="s">
        <v>129</v>
      </c>
      <c r="N14" s="30" t="s">
        <v>130</v>
      </c>
      <c r="O14" s="30" t="s">
        <v>130</v>
      </c>
      <c r="P14" s="87"/>
      <c r="Q14" s="30" t="s">
        <v>131</v>
      </c>
      <c r="R14" s="30" t="s">
        <v>132</v>
      </c>
      <c r="S14" s="30" t="s">
        <v>132</v>
      </c>
      <c r="T14" s="36" t="s">
        <v>133</v>
      </c>
      <c r="U14" s="30" t="s">
        <v>133</v>
      </c>
      <c r="V14" s="30" t="s">
        <v>134</v>
      </c>
      <c r="W14" s="30" t="s">
        <v>134</v>
      </c>
      <c r="X14" s="30" t="s">
        <v>135</v>
      </c>
      <c r="Y14" s="87"/>
      <c r="Z14" s="30" t="s">
        <v>135</v>
      </c>
      <c r="AA14" s="30" t="s">
        <v>136</v>
      </c>
      <c r="AB14" s="30" t="s">
        <v>136</v>
      </c>
    </row>
    <row r="15" spans="1:28" ht="12.6" customHeight="1">
      <c r="A15" s="15"/>
      <c r="B15" s="283" t="s">
        <v>137</v>
      </c>
      <c r="C15" s="276" t="s">
        <v>159</v>
      </c>
      <c r="D15" s="276"/>
      <c r="E15" s="233" t="s">
        <v>160</v>
      </c>
      <c r="F15" s="277"/>
      <c r="G15" s="29"/>
      <c r="H15" s="16">
        <f>'3b RO'!H19</f>
        <v>12.858367999999999</v>
      </c>
      <c r="I15" s="16">
        <f>'3b RO'!I19</f>
        <v>12.855699999999999</v>
      </c>
      <c r="J15" s="16">
        <f>'3b RO'!J19</f>
        <v>15.581108399999998</v>
      </c>
      <c r="K15" s="16">
        <f>'3b RO'!K19</f>
        <v>15.57996</v>
      </c>
      <c r="L15" s="16">
        <f>'3b RO'!L19</f>
        <v>18.640526740000002</v>
      </c>
      <c r="M15" s="16">
        <f>'3b RO'!M19</f>
        <v>18.642219999999998</v>
      </c>
      <c r="N15" s="16">
        <f>'3b RO'!N19</f>
        <v>22.102678517046183</v>
      </c>
      <c r="O15" s="16">
        <f>'3b RO'!O19</f>
        <v>22.098960000000002</v>
      </c>
      <c r="P15" s="29"/>
      <c r="Q15" s="16">
        <f>'3b RO'!Q19</f>
        <v>22.098960000000002</v>
      </c>
      <c r="R15" s="16">
        <f>'3b RO'!R19</f>
        <v>23.644631305063015</v>
      </c>
      <c r="S15" s="16">
        <f>'3b RO'!S19</f>
        <v>23.60952</v>
      </c>
      <c r="T15" s="16">
        <f>'3b RO'!T19</f>
        <v>23.652418974429146</v>
      </c>
      <c r="U15" s="16">
        <f>'3b RO'!U19</f>
        <v>23.573549999999997</v>
      </c>
      <c r="V15" s="16">
        <f>'3b RO'!V19</f>
        <v>24.983646662697712</v>
      </c>
      <c r="W15" s="16">
        <f>'3b RO'!W19</f>
        <v>24.993599999999997</v>
      </c>
      <c r="X15" s="16">
        <f>'3b RO'!X19</f>
        <v>25.836025060581413</v>
      </c>
      <c r="Y15" s="29"/>
      <c r="Z15" s="16">
        <f>'3b RO'!Z19</f>
        <v>25.964079999999999</v>
      </c>
      <c r="AA15" s="16" t="str">
        <f>'3b RO'!AA19</f>
        <v>-</v>
      </c>
      <c r="AB15" s="16" t="str">
        <f>'3b RO'!AB19</f>
        <v>-</v>
      </c>
    </row>
    <row r="16" spans="1:28">
      <c r="A16" s="15"/>
      <c r="B16" s="283"/>
      <c r="C16" s="276" t="s">
        <v>161</v>
      </c>
      <c r="D16" s="276"/>
      <c r="E16" s="233" t="s">
        <v>160</v>
      </c>
      <c r="F16" s="278"/>
      <c r="G16" s="29"/>
      <c r="H16" s="16">
        <f>'3d FIT'!H18</f>
        <v>3.1029774792790059</v>
      </c>
      <c r="I16" s="16">
        <f>'3d FIT'!I18</f>
        <v>3.1029774792790059</v>
      </c>
      <c r="J16" s="16">
        <f>'3d FIT'!J18</f>
        <v>5.1727215521988335</v>
      </c>
      <c r="K16" s="16">
        <f>'3d FIT'!K18</f>
        <v>5.1727215521988335</v>
      </c>
      <c r="L16" s="16">
        <f>'3d FIT'!L18</f>
        <v>4.5823442285238185</v>
      </c>
      <c r="M16" s="16">
        <f>'3d FIT'!M18</f>
        <v>4.6868844010376698</v>
      </c>
      <c r="N16" s="16">
        <f>'3d FIT'!N18</f>
        <v>5.3125820560931691</v>
      </c>
      <c r="O16" s="16">
        <f>'3d FIT'!O18</f>
        <v>5.3125820560931691</v>
      </c>
      <c r="P16" s="29"/>
      <c r="Q16" s="16">
        <f>'3d FIT'!Q18</f>
        <v>5.3125820560931691</v>
      </c>
      <c r="R16" s="16">
        <f>'3d FIT'!R18</f>
        <v>5.8835962363334122</v>
      </c>
      <c r="S16" s="16">
        <f>'3d FIT'!S18</f>
        <v>6.1125706929592383</v>
      </c>
      <c r="T16" s="16">
        <f>'3d FIT'!T18</f>
        <v>6.209419523851972</v>
      </c>
      <c r="U16" s="16">
        <f>'3d FIT'!U18</f>
        <v>6.209419523851972</v>
      </c>
      <c r="V16" s="16">
        <f>'3i New FIT methodology'!O157</f>
        <v>6.8501864450773278</v>
      </c>
      <c r="W16" s="16">
        <f>'3i New FIT methodology'!P157</f>
        <v>6.8480043107034856</v>
      </c>
      <c r="X16" s="16">
        <f>'3i New FIT methodology'!Q157</f>
        <v>6.0338953603312691</v>
      </c>
      <c r="Y16" s="29"/>
      <c r="Z16" s="16">
        <f>'3i New FIT methodology'!S157</f>
        <v>5.6258217510753665</v>
      </c>
      <c r="AA16" s="16" t="str">
        <f>'3i New FIT methodology'!T157</f>
        <v>-</v>
      </c>
      <c r="AB16" s="16" t="str">
        <f>'3i New FIT methodology'!U157</f>
        <v>-</v>
      </c>
    </row>
    <row r="17" spans="1:28" ht="12.75" customHeight="1">
      <c r="A17" s="15"/>
      <c r="B17" s="283"/>
      <c r="C17" s="276" t="s">
        <v>162</v>
      </c>
      <c r="D17" s="276"/>
      <c r="E17" s="233" t="s">
        <v>160</v>
      </c>
      <c r="F17" s="278"/>
      <c r="G17" s="29"/>
      <c r="H17" s="16">
        <f>'3e ECO'!H22</f>
        <v>3.800644849537282</v>
      </c>
      <c r="I17" s="16">
        <f>'3e ECO'!I22</f>
        <v>3.800644849537282</v>
      </c>
      <c r="J17" s="16">
        <f>'3e ECO'!J22</f>
        <v>3.840542773328024</v>
      </c>
      <c r="K17" s="16">
        <f>'3e ECO'!K22</f>
        <v>3.8063877486640387</v>
      </c>
      <c r="L17" s="16">
        <f>'3e ECO'!L22</f>
        <v>3.0414069526975425</v>
      </c>
      <c r="M17" s="16">
        <f>'3e ECO'!M22</f>
        <v>3.0414069526975425</v>
      </c>
      <c r="N17" s="16">
        <f>'3e ECO'!N22</f>
        <v>3.3175524355353234</v>
      </c>
      <c r="O17" s="16">
        <f>'3e ECO'!O22</f>
        <v>3.3378759371842848</v>
      </c>
      <c r="P17" s="29"/>
      <c r="Q17" s="16">
        <f>'3e ECO'!Q22</f>
        <v>3.3378759371842848</v>
      </c>
      <c r="R17" s="16">
        <f>'3e ECO'!R22</f>
        <v>3.458686192546887</v>
      </c>
      <c r="S17" s="16">
        <f>'3e ECO'!S22</f>
        <v>3.7058915530784011</v>
      </c>
      <c r="T17" s="16">
        <f>'3e ECO'!T22</f>
        <v>4.5347994584924356</v>
      </c>
      <c r="U17" s="16">
        <f>'3e ECO'!U22</f>
        <v>4.5210234547962456</v>
      </c>
      <c r="V17" s="16">
        <f>'3e ECO'!V22</f>
        <v>4.4511581333846166</v>
      </c>
      <c r="W17" s="16">
        <f>'3e ECO'!W22</f>
        <v>4.3254615450700591</v>
      </c>
      <c r="X17" s="16">
        <f>'3e ECO'!X22</f>
        <v>5.3948055674536768</v>
      </c>
      <c r="Y17" s="29"/>
      <c r="Z17" s="16">
        <f>'3e ECO'!Z22</f>
        <v>5.2411778994660096</v>
      </c>
      <c r="AA17" s="16" t="str">
        <f>'3e ECO'!AA22</f>
        <v>-</v>
      </c>
      <c r="AB17" s="16" t="str">
        <f>'3e ECO'!AB22</f>
        <v>-</v>
      </c>
    </row>
    <row r="18" spans="1:28">
      <c r="A18" s="15"/>
      <c r="B18" s="283"/>
      <c r="C18" s="276" t="s">
        <v>163</v>
      </c>
      <c r="D18" s="276"/>
      <c r="E18" s="233" t="s">
        <v>164</v>
      </c>
      <c r="F18" s="278"/>
      <c r="G18" s="29"/>
      <c r="H18" s="16">
        <f>'3f WHD'!H19</f>
        <v>6.5567588596821027</v>
      </c>
      <c r="I18" s="16">
        <f>'3f WHD'!I19</f>
        <v>6.5567588596821027</v>
      </c>
      <c r="J18" s="16">
        <f>'3f WHD'!J19</f>
        <v>6.6197359495950758</v>
      </c>
      <c r="K18" s="16">
        <f>'3f WHD'!K19</f>
        <v>6.6197359495950758</v>
      </c>
      <c r="L18" s="16">
        <f>'3f WHD'!L19</f>
        <v>6.6995028867368616</v>
      </c>
      <c r="M18" s="16">
        <f>'3f WHD'!M19</f>
        <v>6.6995028867368616</v>
      </c>
      <c r="N18" s="16">
        <f>'3f WHD'!N19</f>
        <v>7.1131218301273513</v>
      </c>
      <c r="O18" s="16">
        <f>'3f WHD'!O19</f>
        <v>7.1131218301273513</v>
      </c>
      <c r="P18" s="29"/>
      <c r="Q18" s="16">
        <f>'3f WHD'!Q19</f>
        <v>7.1131218301273513</v>
      </c>
      <c r="R18" s="16">
        <f>'3f WHD'!R19</f>
        <v>7.2804579515147188</v>
      </c>
      <c r="S18" s="16">
        <f>'3f WHD'!S19</f>
        <v>7.1935840895118579</v>
      </c>
      <c r="T18" s="16">
        <f>'3f WHD'!T19</f>
        <v>7.3593999937099728</v>
      </c>
      <c r="U18" s="16">
        <f>'3f WHD'!U19</f>
        <v>7.0492243060839304</v>
      </c>
      <c r="V18" s="16">
        <f>'3f WHD'!V19</f>
        <v>7.1089669218364691</v>
      </c>
      <c r="W18" s="16">
        <f>'3f WHD'!W19</f>
        <v>6.9829560851947949</v>
      </c>
      <c r="X18" s="16">
        <f>'3f WHD'!X19</f>
        <v>9.6262235975887975</v>
      </c>
      <c r="Y18" s="29"/>
      <c r="Z18" s="16">
        <f>'3f WHD'!Z19</f>
        <v>9.9504863797742438</v>
      </c>
      <c r="AA18" s="16" t="str">
        <f>'3f WHD'!AA19</f>
        <v/>
      </c>
      <c r="AB18" s="16" t="str">
        <f>'3f WHD'!AB19</f>
        <v/>
      </c>
    </row>
    <row r="19" spans="1:28">
      <c r="A19" s="15"/>
      <c r="B19" s="283"/>
      <c r="C19" s="276" t="s">
        <v>169</v>
      </c>
      <c r="D19" s="276"/>
      <c r="E19" s="233" t="s">
        <v>174</v>
      </c>
      <c r="F19" s="278"/>
      <c r="G19" s="29"/>
      <c r="H19" s="16">
        <f>'3g AAHEDC'!H18</f>
        <v>0.22001830000000003</v>
      </c>
      <c r="I19" s="16">
        <f>'3g AAHEDC'!I18</f>
        <v>0.21649000000000002</v>
      </c>
      <c r="J19" s="16">
        <f>'3g AAHEDC'!J18</f>
        <v>0.22168576000000001</v>
      </c>
      <c r="K19" s="16">
        <f>'3g AAHEDC'!K18</f>
        <v>0.23129</v>
      </c>
      <c r="L19" s="16">
        <f>'3g AAHEDC'!L18</f>
        <v>0.23545322000000002</v>
      </c>
      <c r="M19" s="16">
        <f>'3g AAHEDC'!M18</f>
        <v>0.23116</v>
      </c>
      <c r="N19" s="16">
        <f>'3g AAHEDC'!N18</f>
        <v>0.23999288745076519</v>
      </c>
      <c r="O19" s="16">
        <f>'3g AAHEDC'!O18</f>
        <v>0.24526999999999999</v>
      </c>
      <c r="P19" s="29"/>
      <c r="Q19" s="16">
        <f>'3g AAHEDC'!Q18</f>
        <v>0.24526999999999999</v>
      </c>
      <c r="R19" s="16">
        <f>'3g AAHEDC'!R18</f>
        <v>0.25358627637030584</v>
      </c>
      <c r="S19" s="16">
        <f>'3g AAHEDC'!S18</f>
        <v>0.26270000000000004</v>
      </c>
      <c r="T19" s="16">
        <f>'3g AAHEDC'!T18</f>
        <v>0.27043985561217054</v>
      </c>
      <c r="U19" s="16">
        <f>'3g AAHEDC'!U18</f>
        <v>0.30446000000000001</v>
      </c>
      <c r="V19" s="16">
        <f>'3g AAHEDC'!V18</f>
        <v>0.43404372473011354</v>
      </c>
      <c r="W19" s="16">
        <f>'3g AAHEDC'!W18</f>
        <v>0.40426999999999996</v>
      </c>
      <c r="X19" s="16">
        <f>'3g AAHEDC'!X18</f>
        <v>0.42281486333143048</v>
      </c>
      <c r="Y19" s="29"/>
      <c r="Z19" s="16">
        <f>'3g AAHEDC'!Z18</f>
        <v>0.40669999999999995</v>
      </c>
      <c r="AA19" s="16" t="str">
        <f>'3g AAHEDC'!AA18</f>
        <v>-</v>
      </c>
      <c r="AB19" s="16" t="str">
        <f>'3g AAHEDC'!AB18</f>
        <v>-</v>
      </c>
    </row>
    <row r="20" spans="1:28">
      <c r="A20" s="15"/>
      <c r="B20" s="281" t="s">
        <v>153</v>
      </c>
      <c r="C20" s="276" t="s">
        <v>159</v>
      </c>
      <c r="D20" s="276"/>
      <c r="E20" s="233" t="s">
        <v>160</v>
      </c>
      <c r="F20" s="278"/>
      <c r="G20" s="29"/>
      <c r="H20" s="16">
        <f>'3b RO'!H19</f>
        <v>12.858367999999999</v>
      </c>
      <c r="I20" s="16">
        <f>'3b RO'!I19</f>
        <v>12.855699999999999</v>
      </c>
      <c r="J20" s="16">
        <f>'3b RO'!J19</f>
        <v>15.581108399999998</v>
      </c>
      <c r="K20" s="16">
        <f>'3b RO'!K19</f>
        <v>15.57996</v>
      </c>
      <c r="L20" s="16">
        <f>'3b RO'!L19</f>
        <v>18.640526740000002</v>
      </c>
      <c r="M20" s="16">
        <f>'3b RO'!M19</f>
        <v>18.642219999999998</v>
      </c>
      <c r="N20" s="16">
        <f>'3b RO'!N19</f>
        <v>22.102678517046183</v>
      </c>
      <c r="O20" s="16">
        <f>'3b RO'!O19</f>
        <v>22.098960000000002</v>
      </c>
      <c r="P20" s="29"/>
      <c r="Q20" s="16">
        <f>'3b RO'!Q19</f>
        <v>22.098960000000002</v>
      </c>
      <c r="R20" s="16">
        <f>'3b RO'!R19</f>
        <v>23.644631305063015</v>
      </c>
      <c r="S20" s="16">
        <f>'3b RO'!S19</f>
        <v>23.60952</v>
      </c>
      <c r="T20" s="16">
        <f>'3b RO'!T19</f>
        <v>23.652418974429146</v>
      </c>
      <c r="U20" s="16">
        <f>'3b RO'!U19</f>
        <v>23.573549999999997</v>
      </c>
      <c r="V20" s="16">
        <f>'3b RO'!V19</f>
        <v>24.983646662697712</v>
      </c>
      <c r="W20" s="16">
        <f>'3b RO'!W19</f>
        <v>24.993599999999997</v>
      </c>
      <c r="X20" s="16">
        <f>'3b RO'!X19</f>
        <v>25.836025060581413</v>
      </c>
      <c r="Y20" s="29"/>
      <c r="Z20" s="16">
        <f>'3b RO'!Z19</f>
        <v>25.964079999999999</v>
      </c>
      <c r="AA20" s="16" t="str">
        <f>'3b RO'!AA19</f>
        <v>-</v>
      </c>
      <c r="AB20" s="16" t="str">
        <f>'3b RO'!AB19</f>
        <v>-</v>
      </c>
    </row>
    <row r="21" spans="1:28">
      <c r="A21" s="15"/>
      <c r="B21" s="282"/>
      <c r="C21" s="276" t="s">
        <v>161</v>
      </c>
      <c r="D21" s="276"/>
      <c r="E21" s="233" t="s">
        <v>160</v>
      </c>
      <c r="F21" s="278"/>
      <c r="G21" s="29"/>
      <c r="H21" s="16">
        <f>'3d FIT'!H18</f>
        <v>3.1029774792790059</v>
      </c>
      <c r="I21" s="16">
        <f>'3d FIT'!I18</f>
        <v>3.1029774792790059</v>
      </c>
      <c r="J21" s="16">
        <f>'3d FIT'!J18</f>
        <v>5.1727215521988335</v>
      </c>
      <c r="K21" s="16">
        <f>'3d FIT'!K18</f>
        <v>5.1727215521988335</v>
      </c>
      <c r="L21" s="16">
        <f>'3d FIT'!L18</f>
        <v>4.5823442285238185</v>
      </c>
      <c r="M21" s="16">
        <f>'3d FIT'!M18</f>
        <v>4.6868844010376698</v>
      </c>
      <c r="N21" s="16">
        <f>'3d FIT'!N18</f>
        <v>5.3125820560931691</v>
      </c>
      <c r="O21" s="16">
        <f>'3d FIT'!O18</f>
        <v>5.3125820560931691</v>
      </c>
      <c r="P21" s="29"/>
      <c r="Q21" s="16">
        <f>'3d FIT'!Q18</f>
        <v>5.3125820560931691</v>
      </c>
      <c r="R21" s="16">
        <f>'3d FIT'!R18</f>
        <v>5.8835962363334122</v>
      </c>
      <c r="S21" s="16">
        <f>'3d FIT'!S18</f>
        <v>6.1125706929592383</v>
      </c>
      <c r="T21" s="16">
        <f>'3d FIT'!T18</f>
        <v>6.209419523851972</v>
      </c>
      <c r="U21" s="16">
        <f>'3d FIT'!U18</f>
        <v>6.209419523851972</v>
      </c>
      <c r="V21" s="16">
        <f>'3i New FIT methodology'!O157</f>
        <v>6.8501864450773278</v>
      </c>
      <c r="W21" s="16">
        <f>'3i New FIT methodology'!P157</f>
        <v>6.8480043107034856</v>
      </c>
      <c r="X21" s="16">
        <f>'3i New FIT methodology'!Q157</f>
        <v>6.0338953603312691</v>
      </c>
      <c r="Y21" s="29"/>
      <c r="Z21" s="16">
        <f>'3i New FIT methodology'!S157</f>
        <v>5.6258217510753665</v>
      </c>
      <c r="AA21" s="16" t="str">
        <f>'3i New FIT methodology'!T157</f>
        <v>-</v>
      </c>
      <c r="AB21" s="16" t="str">
        <f>'3i New FIT methodology'!U157</f>
        <v>-</v>
      </c>
    </row>
    <row r="22" spans="1:28">
      <c r="A22" s="15"/>
      <c r="B22" s="282"/>
      <c r="C22" s="276" t="s">
        <v>162</v>
      </c>
      <c r="D22" s="276"/>
      <c r="E22" s="233" t="s">
        <v>160</v>
      </c>
      <c r="F22" s="278"/>
      <c r="G22" s="29"/>
      <c r="H22" s="16">
        <f>'3e ECO'!H22</f>
        <v>3.800644849537282</v>
      </c>
      <c r="I22" s="16">
        <f>'3e ECO'!I22</f>
        <v>3.800644849537282</v>
      </c>
      <c r="J22" s="16">
        <f>'3e ECO'!J22</f>
        <v>3.840542773328024</v>
      </c>
      <c r="K22" s="16">
        <f>'3e ECO'!K22</f>
        <v>3.8063877486640387</v>
      </c>
      <c r="L22" s="16">
        <f>'3e ECO'!L22</f>
        <v>3.0414069526975425</v>
      </c>
      <c r="M22" s="16">
        <f>'3e ECO'!M22</f>
        <v>3.0414069526975425</v>
      </c>
      <c r="N22" s="16">
        <f>'3e ECO'!N22</f>
        <v>3.3175524355353234</v>
      </c>
      <c r="O22" s="16">
        <f>'3e ECO'!O22</f>
        <v>3.3378759371842848</v>
      </c>
      <c r="P22" s="29"/>
      <c r="Q22" s="16">
        <f>'3e ECO'!Q22</f>
        <v>3.3378759371842848</v>
      </c>
      <c r="R22" s="16">
        <f>'3e ECO'!R22</f>
        <v>3.458686192546887</v>
      </c>
      <c r="S22" s="16">
        <f>'3e ECO'!S22</f>
        <v>3.7058915530784011</v>
      </c>
      <c r="T22" s="16">
        <f>'3e ECO'!T22</f>
        <v>4.5347994584924356</v>
      </c>
      <c r="U22" s="16">
        <f>'3e ECO'!U22</f>
        <v>4.5210234547962456</v>
      </c>
      <c r="V22" s="16">
        <f>'3e ECO'!V22</f>
        <v>4.4511581333846166</v>
      </c>
      <c r="W22" s="16">
        <f>'3e ECO'!W22</f>
        <v>4.3254615450700591</v>
      </c>
      <c r="X22" s="16">
        <f>'3e ECO'!X22</f>
        <v>5.3948055674536768</v>
      </c>
      <c r="Y22" s="29"/>
      <c r="Z22" s="16">
        <f>'3e ECO'!Z22</f>
        <v>5.2411778994660096</v>
      </c>
      <c r="AA22" s="16" t="str">
        <f>'3e ECO'!AA22</f>
        <v>-</v>
      </c>
      <c r="AB22" s="16" t="str">
        <f>'3e ECO'!AB22</f>
        <v>-</v>
      </c>
    </row>
    <row r="23" spans="1:28">
      <c r="A23" s="15"/>
      <c r="B23" s="282"/>
      <c r="C23" s="276" t="s">
        <v>163</v>
      </c>
      <c r="D23" s="276"/>
      <c r="E23" s="233" t="s">
        <v>164</v>
      </c>
      <c r="F23" s="278"/>
      <c r="G23" s="29"/>
      <c r="H23" s="16">
        <f>'3f WHD'!H19</f>
        <v>6.5567588596821027</v>
      </c>
      <c r="I23" s="16">
        <f>'3f WHD'!I19</f>
        <v>6.5567588596821027</v>
      </c>
      <c r="J23" s="16">
        <f>'3f WHD'!J19</f>
        <v>6.6197359495950758</v>
      </c>
      <c r="K23" s="16">
        <f>'3f WHD'!K19</f>
        <v>6.6197359495950758</v>
      </c>
      <c r="L23" s="16">
        <f>'3f WHD'!L19</f>
        <v>6.6995028867368616</v>
      </c>
      <c r="M23" s="16">
        <f>'3f WHD'!M19</f>
        <v>6.6995028867368616</v>
      </c>
      <c r="N23" s="16">
        <f>'3f WHD'!N19</f>
        <v>7.1131218301273513</v>
      </c>
      <c r="O23" s="16">
        <f>'3f WHD'!O19</f>
        <v>7.1131218301273513</v>
      </c>
      <c r="P23" s="29"/>
      <c r="Q23" s="16">
        <f>'3f WHD'!Q19</f>
        <v>7.1131218301273513</v>
      </c>
      <c r="R23" s="16">
        <f>'3f WHD'!R19</f>
        <v>7.2804579515147188</v>
      </c>
      <c r="S23" s="16">
        <f>'3f WHD'!S19</f>
        <v>7.1935840895118579</v>
      </c>
      <c r="T23" s="16">
        <f>'3f WHD'!T19</f>
        <v>7.3593999937099728</v>
      </c>
      <c r="U23" s="16">
        <f>'3f WHD'!U19</f>
        <v>7.0492243060839304</v>
      </c>
      <c r="V23" s="16">
        <f>'3f WHD'!V19</f>
        <v>7.1089669218364691</v>
      </c>
      <c r="W23" s="16">
        <f>'3f WHD'!W19</f>
        <v>6.9829560851947949</v>
      </c>
      <c r="X23" s="16">
        <f>'3f WHD'!X19</f>
        <v>9.6262235975887975</v>
      </c>
      <c r="Y23" s="29"/>
      <c r="Z23" s="16">
        <f>'3f WHD'!Z19</f>
        <v>9.9504863797742438</v>
      </c>
      <c r="AA23" s="16" t="str">
        <f>'3f WHD'!AA19</f>
        <v/>
      </c>
      <c r="AB23" s="16" t="str">
        <f>'3f WHD'!AB19</f>
        <v/>
      </c>
    </row>
    <row r="24" spans="1:28">
      <c r="A24" s="15"/>
      <c r="B24" s="282"/>
      <c r="C24" s="276" t="s">
        <v>169</v>
      </c>
      <c r="D24" s="276"/>
      <c r="E24" s="233" t="s">
        <v>174</v>
      </c>
      <c r="F24" s="278"/>
      <c r="G24" s="29"/>
      <c r="H24" s="16">
        <f>'3g AAHEDC'!H18</f>
        <v>0.22001830000000003</v>
      </c>
      <c r="I24" s="16">
        <f>'3g AAHEDC'!I18</f>
        <v>0.21649000000000002</v>
      </c>
      <c r="J24" s="16">
        <f>'3g AAHEDC'!J18</f>
        <v>0.22168576000000001</v>
      </c>
      <c r="K24" s="16">
        <f>'3g AAHEDC'!K18</f>
        <v>0.23129</v>
      </c>
      <c r="L24" s="16">
        <f>'3g AAHEDC'!L18</f>
        <v>0.23545322000000002</v>
      </c>
      <c r="M24" s="16">
        <f>'3g AAHEDC'!M18</f>
        <v>0.23116</v>
      </c>
      <c r="N24" s="16">
        <f>'3g AAHEDC'!N18</f>
        <v>0.23999288745076519</v>
      </c>
      <c r="O24" s="16">
        <f>'3g AAHEDC'!O18</f>
        <v>0.24526999999999999</v>
      </c>
      <c r="P24" s="29"/>
      <c r="Q24" s="16">
        <f>'3g AAHEDC'!Q18</f>
        <v>0.24526999999999999</v>
      </c>
      <c r="R24" s="16">
        <f>'3g AAHEDC'!R18</f>
        <v>0.25358627637030584</v>
      </c>
      <c r="S24" s="16">
        <f>'3g AAHEDC'!S18</f>
        <v>0.26270000000000004</v>
      </c>
      <c r="T24" s="16">
        <f>'3g AAHEDC'!T18</f>
        <v>0.27043985561217054</v>
      </c>
      <c r="U24" s="16">
        <f>'3g AAHEDC'!U18</f>
        <v>0.30446000000000001</v>
      </c>
      <c r="V24" s="16">
        <f>'3g AAHEDC'!V18</f>
        <v>0.43404372473011354</v>
      </c>
      <c r="W24" s="16">
        <f>'3g AAHEDC'!W18</f>
        <v>0.40426999999999996</v>
      </c>
      <c r="X24" s="16">
        <f>'3g AAHEDC'!X18</f>
        <v>0.42281486333143048</v>
      </c>
      <c r="Y24" s="29"/>
      <c r="Z24" s="16">
        <f>'3g AAHEDC'!Z18</f>
        <v>0.40669999999999995</v>
      </c>
      <c r="AA24" s="16" t="str">
        <f>'3g AAHEDC'!AA18</f>
        <v>-</v>
      </c>
      <c r="AB24" s="16" t="str">
        <f>'3g AAHEDC'!AB18</f>
        <v>-</v>
      </c>
    </row>
    <row r="25" spans="1:28">
      <c r="A25" s="15"/>
      <c r="B25" s="277" t="s">
        <v>154</v>
      </c>
      <c r="C25" s="276" t="s">
        <v>162</v>
      </c>
      <c r="D25" s="276"/>
      <c r="E25" s="233" t="s">
        <v>160</v>
      </c>
      <c r="F25" s="278"/>
      <c r="G25" s="29"/>
      <c r="H25" s="16">
        <f>'3e ECO'!H21</f>
        <v>1.2807925205600019</v>
      </c>
      <c r="I25" s="16">
        <f>'3e ECO'!I21</f>
        <v>1.2807925205600019</v>
      </c>
      <c r="J25" s="16">
        <f>'3e ECO'!J21</f>
        <v>1.335659353563418</v>
      </c>
      <c r="K25" s="16">
        <f>'3e ECO'!K21</f>
        <v>1.3237809601028736</v>
      </c>
      <c r="L25" s="16">
        <f>'3e ECO'!L21</f>
        <v>1.0338995283355803</v>
      </c>
      <c r="M25" s="16">
        <f>'3e ECO'!M21</f>
        <v>1.0338995283355803</v>
      </c>
      <c r="N25" s="16">
        <f>'3e ECO'!N21</f>
        <v>1.1449392746201887</v>
      </c>
      <c r="O25" s="16">
        <f>'3e ECO'!O21</f>
        <v>1.1446873714788544</v>
      </c>
      <c r="P25" s="29"/>
      <c r="Q25" s="16">
        <f>'3e ECO'!Q21</f>
        <v>1.1446873714788544</v>
      </c>
      <c r="R25" s="16">
        <f>'3e ECO'!R21</f>
        <v>1.1852279541409441</v>
      </c>
      <c r="S25" s="16">
        <f>'3e ECO'!S21</f>
        <v>1.2188247882877752</v>
      </c>
      <c r="T25" s="16">
        <f>'3e ECO'!T21</f>
        <v>1.4914429930722879</v>
      </c>
      <c r="U25" s="16">
        <f>'3e ECO'!U21</f>
        <v>1.4265065757514408</v>
      </c>
      <c r="V25" s="16">
        <f>'3e ECO'!V21</f>
        <v>1.4044621556312693</v>
      </c>
      <c r="W25" s="16">
        <f>'3e ECO'!W21</f>
        <v>1.406307692740828</v>
      </c>
      <c r="X25" s="16">
        <f>'3e ECO'!X21</f>
        <v>1.7539761922050034</v>
      </c>
      <c r="Y25" s="29"/>
      <c r="Z25" s="16">
        <f>'3e ECO'!Z21</f>
        <v>1.7360420655827042</v>
      </c>
      <c r="AA25" s="16" t="str">
        <f>'3e ECO'!AA21</f>
        <v>-</v>
      </c>
      <c r="AB25" s="16" t="str">
        <f>'3e ECO'!AB21</f>
        <v>-</v>
      </c>
    </row>
    <row r="26" spans="1:28">
      <c r="A26" s="15"/>
      <c r="B26" s="278"/>
      <c r="C26" s="319" t="s">
        <v>163</v>
      </c>
      <c r="D26" s="321"/>
      <c r="E26" s="233" t="s">
        <v>164</v>
      </c>
      <c r="F26" s="278"/>
      <c r="G26" s="29"/>
      <c r="H26" s="16">
        <f>'3f WHD'!H19</f>
        <v>6.5567588596821027</v>
      </c>
      <c r="I26" s="16">
        <f>'3f WHD'!I19</f>
        <v>6.5567588596821027</v>
      </c>
      <c r="J26" s="16">
        <f>'3f WHD'!J19</f>
        <v>6.6197359495950758</v>
      </c>
      <c r="K26" s="16">
        <f>'3f WHD'!K19</f>
        <v>6.6197359495950758</v>
      </c>
      <c r="L26" s="16">
        <f>'3f WHD'!L19</f>
        <v>6.6995028867368616</v>
      </c>
      <c r="M26" s="16">
        <f>'3f WHD'!M19</f>
        <v>6.6995028867368616</v>
      </c>
      <c r="N26" s="16">
        <f>'3f WHD'!N19</f>
        <v>7.1131218301273513</v>
      </c>
      <c r="O26" s="16">
        <f>'3f WHD'!O19</f>
        <v>7.1131218301273513</v>
      </c>
      <c r="P26" s="29"/>
      <c r="Q26" s="16">
        <f>'3f WHD'!Q19</f>
        <v>7.1131218301273513</v>
      </c>
      <c r="R26" s="16">
        <f>'3f WHD'!R19</f>
        <v>7.2804579515147188</v>
      </c>
      <c r="S26" s="16">
        <f>'3f WHD'!S19</f>
        <v>7.1935840895118579</v>
      </c>
      <c r="T26" s="16">
        <f>'3f WHD'!T19</f>
        <v>7.3593999937099728</v>
      </c>
      <c r="U26" s="16">
        <f>'3f WHD'!U19</f>
        <v>7.0492243060839304</v>
      </c>
      <c r="V26" s="16">
        <f>'3f WHD'!V19</f>
        <v>7.1089669218364691</v>
      </c>
      <c r="W26" s="16">
        <f>'3f WHD'!W19</f>
        <v>6.9829560851947949</v>
      </c>
      <c r="X26" s="16">
        <f>'3f WHD'!X19</f>
        <v>9.6262235975887975</v>
      </c>
      <c r="Y26" s="29"/>
      <c r="Z26" s="16">
        <f>'3f WHD'!Z19</f>
        <v>9.9504863797742438</v>
      </c>
      <c r="AA26" s="16" t="str">
        <f>'3f WHD'!AA19</f>
        <v/>
      </c>
      <c r="AB26" s="16" t="str">
        <f>'3f WHD'!AB19</f>
        <v/>
      </c>
    </row>
    <row r="27" spans="1:28">
      <c r="A27" s="15"/>
      <c r="B27" s="279"/>
      <c r="C27" s="319" t="s">
        <v>166</v>
      </c>
      <c r="D27" s="320"/>
      <c r="E27" s="233" t="s">
        <v>164</v>
      </c>
      <c r="F27" s="279"/>
      <c r="G27" s="29"/>
      <c r="H27" s="16">
        <f>'3j GGL'!H16</f>
        <v>0</v>
      </c>
      <c r="I27" s="16">
        <f>'3j GGL'!I16</f>
        <v>0</v>
      </c>
      <c r="J27" s="16">
        <f>'3j GGL'!J16</f>
        <v>0</v>
      </c>
      <c r="K27" s="16">
        <f>'3j GGL'!K16</f>
        <v>0</v>
      </c>
      <c r="L27" s="16">
        <f>'3j GGL'!L16</f>
        <v>0</v>
      </c>
      <c r="M27" s="16">
        <f>'3j GGL'!M16</f>
        <v>0</v>
      </c>
      <c r="N27" s="16">
        <f>'3j GGL'!N16</f>
        <v>0</v>
      </c>
      <c r="O27" s="16">
        <f>'3j GGL'!O16</f>
        <v>0</v>
      </c>
      <c r="P27" s="29"/>
      <c r="Q27" s="16">
        <f>'3j GGL'!Q16</f>
        <v>0</v>
      </c>
      <c r="R27" s="16">
        <f>'3j GGL'!R16</f>
        <v>0</v>
      </c>
      <c r="S27" s="16">
        <f>'3j GGL'!S16</f>
        <v>0</v>
      </c>
      <c r="T27" s="16">
        <f>'3j GGL'!T16</f>
        <v>0</v>
      </c>
      <c r="U27" s="16">
        <f>'3j GGL'!U16</f>
        <v>0</v>
      </c>
      <c r="V27" s="16">
        <f>'3j GGL'!V16</f>
        <v>0</v>
      </c>
      <c r="W27" s="16">
        <f>'3j GGL'!W16</f>
        <v>0</v>
      </c>
      <c r="X27" s="16">
        <f>'3j GGL'!X16</f>
        <v>2.6928799999999997</v>
      </c>
      <c r="Y27" s="29"/>
      <c r="Z27" s="16">
        <f>'3j GGL'!Z16</f>
        <v>2.6928799999999997</v>
      </c>
      <c r="AA27" s="16" t="str">
        <f>'3j GGL'!AA16</f>
        <v>-</v>
      </c>
      <c r="AB27" s="16" t="str">
        <f>'3j GGL'!AB16</f>
        <v>-</v>
      </c>
    </row>
    <row r="28" spans="1:28" s="15" customFormat="1"/>
    <row r="29" spans="1:28" s="15" customFormat="1"/>
    <row r="30" spans="1:28" s="88" customFormat="1">
      <c r="B30" s="89" t="s">
        <v>175</v>
      </c>
      <c r="C30" s="89"/>
    </row>
    <row r="31" spans="1:28" s="104" customFormat="1">
      <c r="B31" s="103"/>
      <c r="C31" s="103"/>
    </row>
    <row r="32" spans="1:28" s="90" customFormat="1">
      <c r="A32" s="104"/>
      <c r="B32" s="294" t="s">
        <v>77</v>
      </c>
      <c r="C32" s="305" t="s">
        <v>156</v>
      </c>
      <c r="D32" s="305" t="s">
        <v>79</v>
      </c>
      <c r="E32" s="306" t="s">
        <v>176</v>
      </c>
      <c r="F32" s="317"/>
      <c r="G32" s="87"/>
      <c r="H32" s="302" t="s">
        <v>80</v>
      </c>
      <c r="I32" s="303"/>
      <c r="J32" s="303"/>
      <c r="K32" s="303"/>
      <c r="L32" s="303"/>
      <c r="M32" s="303"/>
      <c r="N32" s="303"/>
      <c r="O32" s="304"/>
      <c r="P32" s="139"/>
      <c r="Q32" s="248" t="s">
        <v>81</v>
      </c>
      <c r="R32" s="249"/>
      <c r="S32" s="249"/>
      <c r="T32" s="249"/>
      <c r="U32" s="249"/>
      <c r="V32" s="249"/>
      <c r="W32" s="249"/>
      <c r="X32" s="249"/>
      <c r="Y32" s="87"/>
      <c r="Z32" s="249"/>
      <c r="AA32" s="249"/>
      <c r="AB32" s="250"/>
    </row>
    <row r="33" spans="1:28" s="90" customFormat="1" ht="12.75" customHeight="1">
      <c r="A33" s="104"/>
      <c r="B33" s="294"/>
      <c r="C33" s="305"/>
      <c r="D33" s="305"/>
      <c r="E33" s="306"/>
      <c r="F33" s="317"/>
      <c r="G33" s="87"/>
      <c r="H33" s="288" t="s">
        <v>82</v>
      </c>
      <c r="I33" s="289"/>
      <c r="J33" s="289"/>
      <c r="K33" s="289"/>
      <c r="L33" s="289"/>
      <c r="M33" s="289"/>
      <c r="N33" s="289"/>
      <c r="O33" s="290"/>
      <c r="P33" s="139"/>
      <c r="Q33" s="251" t="s">
        <v>83</v>
      </c>
      <c r="R33" s="252"/>
      <c r="S33" s="252"/>
      <c r="T33" s="252"/>
      <c r="U33" s="252"/>
      <c r="V33" s="252"/>
      <c r="W33" s="252"/>
      <c r="X33" s="252"/>
      <c r="Y33" s="87"/>
      <c r="Z33" s="252"/>
      <c r="AA33" s="252"/>
      <c r="AB33" s="253"/>
    </row>
    <row r="34" spans="1:28" s="90" customFormat="1" ht="21" customHeight="1">
      <c r="A34" s="104"/>
      <c r="B34" s="294"/>
      <c r="C34" s="305"/>
      <c r="D34" s="305"/>
      <c r="E34" s="306"/>
      <c r="F34" s="105" t="s">
        <v>84</v>
      </c>
      <c r="G34" s="87"/>
      <c r="H34" s="34" t="s">
        <v>85</v>
      </c>
      <c r="I34" s="34" t="s">
        <v>86</v>
      </c>
      <c r="J34" s="34" t="s">
        <v>87</v>
      </c>
      <c r="K34" s="34" t="s">
        <v>88</v>
      </c>
      <c r="L34" s="34" t="s">
        <v>89</v>
      </c>
      <c r="M34" s="35" t="s">
        <v>90</v>
      </c>
      <c r="N34" s="34" t="s">
        <v>91</v>
      </c>
      <c r="O34" s="34" t="s">
        <v>92</v>
      </c>
      <c r="P34" s="87"/>
      <c r="Q34" s="30" t="s">
        <v>93</v>
      </c>
      <c r="R34" s="30" t="s">
        <v>94</v>
      </c>
      <c r="S34" s="30" t="s">
        <v>95</v>
      </c>
      <c r="T34" s="36" t="s">
        <v>96</v>
      </c>
      <c r="U34" s="30" t="s">
        <v>97</v>
      </c>
      <c r="V34" s="30" t="s">
        <v>98</v>
      </c>
      <c r="W34" s="30" t="s">
        <v>99</v>
      </c>
      <c r="X34" s="30" t="s">
        <v>100</v>
      </c>
      <c r="Y34" s="87"/>
      <c r="Z34" s="30" t="s">
        <v>101</v>
      </c>
      <c r="AA34" s="30" t="s">
        <v>102</v>
      </c>
      <c r="AB34" s="30" t="s">
        <v>103</v>
      </c>
    </row>
    <row r="35" spans="1:28" s="90" customFormat="1" ht="21" customHeight="1">
      <c r="A35" s="104"/>
      <c r="B35" s="294"/>
      <c r="C35" s="305"/>
      <c r="D35" s="305"/>
      <c r="E35" s="306"/>
      <c r="F35" s="100" t="s">
        <v>84</v>
      </c>
      <c r="G35" s="87"/>
      <c r="H35" s="34" t="s">
        <v>85</v>
      </c>
      <c r="I35" s="34" t="s">
        <v>86</v>
      </c>
      <c r="J35" s="34" t="s">
        <v>87</v>
      </c>
      <c r="K35" s="34" t="s">
        <v>88</v>
      </c>
      <c r="L35" s="34" t="s">
        <v>89</v>
      </c>
      <c r="M35" s="35" t="s">
        <v>90</v>
      </c>
      <c r="N35" s="34" t="s">
        <v>91</v>
      </c>
      <c r="O35" s="34" t="s">
        <v>92</v>
      </c>
      <c r="P35" s="87"/>
      <c r="Q35" s="30" t="s">
        <v>93</v>
      </c>
      <c r="R35" s="30" t="s">
        <v>94</v>
      </c>
      <c r="S35" s="30" t="s">
        <v>95</v>
      </c>
      <c r="T35" s="36" t="s">
        <v>96</v>
      </c>
      <c r="U35" s="30" t="s">
        <v>97</v>
      </c>
      <c r="V35" s="30" t="s">
        <v>98</v>
      </c>
      <c r="W35" s="30" t="s">
        <v>99</v>
      </c>
      <c r="X35" s="30" t="s">
        <v>100</v>
      </c>
      <c r="Y35" s="87"/>
      <c r="Z35" s="30" t="s">
        <v>104</v>
      </c>
      <c r="AA35" s="30" t="s">
        <v>105</v>
      </c>
      <c r="AB35" s="30" t="s">
        <v>103</v>
      </c>
    </row>
    <row r="36" spans="1:28">
      <c r="A36" s="15"/>
      <c r="B36" s="294"/>
      <c r="C36" s="305"/>
      <c r="D36" s="305"/>
      <c r="E36" s="306"/>
      <c r="F36" s="105" t="s">
        <v>106</v>
      </c>
      <c r="G36" s="87"/>
      <c r="H36" s="32" t="s">
        <v>107</v>
      </c>
      <c r="I36" s="32" t="s">
        <v>108</v>
      </c>
      <c r="J36" s="32" t="s">
        <v>109</v>
      </c>
      <c r="K36" s="32" t="s">
        <v>110</v>
      </c>
      <c r="L36" s="32" t="s">
        <v>111</v>
      </c>
      <c r="M36" s="33" t="s">
        <v>112</v>
      </c>
      <c r="N36" s="32" t="s">
        <v>113</v>
      </c>
      <c r="O36" s="32" t="s">
        <v>114</v>
      </c>
      <c r="P36" s="87"/>
      <c r="Q36" s="32" t="s">
        <v>115</v>
      </c>
      <c r="R36" s="32" t="s">
        <v>116</v>
      </c>
      <c r="S36" s="32" t="s">
        <v>117</v>
      </c>
      <c r="T36" s="37" t="s">
        <v>118</v>
      </c>
      <c r="U36" s="32" t="s">
        <v>119</v>
      </c>
      <c r="V36" s="32" t="s">
        <v>120</v>
      </c>
      <c r="W36" s="32" t="s">
        <v>121</v>
      </c>
      <c r="X36" s="32" t="s">
        <v>122</v>
      </c>
      <c r="Y36" s="87"/>
      <c r="Z36" s="32" t="s">
        <v>123</v>
      </c>
      <c r="AA36" s="32" t="s">
        <v>124</v>
      </c>
      <c r="AB36" s="32" t="s">
        <v>125</v>
      </c>
    </row>
    <row r="37" spans="1:28">
      <c r="A37" s="15"/>
      <c r="B37" s="294"/>
      <c r="C37" s="305"/>
      <c r="D37" s="305"/>
      <c r="E37" s="306"/>
      <c r="F37" s="106" t="s">
        <v>168</v>
      </c>
      <c r="G37" s="87"/>
      <c r="H37" s="30" t="s">
        <v>127</v>
      </c>
      <c r="I37" s="30" t="s">
        <v>127</v>
      </c>
      <c r="J37" s="30" t="s">
        <v>128</v>
      </c>
      <c r="K37" s="30" t="s">
        <v>128</v>
      </c>
      <c r="L37" s="30" t="s">
        <v>129</v>
      </c>
      <c r="M37" s="31" t="s">
        <v>129</v>
      </c>
      <c r="N37" s="30" t="s">
        <v>130</v>
      </c>
      <c r="O37" s="30" t="s">
        <v>130</v>
      </c>
      <c r="P37" s="87"/>
      <c r="Q37" s="30" t="s">
        <v>131</v>
      </c>
      <c r="R37" s="30" t="s">
        <v>132</v>
      </c>
      <c r="S37" s="30" t="s">
        <v>132</v>
      </c>
      <c r="T37" s="36" t="s">
        <v>133</v>
      </c>
      <c r="U37" s="30" t="s">
        <v>133</v>
      </c>
      <c r="V37" s="30" t="s">
        <v>134</v>
      </c>
      <c r="W37" s="30" t="s">
        <v>134</v>
      </c>
      <c r="X37" s="30" t="s">
        <v>135</v>
      </c>
      <c r="Y37" s="87"/>
      <c r="Z37" s="30" t="s">
        <v>135</v>
      </c>
      <c r="AA37" s="30" t="s">
        <v>136</v>
      </c>
      <c r="AB37" s="30" t="s">
        <v>136</v>
      </c>
    </row>
    <row r="38" spans="1:28" ht="12.75" customHeight="1">
      <c r="A38" s="15"/>
      <c r="B38" s="310" t="s">
        <v>137</v>
      </c>
      <c r="C38" s="307" t="s">
        <v>169</v>
      </c>
      <c r="D38" s="307" t="s">
        <v>160</v>
      </c>
      <c r="E38" s="111" t="s">
        <v>138</v>
      </c>
      <c r="F38" s="318"/>
      <c r="G38" s="29"/>
      <c r="H38" s="16">
        <f>IF(H$19="-","-",H$19*'3h Losses'!G15)</f>
        <v>0.24091693169378359</v>
      </c>
      <c r="I38" s="16">
        <f>IF(I$19="-","-",I$19*'3h Losses'!H15)</f>
        <v>0.2370534930157501</v>
      </c>
      <c r="J38" s="16">
        <f>IF(J$19="-","-",J$19*'3h Losses'!I15)</f>
        <v>0.24274277684812809</v>
      </c>
      <c r="K38" s="16">
        <f>IF(K$19="-","-",K$19*'3h Losses'!J15)</f>
        <v>0.25325928402980663</v>
      </c>
      <c r="L38" s="16">
        <f>IF(L$19="-","-",L$19*'3h Losses'!K15)</f>
        <v>0.25781795114234318</v>
      </c>
      <c r="M38" s="16">
        <f>IF(M$19="-","-",M$19*'3h Losses'!L15)</f>
        <v>0.25311693586549394</v>
      </c>
      <c r="N38" s="16">
        <f>IF(N$19="-","-",N$19*'3h Losses'!M15)</f>
        <v>0.26001755656755593</v>
      </c>
      <c r="O38" s="16">
        <f>IF(O$19="-","-",O$19*'3h Losses'!N15)</f>
        <v>0.26573498396867218</v>
      </c>
      <c r="P38" s="29"/>
      <c r="Q38" s="16">
        <f>IF(Q$19="-","-",Q$19*'3h Losses'!P15)</f>
        <v>0.26573498396867218</v>
      </c>
      <c r="R38" s="16">
        <f>IF(R$19="-","-",R$19*'3h Losses'!Q15)</f>
        <v>0.27616269311857883</v>
      </c>
      <c r="S38" s="16">
        <f>IF(S$19="-","-",S$19*'3h Losses'!R15)</f>
        <v>0.28609047959608547</v>
      </c>
      <c r="T38" s="16">
        <f>IF(T$19="-","-",T$19*'3h Losses'!S15)</f>
        <v>0.29408936745569797</v>
      </c>
      <c r="U38" s="16">
        <f>IF(U$19="-","-",U$19*'3h Losses'!T15)</f>
        <v>0.33110114243433081</v>
      </c>
      <c r="V38" s="16">
        <f>IF(V$19="-","-",V$19*'3h Losses'!U15)</f>
        <v>0.47131063159430681</v>
      </c>
      <c r="W38" s="16">
        <f>IF(W$19="-","-",W$19*'3h Losses'!V15)</f>
        <v>0.43897614197678042</v>
      </c>
      <c r="X38" s="16">
        <f>IF(X$19="-","-",X$19*'3h Losses'!W15)</f>
        <v>0.46078851743275506</v>
      </c>
      <c r="Y38" s="29"/>
      <c r="Z38" s="16">
        <f>IF(Z$19="-","-",Z$19*'3h Losses'!Y15)</f>
        <v>0.44322138181719989</v>
      </c>
      <c r="AA38" s="16" t="str">
        <f>IF(AA$19="-","-",AA$19*'3h Losses'!Z15)</f>
        <v>-</v>
      </c>
      <c r="AB38" s="16" t="str">
        <f>IF(AB$19="-","-",AB$19*'3h Losses'!AA15)</f>
        <v>-</v>
      </c>
    </row>
    <row r="39" spans="1:28">
      <c r="A39" s="15"/>
      <c r="B39" s="310"/>
      <c r="C39" s="308"/>
      <c r="D39" s="308"/>
      <c r="E39" s="111" t="s">
        <v>140</v>
      </c>
      <c r="F39" s="318"/>
      <c r="G39" s="29"/>
      <c r="H39" s="16">
        <f>IF(H$19="-","-",H$19*'3h Losses'!G16)</f>
        <v>0.23559640476997723</v>
      </c>
      <c r="I39" s="16">
        <f>IF(I$19="-","-",I$19*'3h Losses'!H16)</f>
        <v>0.23181828815445066</v>
      </c>
      <c r="J39" s="16">
        <f>IF(J$19="-","-",J$19*'3h Losses'!I16)</f>
        <v>0.23738192707015746</v>
      </c>
      <c r="K39" s="16">
        <f>IF(K$19="-","-",K$19*'3h Losses'!J16)</f>
        <v>0.2476661825823035</v>
      </c>
      <c r="L39" s="16">
        <f>IF(L$19="-","-",L$19*'3h Losses'!K16)</f>
        <v>0.252124173868785</v>
      </c>
      <c r="M39" s="16">
        <f>IF(M$19="-","-",M$19*'3h Losses'!L16)</f>
        <v>0.24752697810422103</v>
      </c>
      <c r="N39" s="16">
        <f>IF(N$19="-","-",N$19*'3h Losses'!M16)</f>
        <v>0.25698526646995301</v>
      </c>
      <c r="O39" s="16">
        <f>IF(O$19="-","-",O$19*'3h Losses'!N16)</f>
        <v>0.2626360179945591</v>
      </c>
      <c r="P39" s="29"/>
      <c r="Q39" s="16">
        <f>IF(Q$19="-","-",Q$19*'3h Losses'!P16)</f>
        <v>0.2626360179945591</v>
      </c>
      <c r="R39" s="16">
        <f>IF(R$19="-","-",R$19*'3h Losses'!Q16)</f>
        <v>0.27082464707895187</v>
      </c>
      <c r="S39" s="16">
        <f>IF(S$19="-","-",S$19*'3h Losses'!R16)</f>
        <v>0.28055905969335859</v>
      </c>
      <c r="T39" s="16">
        <f>IF(T$19="-","-",T$19*'3h Losses'!S16)</f>
        <v>0.28882509171738951</v>
      </c>
      <c r="U39" s="16">
        <f>IF(U$19="-","-",U$19*'3h Losses'!T16)</f>
        <v>0.32516121732409747</v>
      </c>
      <c r="V39" s="16">
        <f>IF(V$19="-","-",V$19*'3h Losses'!U16)</f>
        <v>0.46302205652787365</v>
      </c>
      <c r="W39" s="16">
        <f>IF(W$19="-","-",W$19*'3h Losses'!V16)</f>
        <v>0.43125217520472675</v>
      </c>
      <c r="X39" s="16">
        <f>IF(X$19="-","-",X$19*'3h Losses'!W16)</f>
        <v>0.45103477755106403</v>
      </c>
      <c r="Y39" s="29"/>
      <c r="Z39" s="16">
        <f>IF(Z$19="-","-",Z$19*'3h Losses'!Y16)</f>
        <v>0.43384752636469992</v>
      </c>
      <c r="AA39" s="16" t="str">
        <f>IF(AA$19="-","-",AA$19*'3h Losses'!Z16)</f>
        <v>-</v>
      </c>
      <c r="AB39" s="16" t="str">
        <f>IF(AB$19="-","-",AB$19*'3h Losses'!AA16)</f>
        <v>-</v>
      </c>
    </row>
    <row r="40" spans="1:28">
      <c r="A40" s="15"/>
      <c r="B40" s="310"/>
      <c r="C40" s="308"/>
      <c r="D40" s="308"/>
      <c r="E40" s="111" t="s">
        <v>141</v>
      </c>
      <c r="F40" s="318"/>
      <c r="G40" s="29"/>
      <c r="H40" s="16">
        <f>IF(H$19="-","-",H$19*'3h Losses'!G17)</f>
        <v>0.2380046393276854</v>
      </c>
      <c r="I40" s="16">
        <f>IF(I$19="-","-",I$19*'3h Losses'!H17)</f>
        <v>0.23418790331554515</v>
      </c>
      <c r="J40" s="16">
        <f>IF(J$19="-","-",J$19*'3h Losses'!I17)</f>
        <v>0.23980841299511824</v>
      </c>
      <c r="K40" s="16">
        <f>IF(K$19="-","-",K$19*'3h Losses'!J17)</f>
        <v>0.25019779277496623</v>
      </c>
      <c r="L40" s="16">
        <f>IF(L$19="-","-",L$19*'3h Losses'!K17)</f>
        <v>0.25470135304491565</v>
      </c>
      <c r="M40" s="16">
        <f>IF(M$19="-","-",M$19*'3h Losses'!L17)</f>
        <v>0.2500571653675524</v>
      </c>
      <c r="N40" s="16">
        <f>IF(N$19="-","-",N$19*'3h Losses'!M17)</f>
        <v>0.25998397643126192</v>
      </c>
      <c r="O40" s="16">
        <f>IF(O$19="-","-",O$19*'3h Losses'!N17)</f>
        <v>0.26570066545150151</v>
      </c>
      <c r="P40" s="29"/>
      <c r="Q40" s="16">
        <f>IF(Q$19="-","-",Q$19*'3h Losses'!P17)</f>
        <v>0.26570066545150151</v>
      </c>
      <c r="R40" s="16">
        <f>IF(R$19="-","-",R$19*'3h Losses'!Q17)</f>
        <v>0.27455658347989148</v>
      </c>
      <c r="S40" s="16">
        <f>IF(S$19="-","-",S$19*'3h Losses'!R17)</f>
        <v>0.284427158324419</v>
      </c>
      <c r="T40" s="16">
        <f>IF(T$19="-","-",T$19*'3h Losses'!S17)</f>
        <v>0.29233665714661644</v>
      </c>
      <c r="U40" s="16">
        <f>IF(U$19="-","-",U$19*'3h Losses'!T17)</f>
        <v>0.32912424274979279</v>
      </c>
      <c r="V40" s="16">
        <f>IF(V$19="-","-",V$19*'3h Losses'!U17)</f>
        <v>0.46915495874552093</v>
      </c>
      <c r="W40" s="16">
        <f>IF(W$19="-","-",W$19*'3h Losses'!V17)</f>
        <v>0.43697205580359161</v>
      </c>
      <c r="X40" s="16">
        <f>IF(X$19="-","-",X$19*'3h Losses'!W17)</f>
        <v>0.4606000961795319</v>
      </c>
      <c r="Y40" s="29"/>
      <c r="Z40" s="16">
        <f>IF(Z$19="-","-",Z$19*'3h Losses'!Y17)</f>
        <v>0.44304222070639998</v>
      </c>
      <c r="AA40" s="16" t="str">
        <f>IF(AA$19="-","-",AA$19*'3h Losses'!Z17)</f>
        <v>-</v>
      </c>
      <c r="AB40" s="16" t="str">
        <f>IF(AB$19="-","-",AB$19*'3h Losses'!AA17)</f>
        <v>-</v>
      </c>
    </row>
    <row r="41" spans="1:28">
      <c r="A41" s="15"/>
      <c r="B41" s="310"/>
      <c r="C41" s="308"/>
      <c r="D41" s="308"/>
      <c r="E41" s="111" t="s">
        <v>142</v>
      </c>
      <c r="F41" s="318"/>
      <c r="G41" s="29"/>
      <c r="H41" s="16">
        <f>IF(H$19="-","-",H$19*'3h Losses'!G18)</f>
        <v>0.24090912848229701</v>
      </c>
      <c r="I41" s="16">
        <f>IF(I$19="-","-",I$19*'3h Losses'!H18)</f>
        <v>0.2370458149396322</v>
      </c>
      <c r="J41" s="16">
        <f>IF(J$19="-","-",J$19*'3h Losses'!I18)</f>
        <v>0.24273491449818335</v>
      </c>
      <c r="K41" s="16">
        <f>IF(K$19="-","-",K$19*'3h Losses'!J18)</f>
        <v>0.25325108105403266</v>
      </c>
      <c r="L41" s="16">
        <f>IF(L$19="-","-",L$19*'3h Losses'!K18)</f>
        <v>0.25780960051300522</v>
      </c>
      <c r="M41" s="16">
        <f>IF(M$19="-","-",M$19*'3h Losses'!L18)</f>
        <v>0.25310873750032509</v>
      </c>
      <c r="N41" s="16">
        <f>IF(N$19="-","-",N$19*'3h Losses'!M18)</f>
        <v>0.26464258210671682</v>
      </c>
      <c r="O41" s="16">
        <f>IF(O$19="-","-",O$19*'3h Losses'!N18)</f>
        <v>0.27046170743968639</v>
      </c>
      <c r="P41" s="29"/>
      <c r="Q41" s="16">
        <f>IF(Q$19="-","-",Q$19*'3h Losses'!P18)</f>
        <v>0.27046170743968639</v>
      </c>
      <c r="R41" s="16">
        <f>IF(R$19="-","-",R$19*'3h Losses'!Q18)</f>
        <v>0.28014644912789621</v>
      </c>
      <c r="S41" s="16">
        <f>IF(S$19="-","-",S$19*'3h Losses'!R18)</f>
        <v>0.29022310126059714</v>
      </c>
      <c r="T41" s="16">
        <f>IF(T$19="-","-",T$19*'3h Losses'!S18)</f>
        <v>0.30065436531804424</v>
      </c>
      <c r="U41" s="16">
        <f>IF(U$19="-","-",U$19*'3h Losses'!T18)</f>
        <v>0.3384950482805511</v>
      </c>
      <c r="V41" s="16">
        <f>IF(V$19="-","-",V$19*'3h Losses'!U18)</f>
        <v>0.48071444360212917</v>
      </c>
      <c r="W41" s="16">
        <f>IF(W$19="-","-",W$19*'3h Losses'!V18)</f>
        <v>0.44770845697157363</v>
      </c>
      <c r="X41" s="16">
        <f>IF(X$19="-","-",X$19*'3h Losses'!W18)</f>
        <v>0.47191645790955511</v>
      </c>
      <c r="Y41" s="29"/>
      <c r="Z41" s="16">
        <f>IF(Z$19="-","-",Z$19*'3h Losses'!Y18)</f>
        <v>0.45393868815959992</v>
      </c>
      <c r="AA41" s="16" t="str">
        <f>IF(AA$19="-","-",AA$19*'3h Losses'!Z18)</f>
        <v>-</v>
      </c>
      <c r="AB41" s="16" t="str">
        <f>IF(AB$19="-","-",AB$19*'3h Losses'!AA18)</f>
        <v>-</v>
      </c>
    </row>
    <row r="42" spans="1:28">
      <c r="A42" s="15"/>
      <c r="B42" s="310"/>
      <c r="C42" s="308"/>
      <c r="D42" s="308"/>
      <c r="E42" s="111" t="s">
        <v>143</v>
      </c>
      <c r="F42" s="318"/>
      <c r="G42" s="29"/>
      <c r="H42" s="16">
        <f>IF(H$19="-","-",H$19*'3h Losses'!G19)</f>
        <v>0.23609170583476491</v>
      </c>
      <c r="I42" s="16">
        <f>IF(I$19="-","-",I$19*'3h Losses'!H19)</f>
        <v>0.23230564637654347</v>
      </c>
      <c r="J42" s="16">
        <f>IF(J$19="-","-",J$19*'3h Losses'!I19)</f>
        <v>0.23788098188958048</v>
      </c>
      <c r="K42" s="16">
        <f>IF(K$19="-","-",K$19*'3h Losses'!J19)</f>
        <v>0.24818685828643694</v>
      </c>
      <c r="L42" s="16">
        <f>IF(L$19="-","-",L$19*'3h Losses'!K19)</f>
        <v>0.25265422173559282</v>
      </c>
      <c r="M42" s="16">
        <f>IF(M$19="-","-",M$19*'3h Losses'!L19)</f>
        <v>0.24804736115479598</v>
      </c>
      <c r="N42" s="16">
        <f>IF(N$19="-","-",N$19*'3h Losses'!M19)</f>
        <v>0.25696171913466087</v>
      </c>
      <c r="O42" s="16">
        <f>IF(O$19="-","-",O$19*'3h Losses'!N19)</f>
        <v>0.26261195288584505</v>
      </c>
      <c r="P42" s="29"/>
      <c r="Q42" s="16">
        <f>IF(Q$19="-","-",Q$19*'3h Losses'!P19)</f>
        <v>0.26261195288584505</v>
      </c>
      <c r="R42" s="16">
        <f>IF(R$19="-","-",R$19*'3h Losses'!Q19)</f>
        <v>0.27151623624028887</v>
      </c>
      <c r="S42" s="16">
        <f>IF(S$19="-","-",S$19*'3h Losses'!R19)</f>
        <v>0.28127601204757757</v>
      </c>
      <c r="T42" s="16">
        <f>IF(T$19="-","-",T$19*'3h Losses'!S19)</f>
        <v>0.29100997783509436</v>
      </c>
      <c r="U42" s="16">
        <f>IF(U$19="-","-",U$19*'3h Losses'!T19)</f>
        <v>0.32762281074128846</v>
      </c>
      <c r="V42" s="16">
        <f>IF(V$19="-","-",V$19*'3h Losses'!U19)</f>
        <v>0.46706504986105857</v>
      </c>
      <c r="W42" s="16">
        <f>IF(W$19="-","-",W$19*'3h Losses'!V19)</f>
        <v>0.43501029082288933</v>
      </c>
      <c r="X42" s="16">
        <f>IF(X$19="-","-",X$19*'3h Losses'!W19)</f>
        <v>0.45628384696114349</v>
      </c>
      <c r="Y42" s="29"/>
      <c r="Z42" s="16">
        <f>IF(Z$19="-","-",Z$19*'3h Losses'!Y19)</f>
        <v>0.43889936261569995</v>
      </c>
      <c r="AA42" s="16" t="str">
        <f>IF(AA$19="-","-",AA$19*'3h Losses'!Z19)</f>
        <v>-</v>
      </c>
      <c r="AB42" s="16" t="str">
        <f>IF(AB$19="-","-",AB$19*'3h Losses'!AA19)</f>
        <v>-</v>
      </c>
    </row>
    <row r="43" spans="1:28">
      <c r="A43" s="15"/>
      <c r="B43" s="310"/>
      <c r="C43" s="308"/>
      <c r="D43" s="308"/>
      <c r="E43" s="111" t="s">
        <v>144</v>
      </c>
      <c r="F43" s="318"/>
      <c r="G43" s="29"/>
      <c r="H43" s="16">
        <f>IF(H$19="-","-",H$19*'3h Losses'!G20)</f>
        <v>0.23799902246072904</v>
      </c>
      <c r="I43" s="16">
        <f>IF(I$19="-","-",I$19*'3h Losses'!H20)</f>
        <v>0.23418237652287663</v>
      </c>
      <c r="J43" s="16">
        <f>IF(J$19="-","-",J$19*'3h Losses'!I20)</f>
        <v>0.23980275355942568</v>
      </c>
      <c r="K43" s="16">
        <f>IF(K$19="-","-",K$19*'3h Losses'!J20)</f>
        <v>0.25019188815176746</v>
      </c>
      <c r="L43" s="16">
        <f>IF(L$19="-","-",L$19*'3h Losses'!K20)</f>
        <v>0.25469534213849926</v>
      </c>
      <c r="M43" s="16">
        <f>IF(M$19="-","-",M$19*'3h Losses'!L20)</f>
        <v>0.25005126406313527</v>
      </c>
      <c r="N43" s="16">
        <f>IF(N$19="-","-",N$19*'3h Losses'!M20)</f>
        <v>0.25842293069629363</v>
      </c>
      <c r="O43" s="16">
        <f>IF(O$19="-","-",O$19*'3h Losses'!N20)</f>
        <v>0.26410529447412523</v>
      </c>
      <c r="P43" s="29"/>
      <c r="Q43" s="16">
        <f>IF(Q$19="-","-",Q$19*'3h Losses'!P20)</f>
        <v>0.26410529447412523</v>
      </c>
      <c r="R43" s="16">
        <f>IF(R$19="-","-",R$19*'3h Losses'!Q20)</f>
        <v>0.27161444077958369</v>
      </c>
      <c r="S43" s="16">
        <f>IF(S$19="-","-",S$19*'3h Losses'!R20)</f>
        <v>0.28137775894820843</v>
      </c>
      <c r="T43" s="16">
        <f>IF(T$19="-","-",T$19*'3h Losses'!S20)</f>
        <v>0.28880695673113327</v>
      </c>
      <c r="U43" s="16">
        <f>IF(U$19="-","-",U$19*'3h Losses'!T20)</f>
        <v>0.32514195978801874</v>
      </c>
      <c r="V43" s="16">
        <f>IF(V$19="-","-",V$19*'3h Losses'!U20)</f>
        <v>0.46338053353388881</v>
      </c>
      <c r="W43" s="16">
        <f>IF(W$19="-","-",W$19*'3h Losses'!V20)</f>
        <v>0.43158320918297172</v>
      </c>
      <c r="X43" s="16">
        <f>IF(X$19="-","-",X$19*'3h Losses'!W20)</f>
        <v>0.45201058767432134</v>
      </c>
      <c r="Y43" s="29"/>
      <c r="Z43" s="16">
        <f>IF(Z$19="-","-",Z$19*'3h Losses'!Y20)</f>
        <v>0.43478798025809995</v>
      </c>
      <c r="AA43" s="16" t="str">
        <f>IF(AA$19="-","-",AA$19*'3h Losses'!Z20)</f>
        <v>-</v>
      </c>
      <c r="AB43" s="16" t="str">
        <f>IF(AB$19="-","-",AB$19*'3h Losses'!AA20)</f>
        <v>-</v>
      </c>
    </row>
    <row r="44" spans="1:28">
      <c r="A44" s="15"/>
      <c r="B44" s="310"/>
      <c r="C44" s="308"/>
      <c r="D44" s="308"/>
      <c r="E44" s="111" t="s">
        <v>145</v>
      </c>
      <c r="F44" s="318"/>
      <c r="G44" s="29"/>
      <c r="H44" s="16">
        <f>IF(H$19="-","-",H$19*'3h Losses'!G21)</f>
        <v>0.23910681513353765</v>
      </c>
      <c r="I44" s="16">
        <f>IF(I$19="-","-",I$19*'3h Losses'!H21)</f>
        <v>0.23527240419664891</v>
      </c>
      <c r="J44" s="16">
        <f>IF(J$19="-","-",J$19*'3h Losses'!I21)</f>
        <v>0.24091894189736848</v>
      </c>
      <c r="K44" s="16">
        <f>IF(K$19="-","-",K$19*'3h Losses'!J21)</f>
        <v>0.2513564338613466</v>
      </c>
      <c r="L44" s="16">
        <f>IF(L$19="-","-",L$19*'3h Losses'!K21)</f>
        <v>0.25588084967085084</v>
      </c>
      <c r="M44" s="16">
        <f>IF(M$19="-","-",M$19*'3h Losses'!L21)</f>
        <v>0.25121515522239996</v>
      </c>
      <c r="N44" s="16">
        <f>IF(N$19="-","-",N$19*'3h Losses'!M21)</f>
        <v>0.2619874380421231</v>
      </c>
      <c r="O44" s="16">
        <f>IF(O$19="-","-",O$19*'3h Losses'!N21)</f>
        <v>0.26774818041961373</v>
      </c>
      <c r="P44" s="29"/>
      <c r="Q44" s="16">
        <f>IF(Q$19="-","-",Q$19*'3h Losses'!P21)</f>
        <v>0.26774818041961373</v>
      </c>
      <c r="R44" s="16">
        <f>IF(R$19="-","-",R$19*'3h Losses'!Q21)</f>
        <v>0.27682661588263824</v>
      </c>
      <c r="S44" s="16">
        <f>IF(S$19="-","-",S$19*'3h Losses'!R21)</f>
        <v>0.28677810484627891</v>
      </c>
      <c r="T44" s="16">
        <f>IF(T$19="-","-",T$19*'3h Losses'!S21)</f>
        <v>0.294776889154862</v>
      </c>
      <c r="U44" s="16">
        <f>IF(U$19="-","-",U$19*'3h Losses'!T21)</f>
        <v>0.33186932808902408</v>
      </c>
      <c r="V44" s="16">
        <f>IF(V$19="-","-",V$19*'3h Losses'!U21)</f>
        <v>0.46952966356840348</v>
      </c>
      <c r="W44" s="16">
        <f>IF(W$19="-","-",W$19*'3h Losses'!V21)</f>
        <v>0.43730757061707909</v>
      </c>
      <c r="X44" s="16">
        <f>IF(X$19="-","-",X$19*'3h Losses'!W21)</f>
        <v>0.45736794890607807</v>
      </c>
      <c r="Y44" s="29"/>
      <c r="Z44" s="16">
        <f>IF(Z$19="-","-",Z$19*'3h Losses'!Y21)</f>
        <v>0.4399321487966999</v>
      </c>
      <c r="AA44" s="16" t="str">
        <f>IF(AA$19="-","-",AA$19*'3h Losses'!Z21)</f>
        <v>-</v>
      </c>
      <c r="AB44" s="16" t="str">
        <f>IF(AB$19="-","-",AB$19*'3h Losses'!AA21)</f>
        <v>-</v>
      </c>
    </row>
    <row r="45" spans="1:28">
      <c r="A45" s="15"/>
      <c r="B45" s="310"/>
      <c r="C45" s="308"/>
      <c r="D45" s="308"/>
      <c r="E45" s="111" t="s">
        <v>146</v>
      </c>
      <c r="F45" s="318"/>
      <c r="G45" s="29"/>
      <c r="H45" s="16">
        <f>IF(H$19="-","-",H$19*'3h Losses'!G22)</f>
        <v>0.23498638819709181</v>
      </c>
      <c r="I45" s="16">
        <f>IF(I$19="-","-",I$19*'3h Losses'!H22)</f>
        <v>0.23121805404726972</v>
      </c>
      <c r="J45" s="16">
        <f>IF(J$19="-","-",J$19*'3h Losses'!I22)</f>
        <v>0.23676728734440419</v>
      </c>
      <c r="K45" s="16">
        <f>IF(K$19="-","-",K$19*'3h Losses'!J22)</f>
        <v>0.24702491440987115</v>
      </c>
      <c r="L45" s="16">
        <f>IF(L$19="-","-",L$19*'3h Losses'!K22)</f>
        <v>0.25147136286924887</v>
      </c>
      <c r="M45" s="16">
        <f>IF(M$19="-","-",M$19*'3h Losses'!L22)</f>
        <v>0.24688607036614563</v>
      </c>
      <c r="N45" s="16">
        <f>IF(N$19="-","-",N$19*'3h Losses'!M22)</f>
        <v>0.25651794728245908</v>
      </c>
      <c r="O45" s="16">
        <f>IF(O$19="-","-",O$19*'3h Losses'!N22)</f>
        <v>0.26215842310275156</v>
      </c>
      <c r="P45" s="29"/>
      <c r="Q45" s="16">
        <f>IF(Q$19="-","-",Q$19*'3h Losses'!P22)</f>
        <v>0.26215842310275156</v>
      </c>
      <c r="R45" s="16">
        <f>IF(R$19="-","-",R$19*'3h Losses'!Q22)</f>
        <v>0.27104732879576765</v>
      </c>
      <c r="S45" s="16">
        <f>IF(S$19="-","-",S$19*'3h Losses'!R22)</f>
        <v>0.28204060865469743</v>
      </c>
      <c r="T45" s="16">
        <f>IF(T$19="-","-",T$19*'3h Losses'!S22)</f>
        <v>0.29035029113568733</v>
      </c>
      <c r="U45" s="16">
        <f>IF(U$19="-","-",U$19*'3h Losses'!T22)</f>
        <v>0.32802706263615455</v>
      </c>
      <c r="V45" s="16">
        <f>IF(V$19="-","-",V$19*'3h Losses'!U22)</f>
        <v>0.46764135872979962</v>
      </c>
      <c r="W45" s="16">
        <f>IF(W$19="-","-",W$19*'3h Losses'!V22)</f>
        <v>0.43467134717492278</v>
      </c>
      <c r="X45" s="16">
        <f>IF(X$19="-","-",X$19*'3h Losses'!W22)</f>
        <v>0.45461079538391114</v>
      </c>
      <c r="Y45" s="29"/>
      <c r="Z45" s="16">
        <f>IF(Z$19="-","-",Z$19*'3h Losses'!Y22)</f>
        <v>0.4372892206409999</v>
      </c>
      <c r="AA45" s="16" t="str">
        <f>IF(AA$19="-","-",AA$19*'3h Losses'!Z22)</f>
        <v>-</v>
      </c>
      <c r="AB45" s="16" t="str">
        <f>IF(AB$19="-","-",AB$19*'3h Losses'!AA22)</f>
        <v>-</v>
      </c>
    </row>
    <row r="46" spans="1:28">
      <c r="A46" s="15"/>
      <c r="B46" s="310"/>
      <c r="C46" s="308"/>
      <c r="D46" s="308"/>
      <c r="E46" s="111" t="s">
        <v>147</v>
      </c>
      <c r="F46" s="318"/>
      <c r="G46" s="29"/>
      <c r="H46" s="16">
        <f>IF(H$19="-","-",H$19*'3h Losses'!G23)</f>
        <v>0.23769713802109035</v>
      </c>
      <c r="I46" s="16">
        <f>IF(I$19="-","-",I$19*'3h Losses'!H23)</f>
        <v>0.23388533322085414</v>
      </c>
      <c r="J46" s="16">
        <f>IF(J$19="-","-",J$19*'3h Losses'!I23)</f>
        <v>0.23949858121815462</v>
      </c>
      <c r="K46" s="16">
        <f>IF(K$19="-","-",K$19*'3h Losses'!J23)</f>
        <v>0.24987453794933415</v>
      </c>
      <c r="L46" s="16">
        <f>IF(L$19="-","-",L$19*'3h Losses'!K23)</f>
        <v>0.25437227963242215</v>
      </c>
      <c r="M46" s="16">
        <f>IF(M$19="-","-",M$19*'3h Losses'!L23)</f>
        <v>0.24973409223212453</v>
      </c>
      <c r="N46" s="16">
        <f>IF(N$19="-","-",N$19*'3h Losses'!M23)</f>
        <v>0.2581452056217905</v>
      </c>
      <c r="O46" s="16">
        <f>IF(O$19="-","-",O$19*'3h Losses'!N23)</f>
        <v>0.26382146260832728</v>
      </c>
      <c r="P46" s="29"/>
      <c r="Q46" s="16">
        <f>IF(Q$19="-","-",Q$19*'3h Losses'!P23)</f>
        <v>0.26382146260832728</v>
      </c>
      <c r="R46" s="16">
        <f>IF(R$19="-","-",R$19*'3h Losses'!Q23)</f>
        <v>0.27321675474040669</v>
      </c>
      <c r="S46" s="16">
        <f>IF(S$19="-","-",S$19*'3h Losses'!R23)</f>
        <v>0.2830387672019184</v>
      </c>
      <c r="T46" s="16">
        <f>IF(T$19="-","-",T$19*'3h Losses'!S23)</f>
        <v>0.29203876064145606</v>
      </c>
      <c r="U46" s="16">
        <f>IF(U$19="-","-",U$19*'3h Losses'!T23)</f>
        <v>0.32879172808780061</v>
      </c>
      <c r="V46" s="16">
        <f>IF(V$19="-","-",V$19*'3h Losses'!U23)</f>
        <v>0.46817694757370121</v>
      </c>
      <c r="W46" s="16">
        <f>IF(W$19="-","-",W$19*'3h Losses'!V23)</f>
        <v>0.43605681255440581</v>
      </c>
      <c r="X46" s="16">
        <f>IF(X$19="-","-",X$19*'3h Losses'!W23)</f>
        <v>0.45861313764306716</v>
      </c>
      <c r="Y46" s="29"/>
      <c r="Z46" s="16">
        <f>IF(Z$19="-","-",Z$19*'3h Losses'!Y23)</f>
        <v>0.44112912790169995</v>
      </c>
      <c r="AA46" s="16" t="str">
        <f>IF(AA$19="-","-",AA$19*'3h Losses'!Z23)</f>
        <v>-</v>
      </c>
      <c r="AB46" s="16" t="str">
        <f>IF(AB$19="-","-",AB$19*'3h Losses'!AA23)</f>
        <v>-</v>
      </c>
    </row>
    <row r="47" spans="1:28">
      <c r="A47" s="15"/>
      <c r="B47" s="310"/>
      <c r="C47" s="308"/>
      <c r="D47" s="308"/>
      <c r="E47" s="111" t="s">
        <v>148</v>
      </c>
      <c r="F47" s="318"/>
      <c r="G47" s="29"/>
      <c r="H47" s="16">
        <f>IF(H$19="-","-",H$19*'3h Losses'!G24)</f>
        <v>0.23636035184033269</v>
      </c>
      <c r="I47" s="16">
        <f>IF(I$19="-","-",I$19*'3h Losses'!H24)</f>
        <v>0.2325699842690977</v>
      </c>
      <c r="J47" s="16">
        <f>IF(J$19="-","-",J$19*'3h Losses'!I24)</f>
        <v>0.23815166389155604</v>
      </c>
      <c r="K47" s="16">
        <f>IF(K$19="-","-",K$19*'3h Losses'!J24)</f>
        <v>0.24846926722527415</v>
      </c>
      <c r="L47" s="16">
        <f>IF(L$19="-","-",L$19*'3h Losses'!K24)</f>
        <v>0.25294171403532911</v>
      </c>
      <c r="M47" s="16">
        <f>IF(M$19="-","-",M$19*'3h Losses'!L24)</f>
        <v>0.24832961136146992</v>
      </c>
      <c r="N47" s="16">
        <f>IF(N$19="-","-",N$19*'3h Losses'!M24)</f>
        <v>0.25664840040339315</v>
      </c>
      <c r="O47" s="16">
        <f>IF(O$19="-","-",O$19*'3h Losses'!N24)</f>
        <v>0.26229174470786815</v>
      </c>
      <c r="P47" s="29"/>
      <c r="Q47" s="16">
        <f>IF(Q$19="-","-",Q$19*'3h Losses'!P24)</f>
        <v>0.26229174470786815</v>
      </c>
      <c r="R47" s="16">
        <f>IF(R$19="-","-",R$19*'3h Losses'!Q24)</f>
        <v>0.27118517088571437</v>
      </c>
      <c r="S47" s="16">
        <f>IF(S$19="-","-",S$19*'3h Losses'!R24)</f>
        <v>0.28093230295596733</v>
      </c>
      <c r="T47" s="16">
        <f>IF(T$19="-","-",T$19*'3h Losses'!S24)</f>
        <v>0.28813457270274728</v>
      </c>
      <c r="U47" s="16">
        <f>IF(U$19="-","-",U$19*'3h Losses'!T24)</f>
        <v>0.32438101021773008</v>
      </c>
      <c r="V47" s="16">
        <f>IF(V$19="-","-",V$19*'3h Losses'!U24)</f>
        <v>0.46244347995342766</v>
      </c>
      <c r="W47" s="16">
        <f>IF(W$19="-","-",W$19*'3h Losses'!V24)</f>
        <v>0.43072088191628738</v>
      </c>
      <c r="X47" s="16">
        <f>IF(X$19="-","-",X$19*'3h Losses'!W24)</f>
        <v>0.45528320617017909</v>
      </c>
      <c r="Y47" s="29"/>
      <c r="Z47" s="16">
        <f>IF(Z$19="-","-",Z$19*'3h Losses'!Y24)</f>
        <v>0.43793411507019997</v>
      </c>
      <c r="AA47" s="16" t="str">
        <f>IF(AA$19="-","-",AA$19*'3h Losses'!Z24)</f>
        <v>-</v>
      </c>
      <c r="AB47" s="16" t="str">
        <f>IF(AB$19="-","-",AB$19*'3h Losses'!AA24)</f>
        <v>-</v>
      </c>
    </row>
    <row r="48" spans="1:28">
      <c r="A48" s="15"/>
      <c r="B48" s="310"/>
      <c r="C48" s="308"/>
      <c r="D48" s="308"/>
      <c r="E48" s="111" t="s">
        <v>149</v>
      </c>
      <c r="F48" s="318"/>
      <c r="G48" s="29"/>
      <c r="H48" s="16">
        <f>IF(H$19="-","-",H$19*'3h Losses'!G25)</f>
        <v>0.23245871540863891</v>
      </c>
      <c r="I48" s="16">
        <f>IF(I$19="-","-",I$19*'3h Losses'!H25)</f>
        <v>0.2287309160138781</v>
      </c>
      <c r="J48" s="16">
        <f>IF(J$19="-","-",J$19*'3h Losses'!I25)</f>
        <v>0.23422045799821115</v>
      </c>
      <c r="K48" s="16">
        <f>IF(K$19="-","-",K$19*'3h Losses'!J25)</f>
        <v>0.24436774707769346</v>
      </c>
      <c r="L48" s="16">
        <f>IF(L$19="-","-",L$19*'3h Losses'!K25)</f>
        <v>0.24876636652509199</v>
      </c>
      <c r="M48" s="16">
        <f>IF(M$19="-","-",M$19*'3h Losses'!L25)</f>
        <v>0.24423039653456538</v>
      </c>
      <c r="N48" s="16">
        <f>IF(N$19="-","-",N$19*'3h Losses'!M25)</f>
        <v>0.25356271875573499</v>
      </c>
      <c r="O48" s="16">
        <f>IF(O$19="-","-",O$19*'3h Losses'!N25)</f>
        <v>0.25913821317716235</v>
      </c>
      <c r="P48" s="29"/>
      <c r="Q48" s="16">
        <f>IF(Q$19="-","-",Q$19*'3h Losses'!P25)</f>
        <v>0.25913821317716235</v>
      </c>
      <c r="R48" s="16">
        <f>IF(R$19="-","-",R$19*'3h Losses'!Q25)</f>
        <v>0.26940419652973191</v>
      </c>
      <c r="S48" s="16">
        <f>IF(S$19="-","-",S$19*'3h Losses'!R25)</f>
        <v>0.2790868929184192</v>
      </c>
      <c r="T48" s="16">
        <f>IF(T$19="-","-",T$19*'3h Losses'!S25)</f>
        <v>0.28730955091018873</v>
      </c>
      <c r="U48" s="16">
        <f>IF(U$19="-","-",U$19*'3h Losses'!T25)</f>
        <v>0.32345331735615507</v>
      </c>
      <c r="V48" s="16">
        <f>IF(V$19="-","-",V$19*'3h Losses'!U25)</f>
        <v>0.45969938064903471</v>
      </c>
      <c r="W48" s="16">
        <f>IF(W$19="-","-",W$19*'3h Losses'!V25)</f>
        <v>0.42816543330704332</v>
      </c>
      <c r="X48" s="16">
        <f>IF(X$19="-","-",X$19*'3h Losses'!W25)</f>
        <v>0.44780643917916307</v>
      </c>
      <c r="Y48" s="29"/>
      <c r="Z48" s="16">
        <f>IF(Z$19="-","-",Z$19*'3h Losses'!Y25)</f>
        <v>0.43073905888649994</v>
      </c>
      <c r="AA48" s="16" t="str">
        <f>IF(AA$19="-","-",AA$19*'3h Losses'!Z25)</f>
        <v>-</v>
      </c>
      <c r="AB48" s="16" t="str">
        <f>IF(AB$19="-","-",AB$19*'3h Losses'!AA25)</f>
        <v>-</v>
      </c>
    </row>
    <row r="49" spans="1:28">
      <c r="A49" s="15"/>
      <c r="B49" s="310"/>
      <c r="C49" s="308"/>
      <c r="D49" s="308"/>
      <c r="E49" s="111" t="s">
        <v>150</v>
      </c>
      <c r="F49" s="318"/>
      <c r="G49" s="29"/>
      <c r="H49" s="16">
        <f>IF(H$19="-","-",H$19*'3h Losses'!G26)</f>
        <v>0.24107374229856365</v>
      </c>
      <c r="I49" s="16">
        <f>IF(I$19="-","-",I$19*'3h Losses'!H26)</f>
        <v>0.23720778894399258</v>
      </c>
      <c r="J49" s="16">
        <f>IF(J$19="-","-",J$19*'3h Losses'!I26)</f>
        <v>0.24290077587864839</v>
      </c>
      <c r="K49" s="16">
        <f>IF(K$19="-","-",K$19*'3h Losses'!J26)</f>
        <v>0.25342412815767951</v>
      </c>
      <c r="L49" s="16">
        <f>IF(L$19="-","-",L$19*'3h Losses'!K26)</f>
        <v>0.25798576246451776</v>
      </c>
      <c r="M49" s="16">
        <f>IF(M$19="-","-",M$19*'3h Losses'!L26)</f>
        <v>0.25328168734026202</v>
      </c>
      <c r="N49" s="16">
        <f>IF(N$19="-","-",N$19*'3h Losses'!M26)</f>
        <v>0.26073862779084073</v>
      </c>
      <c r="O49" s="16">
        <f>IF(O$19="-","-",O$19*'3h Losses'!N26)</f>
        <v>0.26647191055351249</v>
      </c>
      <c r="P49" s="29"/>
      <c r="Q49" s="16">
        <f>IF(Q$19="-","-",Q$19*'3h Losses'!P26)</f>
        <v>0.26647191055351249</v>
      </c>
      <c r="R49" s="16">
        <f>IF(R$19="-","-",R$19*'3h Losses'!Q26)</f>
        <v>0.27539978583060498</v>
      </c>
      <c r="S49" s="16">
        <f>IF(S$19="-","-",S$19*'3h Losses'!R26)</f>
        <v>0.28530205125866898</v>
      </c>
      <c r="T49" s="16">
        <f>IF(T$19="-","-",T$19*'3h Losses'!S26)</f>
        <v>0.29537353738345445</v>
      </c>
      <c r="U49" s="16">
        <f>IF(U$19="-","-",U$19*'3h Losses'!T26)</f>
        <v>0.3325423329823225</v>
      </c>
      <c r="V49" s="16">
        <f>IF(V$19="-","-",V$19*'3h Losses'!U26)</f>
        <v>0.47452784496954231</v>
      </c>
      <c r="W49" s="16">
        <f>IF(W$19="-","-",W$19*'3h Losses'!V26)</f>
        <v>0.44195513671096942</v>
      </c>
      <c r="X49" s="16">
        <f>IF(X$19="-","-",X$19*'3h Losses'!W26)</f>
        <v>0.46387992935652983</v>
      </c>
      <c r="Y49" s="29"/>
      <c r="Z49" s="16">
        <f>IF(Z$19="-","-",Z$19*'3h Losses'!Y26)</f>
        <v>0.44620240822359997</v>
      </c>
      <c r="AA49" s="16" t="str">
        <f>IF(AA$19="-","-",AA$19*'3h Losses'!Z26)</f>
        <v>-</v>
      </c>
      <c r="AB49" s="16" t="str">
        <f>IF(AB$19="-","-",AB$19*'3h Losses'!AA26)</f>
        <v>-</v>
      </c>
    </row>
    <row r="50" spans="1:28">
      <c r="A50" s="15"/>
      <c r="B50" s="310"/>
      <c r="C50" s="308"/>
      <c r="D50" s="308"/>
      <c r="E50" s="111" t="s">
        <v>151</v>
      </c>
      <c r="F50" s="318"/>
      <c r="G50" s="29"/>
      <c r="H50" s="16">
        <f>IF(H$19="-","-",H$19*'3h Losses'!G27)</f>
        <v>0.23946572720438297</v>
      </c>
      <c r="I50" s="16">
        <f>IF(I$19="-","-",I$19*'3h Losses'!H27)</f>
        <v>0.23562556061235301</v>
      </c>
      <c r="J50" s="16">
        <f>IF(J$19="-","-",J$19*'3h Losses'!I27)</f>
        <v>0.24128057406704947</v>
      </c>
      <c r="K50" s="16">
        <f>IF(K$19="-","-",K$19*'3h Losses'!J27)</f>
        <v>0.25173373326265014</v>
      </c>
      <c r="L50" s="16">
        <f>IF(L$19="-","-",L$19*'3h Losses'!K27)</f>
        <v>0.25626494046137782</v>
      </c>
      <c r="M50" s="16">
        <f>IF(M$19="-","-",M$19*'3h Losses'!L27)</f>
        <v>0.25159224255693807</v>
      </c>
      <c r="N50" s="16">
        <f>IF(N$19="-","-",N$19*'3h Losses'!M27)</f>
        <v>0.26351094978314299</v>
      </c>
      <c r="O50" s="16">
        <f>IF(O$19="-","-",O$19*'3h Losses'!N27)</f>
        <v>0.26930519208228898</v>
      </c>
      <c r="P50" s="29"/>
      <c r="Q50" s="16">
        <f>IF(Q$19="-","-",Q$19*'3h Losses'!P27)</f>
        <v>0.26930519208228898</v>
      </c>
      <c r="R50" s="16">
        <f>IF(R$19="-","-",R$19*'3h Losses'!Q27)</f>
        <v>0.27829730926118057</v>
      </c>
      <c r="S50" s="16">
        <f>IF(S$19="-","-",S$19*'3h Losses'!R27)</f>
        <v>0.28830586582696427</v>
      </c>
      <c r="T50" s="16">
        <f>IF(T$19="-","-",T$19*'3h Losses'!S27)</f>
        <v>0.29700260954198038</v>
      </c>
      <c r="U50" s="16">
        <f>IF(U$19="-","-",U$19*'3h Losses'!T27)</f>
        <v>0.33437904821159692</v>
      </c>
      <c r="V50" s="16">
        <f>IF(V$19="-","-",V$19*'3h Losses'!U27)</f>
        <v>0.47710737077477888</v>
      </c>
      <c r="W50" s="16">
        <f>IF(W$19="-","-",W$19*'3h Losses'!V27)</f>
        <v>0.44435092193552472</v>
      </c>
      <c r="X50" s="16">
        <f>IF(X$19="-","-",X$19*'3h Losses'!W27)</f>
        <v>0.46740621341870742</v>
      </c>
      <c r="Y50" s="29"/>
      <c r="Z50" s="16">
        <f>IF(Z$19="-","-",Z$19*'3h Losses'!Y27)</f>
        <v>0.44960087395019999</v>
      </c>
      <c r="AA50" s="16" t="str">
        <f>IF(AA$19="-","-",AA$19*'3h Losses'!Z27)</f>
        <v>-</v>
      </c>
      <c r="AB50" s="16" t="str">
        <f>IF(AB$19="-","-",AB$19*'3h Losses'!AA27)</f>
        <v>-</v>
      </c>
    </row>
    <row r="51" spans="1:28">
      <c r="A51" s="15"/>
      <c r="B51" s="310"/>
      <c r="C51" s="308"/>
      <c r="D51" s="308"/>
      <c r="E51" s="111" t="s">
        <v>152</v>
      </c>
      <c r="F51" s="318"/>
      <c r="G51" s="29"/>
      <c r="H51" s="16">
        <f>IF(H$19="-","-",H$19*'3h Losses'!G28)</f>
        <v>0.23955053809766497</v>
      </c>
      <c r="I51" s="16">
        <f>IF(I$19="-","-",I$19*'3h Losses'!H28)</f>
        <v>0.23570901144479112</v>
      </c>
      <c r="J51" s="16">
        <f>IF(J$19="-","-",J$19*'3h Losses'!I28)</f>
        <v>0.24136602771946611</v>
      </c>
      <c r="K51" s="16">
        <f>IF(K$19="-","-",K$19*'3h Losses'!J28)</f>
        <v>0.25182288908063066</v>
      </c>
      <c r="L51" s="16">
        <f>IF(L$19="-","-",L$19*'3h Losses'!K28)</f>
        <v>0.25635570108408207</v>
      </c>
      <c r="M51" s="16">
        <f>IF(M$19="-","-",M$19*'3h Losses'!L28)</f>
        <v>0.25168134826355909</v>
      </c>
      <c r="N51" s="16">
        <f>IF(N$19="-","-",N$19*'3h Losses'!M28)</f>
        <v>0.26217262216414361</v>
      </c>
      <c r="O51" s="16">
        <f>IF(O$19="-","-",O$19*'3h Losses'!N28)</f>
        <v>0.26793743648503476</v>
      </c>
      <c r="P51" s="29"/>
      <c r="Q51" s="16">
        <f>IF(Q$19="-","-",Q$19*'3h Losses'!P28)</f>
        <v>0.26793743648503476</v>
      </c>
      <c r="R51" s="16">
        <f>IF(R$19="-","-",R$19*'3h Losses'!Q28)</f>
        <v>0.27702228898130754</v>
      </c>
      <c r="S51" s="16">
        <f>IF(S$19="-","-",S$19*'3h Losses'!R28)</f>
        <v>0.28563047458976404</v>
      </c>
      <c r="T51" s="16">
        <f>IF(T$19="-","-",T$19*'3h Losses'!S28)</f>
        <v>0.29404592427290266</v>
      </c>
      <c r="U51" s="16">
        <f>IF(U$19="-","-",U$19*'3h Losses'!T28)</f>
        <v>0.33382953596540244</v>
      </c>
      <c r="V51" s="16">
        <f>IF(V$19="-","-",V$19*'3h Losses'!U28)</f>
        <v>0.47591347045703436</v>
      </c>
      <c r="W51" s="16">
        <f>IF(W$19="-","-",W$19*'3h Losses'!V28)</f>
        <v>0.44603612032043177</v>
      </c>
      <c r="X51" s="16">
        <f>IF(X$19="-","-",X$19*'3h Losses'!W28)</f>
        <v>0.46649689874134825</v>
      </c>
      <c r="Y51" s="29"/>
      <c r="Z51" s="16">
        <f>IF(Z$19="-","-",Z$19*'3h Losses'!Y28)</f>
        <v>0.44871616154539995</v>
      </c>
      <c r="AA51" s="16" t="str">
        <f>IF(AA$19="-","-",AA$19*'3h Losses'!Z28)</f>
        <v>-</v>
      </c>
      <c r="AB51" s="16" t="str">
        <f>IF(AB$19="-","-",AB$19*'3h Losses'!AA28)</f>
        <v>-</v>
      </c>
    </row>
    <row r="52" spans="1:28" ht="12.75" customHeight="1">
      <c r="A52" s="15"/>
      <c r="B52" s="310" t="s">
        <v>153</v>
      </c>
      <c r="C52" s="308"/>
      <c r="D52" s="308"/>
      <c r="E52" s="111" t="s">
        <v>138</v>
      </c>
      <c r="F52" s="318"/>
      <c r="G52" s="29"/>
      <c r="H52" s="16">
        <f>IF(H$24="-","-",H$24*'3h Losses'!G29)</f>
        <v>0.24047603186300415</v>
      </c>
      <c r="I52" s="16">
        <f>IF(I$24="-","-",I$24*'3h Losses'!H29)</f>
        <v>0.23661966362807896</v>
      </c>
      <c r="J52" s="16">
        <f>IF(J$24="-","-",J$24*'3h Losses'!I29)</f>
        <v>0.24229853555515285</v>
      </c>
      <c r="K52" s="16">
        <f>IF(K$24="-","-",K$24*'3h Losses'!J29)</f>
        <v>0.25279579657507684</v>
      </c>
      <c r="L52" s="16">
        <f>IF(L$24="-","-",L$24*'3h Losses'!K29)</f>
        <v>0.25734612091342823</v>
      </c>
      <c r="M52" s="16">
        <f>IF(M$24="-","-",M$24*'3h Losses'!L29)</f>
        <v>0.25265370892081263</v>
      </c>
      <c r="N52" s="16">
        <f>IF(N$24="-","-",N$24*'3h Losses'!M29)</f>
        <v>0.25954785899067145</v>
      </c>
      <c r="O52" s="16">
        <f>IF(O$24="-","-",O$24*'3h Losses'!N29)</f>
        <v>0.2652549583899721</v>
      </c>
      <c r="P52" s="29"/>
      <c r="Q52" s="16">
        <f>IF(Q$24="-","-",Q$24*'3h Losses'!P29)</f>
        <v>0.2652549583899721</v>
      </c>
      <c r="R52" s="16">
        <f>IF(R$24="-","-",R$24*'3h Losses'!Q29)</f>
        <v>0.27547025149508897</v>
      </c>
      <c r="S52" s="16">
        <f>IF(S$24="-","-",S$24*'3h Losses'!R29)</f>
        <v>0.28533844390256957</v>
      </c>
      <c r="T52" s="16">
        <f>IF(T$24="-","-",T$24*'3h Losses'!S29)</f>
        <v>0.29340319674085036</v>
      </c>
      <c r="U52" s="16">
        <f>IF(U$24="-","-",U$24*'3h Losses'!T29)</f>
        <v>0.33029368168713719</v>
      </c>
      <c r="V52" s="16">
        <f>IF(V$24="-","-",V$24*'3h Losses'!U29)</f>
        <v>0.47021870891750123</v>
      </c>
      <c r="W52" s="16">
        <f>IF(W$24="-","-",W$24*'3h Losses'!V29)</f>
        <v>0.43796894008116521</v>
      </c>
      <c r="X52" s="16">
        <f>IF(X$24="-","-",X$24*'3h Losses'!W29)</f>
        <v>0.45964521266673714</v>
      </c>
      <c r="Y52" s="29"/>
      <c r="Z52" s="16">
        <f>IF(Z$24="-","-",Z$24*'3h Losses'!Y29)</f>
        <v>0.4422942306740999</v>
      </c>
      <c r="AA52" s="16" t="str">
        <f>IF(AA$24="-","-",AA$24*'3h Losses'!Z29)</f>
        <v>-</v>
      </c>
      <c r="AB52" s="16" t="str">
        <f>IF(AB$24="-","-",AB$24*'3h Losses'!AA29)</f>
        <v>-</v>
      </c>
    </row>
    <row r="53" spans="1:28">
      <c r="A53" s="15"/>
      <c r="B53" s="310"/>
      <c r="C53" s="308"/>
      <c r="D53" s="308"/>
      <c r="E53" s="111" t="s">
        <v>140</v>
      </c>
      <c r="F53" s="318"/>
      <c r="G53" s="29"/>
      <c r="H53" s="16">
        <f>IF(H$24="-","-",H$24*'3h Losses'!G30)</f>
        <v>0.23546951286413736</v>
      </c>
      <c r="I53" s="16">
        <f>IF(I$24="-","-",I$24*'3h Losses'!H30)</f>
        <v>0.23169343113712404</v>
      </c>
      <c r="J53" s="16">
        <f>IF(J$24="-","-",J$24*'3h Losses'!I30)</f>
        <v>0.23725407348441499</v>
      </c>
      <c r="K53" s="16">
        <f>IF(K$24="-","-",K$24*'3h Losses'!J30)</f>
        <v>0.24753278991041347</v>
      </c>
      <c r="L53" s="16">
        <f>IF(L$24="-","-",L$24*'3h Losses'!K30)</f>
        <v>0.25198838012880093</v>
      </c>
      <c r="M53" s="16">
        <f>IF(M$24="-","-",M$24*'3h Losses'!L30)</f>
        <v>0.24739366040767513</v>
      </c>
      <c r="N53" s="16">
        <f>IF(N$24="-","-",N$24*'3h Losses'!M30)</f>
        <v>0.25684685455205053</v>
      </c>
      <c r="O53" s="16">
        <f>IF(O$24="-","-",O$24*'3h Losses'!N30)</f>
        <v>0.26249456258950715</v>
      </c>
      <c r="P53" s="29"/>
      <c r="Q53" s="16">
        <f>IF(Q$24="-","-",Q$24*'3h Losses'!P30)</f>
        <v>0.26249456258950715</v>
      </c>
      <c r="R53" s="16">
        <f>IF(R$24="-","-",R$24*'3h Losses'!Q30)</f>
        <v>0.27066914563133254</v>
      </c>
      <c r="S53" s="16">
        <f>IF(S$24="-","-",S$24*'3h Losses'!R30)</f>
        <v>0.28038984801027672</v>
      </c>
      <c r="T53" s="16">
        <f>IF(T$24="-","-",T$24*'3h Losses'!S30)</f>
        <v>0.28865089459846849</v>
      </c>
      <c r="U53" s="16">
        <f>IF(U$24="-","-",U$24*'3h Losses'!T30)</f>
        <v>0.32495759332449947</v>
      </c>
      <c r="V53" s="16">
        <f>IF(V$24="-","-",V$24*'3h Losses'!U30)</f>
        <v>0.46275492737888446</v>
      </c>
      <c r="W53" s="16">
        <f>IF(W$24="-","-",W$24*'3h Losses'!V30)</f>
        <v>0.43100484499210207</v>
      </c>
      <c r="X53" s="16">
        <f>IF(X$24="-","-",X$24*'3h Losses'!W30)</f>
        <v>0.45077610169075133</v>
      </c>
      <c r="Y53" s="29"/>
      <c r="Z53" s="16">
        <f>IF(Z$24="-","-",Z$24*'3h Losses'!Y30)</f>
        <v>0.43364085240559996</v>
      </c>
      <c r="AA53" s="16" t="str">
        <f>IF(AA$24="-","-",AA$24*'3h Losses'!Z30)</f>
        <v>-</v>
      </c>
      <c r="AB53" s="16" t="str">
        <f>IF(AB$24="-","-",AB$24*'3h Losses'!AA30)</f>
        <v>-</v>
      </c>
    </row>
    <row r="54" spans="1:28">
      <c r="A54" s="15"/>
      <c r="B54" s="310"/>
      <c r="C54" s="308"/>
      <c r="D54" s="308"/>
      <c r="E54" s="111" t="s">
        <v>141</v>
      </c>
      <c r="F54" s="318"/>
      <c r="G54" s="29"/>
      <c r="H54" s="16">
        <f>IF(H$24="-","-",H$24*'3h Losses'!G31)</f>
        <v>0.23750321480649034</v>
      </c>
      <c r="I54" s="16">
        <f>IF(I$24="-","-",I$24*'3h Losses'!H31)</f>
        <v>0.23369451983520048</v>
      </c>
      <c r="J54" s="16">
        <f>IF(J$24="-","-",J$24*'3h Losses'!I31)</f>
        <v>0.23930318831124531</v>
      </c>
      <c r="K54" s="16">
        <f>IF(K$24="-","-",K$24*'3h Losses'!J31)</f>
        <v>0.24967067990523126</v>
      </c>
      <c r="L54" s="16">
        <f>IF(L$24="-","-",L$24*'3h Losses'!K31)</f>
        <v>0.25416475214352546</v>
      </c>
      <c r="M54" s="16">
        <f>IF(M$24="-","-",M$24*'3h Losses'!L31)</f>
        <v>0.24953034876948102</v>
      </c>
      <c r="N54" s="16">
        <f>IF(N$24="-","-",N$24*'3h Losses'!M31)</f>
        <v>0.2593570207517597</v>
      </c>
      <c r="O54" s="16">
        <f>IF(O$24="-","-",O$24*'3h Losses'!N31)</f>
        <v>0.26505992388142868</v>
      </c>
      <c r="P54" s="29"/>
      <c r="Q54" s="16">
        <f>IF(Q$24="-","-",Q$24*'3h Losses'!P31)</f>
        <v>0.26505992388142868</v>
      </c>
      <c r="R54" s="16">
        <f>IF(R$24="-","-",R$24*'3h Losses'!Q31)</f>
        <v>0.27368851910752273</v>
      </c>
      <c r="S54" s="16">
        <f>IF(S$24="-","-",S$24*'3h Losses'!R31)</f>
        <v>0.28348752885347028</v>
      </c>
      <c r="T54" s="16">
        <f>IF(T$24="-","-",T$24*'3h Losses'!S31)</f>
        <v>0.29141098834924906</v>
      </c>
      <c r="U54" s="16">
        <f>IF(U$24="-","-",U$24*'3h Losses'!T31)</f>
        <v>0.32803538150627409</v>
      </c>
      <c r="V54" s="16">
        <f>IF(V$24="-","-",V$24*'3h Losses'!U31)</f>
        <v>0.46770221092496295</v>
      </c>
      <c r="W54" s="16">
        <f>IF(W$24="-","-",W$24*'3h Losses'!V31)</f>
        <v>0.43563178488972698</v>
      </c>
      <c r="X54" s="16">
        <f>IF(X$24="-","-",X$24*'3h Losses'!W31)</f>
        <v>0.45897790134436811</v>
      </c>
      <c r="Y54" s="29"/>
      <c r="Z54" s="16">
        <f>IF(Z$24="-","-",Z$24*'3h Losses'!Y31)</f>
        <v>0.44170909674289999</v>
      </c>
      <c r="AA54" s="16" t="str">
        <f>IF(AA$24="-","-",AA$24*'3h Losses'!Z31)</f>
        <v>-</v>
      </c>
      <c r="AB54" s="16" t="str">
        <f>IF(AB$24="-","-",AB$24*'3h Losses'!AA31)</f>
        <v>-</v>
      </c>
    </row>
    <row r="55" spans="1:28">
      <c r="A55" s="15"/>
      <c r="B55" s="310"/>
      <c r="C55" s="308"/>
      <c r="D55" s="308"/>
      <c r="E55" s="111" t="s">
        <v>142</v>
      </c>
      <c r="F55" s="318"/>
      <c r="G55" s="29"/>
      <c r="H55" s="16">
        <f>IF(H$24="-","-",H$24*'3h Losses'!G32)</f>
        <v>0.24023029098574666</v>
      </c>
      <c r="I55" s="16">
        <f>IF(I$24="-","-",I$24*'3h Losses'!H32)</f>
        <v>0.23637786354818802</v>
      </c>
      <c r="J55" s="16">
        <f>IF(J$24="-","-",J$24*'3h Losses'!I32)</f>
        <v>0.24205093227334451</v>
      </c>
      <c r="K55" s="16">
        <f>IF(K$24="-","-",K$24*'3h Losses'!J32)</f>
        <v>0.25253746621118944</v>
      </c>
      <c r="L55" s="16">
        <f>IF(L$24="-","-",L$24*'3h Losses'!K32)</f>
        <v>0.25708314060299087</v>
      </c>
      <c r="M55" s="16">
        <f>IF(M$24="-","-",M$24*'3h Losses'!L32)</f>
        <v>0.25239552375536578</v>
      </c>
      <c r="N55" s="16">
        <f>IF(N$24="-","-",N$24*'3h Losses'!M32)</f>
        <v>0.26381505805507138</v>
      </c>
      <c r="O55" s="16">
        <f>IF(O$24="-","-",O$24*'3h Losses'!N32)</f>
        <v>0.26961598727563058</v>
      </c>
      <c r="P55" s="29"/>
      <c r="Q55" s="16">
        <f>IF(Q$24="-","-",Q$24*'3h Losses'!P32)</f>
        <v>0.26961598727563058</v>
      </c>
      <c r="R55" s="16">
        <f>IF(R$24="-","-",R$24*'3h Losses'!Q32)</f>
        <v>0.2792182328197107</v>
      </c>
      <c r="S55" s="16">
        <f>IF(S$24="-","-",S$24*'3h Losses'!R32)</f>
        <v>0.28921520008256441</v>
      </c>
      <c r="T55" s="16">
        <f>IF(T$24="-","-",T$24*'3h Losses'!S32)</f>
        <v>0.29950335571946063</v>
      </c>
      <c r="U55" s="16">
        <f>IF(U$24="-","-",U$24*'3h Losses'!T32)</f>
        <v>0.33713633523214503</v>
      </c>
      <c r="V55" s="16">
        <f>IF(V$24="-","-",V$24*'3h Losses'!U32)</f>
        <v>0.47890165148620456</v>
      </c>
      <c r="W55" s="16">
        <f>IF(W$24="-","-",W$24*'3h Losses'!V32)</f>
        <v>0.44602808829338031</v>
      </c>
      <c r="X55" s="16">
        <f>IF(X$24="-","-",X$24*'3h Losses'!W32)</f>
        <v>0.46990190449029184</v>
      </c>
      <c r="Y55" s="29"/>
      <c r="Z55" s="16">
        <f>IF(Z$24="-","-",Z$24*'3h Losses'!Y32)</f>
        <v>0.45227313249649992</v>
      </c>
      <c r="AA55" s="16" t="str">
        <f>IF(AA$24="-","-",AA$24*'3h Losses'!Z32)</f>
        <v>-</v>
      </c>
      <c r="AB55" s="16" t="str">
        <f>IF(AB$24="-","-",AB$24*'3h Losses'!AA32)</f>
        <v>-</v>
      </c>
    </row>
    <row r="56" spans="1:28">
      <c r="A56" s="15"/>
      <c r="B56" s="310"/>
      <c r="C56" s="308"/>
      <c r="D56" s="308"/>
      <c r="E56" s="111" t="s">
        <v>143</v>
      </c>
      <c r="F56" s="318"/>
      <c r="G56" s="29"/>
      <c r="H56" s="16">
        <f>IF(H$24="-","-",H$24*'3h Losses'!G33)</f>
        <v>0.23581861996984138</v>
      </c>
      <c r="I56" s="16">
        <f>IF(I$24="-","-",I$24*'3h Losses'!H33)</f>
        <v>0.23203693982396445</v>
      </c>
      <c r="J56" s="16">
        <f>IF(J$24="-","-",J$24*'3h Losses'!I33)</f>
        <v>0.23760582637973959</v>
      </c>
      <c r="K56" s="16">
        <f>IF(K$24="-","-",K$24*'3h Losses'!J33)</f>
        <v>0.24789978203097016</v>
      </c>
      <c r="L56" s="16">
        <f>IF(L$24="-","-",L$24*'3h Losses'!K33)</f>
        <v>0.25236197810752764</v>
      </c>
      <c r="M56" s="16">
        <f>IF(M$24="-","-",M$24*'3h Losses'!L33)</f>
        <v>0.24776044625482757</v>
      </c>
      <c r="N56" s="16">
        <f>IF(N$24="-","-",N$24*'3h Losses'!M33)</f>
        <v>0.25668134876494858</v>
      </c>
      <c r="O56" s="16">
        <f>IF(O$24="-","-",O$24*'3h Losses'!N33)</f>
        <v>0.26232541755844524</v>
      </c>
      <c r="P56" s="29"/>
      <c r="Q56" s="16">
        <f>IF(Q$24="-","-",Q$24*'3h Losses'!P33)</f>
        <v>0.26232541755844524</v>
      </c>
      <c r="R56" s="16">
        <f>IF(R$24="-","-",R$24*'3h Losses'!Q33)</f>
        <v>0.27121998546879678</v>
      </c>
      <c r="S56" s="16">
        <f>IF(S$24="-","-",S$24*'3h Losses'!R33)</f>
        <v>0.28095595839957227</v>
      </c>
      <c r="T56" s="16">
        <f>IF(T$24="-","-",T$24*'3h Losses'!S33)</f>
        <v>0.290659606568347</v>
      </c>
      <c r="U56" s="16">
        <f>IF(U$24="-","-",U$24*'3h Losses'!T33)</f>
        <v>0.32721345529450635</v>
      </c>
      <c r="V56" s="16">
        <f>IF(V$24="-","-",V$24*'3h Losses'!U33)</f>
        <v>0.46648146527569473</v>
      </c>
      <c r="W56" s="16">
        <f>IF(W$24="-","-",W$24*'3h Losses'!V33)</f>
        <v>0.43447042878170949</v>
      </c>
      <c r="X56" s="16">
        <f>IF(X$24="-","-",X$24*'3h Losses'!W33)</f>
        <v>0.45570943753697607</v>
      </c>
      <c r="Y56" s="29"/>
      <c r="Z56" s="16">
        <f>IF(Z$24="-","-",Z$24*'3h Losses'!Y33)</f>
        <v>0.43843758730169996</v>
      </c>
      <c r="AA56" s="16" t="str">
        <f>IF(AA$24="-","-",AA$24*'3h Losses'!Z33)</f>
        <v>-</v>
      </c>
      <c r="AB56" s="16" t="str">
        <f>IF(AB$24="-","-",AB$24*'3h Losses'!AA33)</f>
        <v>-</v>
      </c>
    </row>
    <row r="57" spans="1:28">
      <c r="A57" s="15"/>
      <c r="B57" s="310"/>
      <c r="C57" s="308"/>
      <c r="D57" s="308"/>
      <c r="E57" s="111" t="s">
        <v>144</v>
      </c>
      <c r="F57" s="318"/>
      <c r="G57" s="29"/>
      <c r="H57" s="16">
        <f>IF(H$24="-","-",H$24*'3h Losses'!G34)</f>
        <v>0.23751690268161504</v>
      </c>
      <c r="I57" s="16">
        <f>IF(I$24="-","-",I$24*'3h Losses'!H34)</f>
        <v>0.23370798820617575</v>
      </c>
      <c r="J57" s="16">
        <f>IF(J$24="-","-",J$24*'3h Losses'!I34)</f>
        <v>0.23931697992312395</v>
      </c>
      <c r="K57" s="16">
        <f>IF(K$24="-","-",K$24*'3h Losses'!J34)</f>
        <v>0.24968506902030754</v>
      </c>
      <c r="L57" s="16">
        <f>IF(L$24="-","-",L$24*'3h Losses'!K34)</f>
        <v>0.25417940026267311</v>
      </c>
      <c r="M57" s="16">
        <f>IF(M$24="-","-",M$24*'3h Losses'!L34)</f>
        <v>0.24954472979694017</v>
      </c>
      <c r="N57" s="16">
        <f>IF(N$24="-","-",N$24*'3h Losses'!M34)</f>
        <v>0.25804039297103276</v>
      </c>
      <c r="O57" s="16">
        <f>IF(O$24="-","-",O$24*'3h Losses'!N34)</f>
        <v>0.26371434527195781</v>
      </c>
      <c r="P57" s="29"/>
      <c r="Q57" s="16">
        <f>IF(Q$24="-","-",Q$24*'3h Losses'!P34)</f>
        <v>0.26371434527195781</v>
      </c>
      <c r="R57" s="16">
        <f>IF(R$24="-","-",R$24*'3h Losses'!Q34)</f>
        <v>0.27134957797137532</v>
      </c>
      <c r="S57" s="16">
        <f>IF(S$24="-","-",S$24*'3h Losses'!R34)</f>
        <v>0.28109141778709279</v>
      </c>
      <c r="T57" s="16">
        <f>IF(T$24="-","-",T$24*'3h Losses'!S34)</f>
        <v>0.28858019620892683</v>
      </c>
      <c r="U57" s="16">
        <f>IF(U$24="-","-",U$24*'3h Losses'!T34)</f>
        <v>0.32487716459991889</v>
      </c>
      <c r="V57" s="16">
        <f>IF(V$24="-","-",V$24*'3h Losses'!U34)</f>
        <v>0.46294101035392143</v>
      </c>
      <c r="W57" s="16">
        <f>IF(W$24="-","-",W$24*'3h Losses'!V34)</f>
        <v>0.43117655087400847</v>
      </c>
      <c r="X57" s="16">
        <f>IF(X$24="-","-",X$24*'3h Losses'!W34)</f>
        <v>0.45154017046545114</v>
      </c>
      <c r="Y57" s="29"/>
      <c r="Z57" s="16">
        <f>IF(Z$24="-","-",Z$24*'3h Losses'!Y34)</f>
        <v>0.4344114870871999</v>
      </c>
      <c r="AA57" s="16" t="str">
        <f>IF(AA$24="-","-",AA$24*'3h Losses'!Z34)</f>
        <v>-</v>
      </c>
      <c r="AB57" s="16" t="str">
        <f>IF(AB$24="-","-",AB$24*'3h Losses'!AA34)</f>
        <v>-</v>
      </c>
    </row>
    <row r="58" spans="1:28">
      <c r="A58" s="15"/>
      <c r="B58" s="310"/>
      <c r="C58" s="308"/>
      <c r="D58" s="308"/>
      <c r="E58" s="111" t="s">
        <v>145</v>
      </c>
      <c r="F58" s="318"/>
      <c r="G58" s="29"/>
      <c r="H58" s="16">
        <f>IF(H$24="-","-",H$24*'3h Losses'!G35)</f>
        <v>0.23881946514113728</v>
      </c>
      <c r="I58" s="16">
        <f>IF(I$24="-","-",I$24*'3h Losses'!H35)</f>
        <v>0.23498966226175189</v>
      </c>
      <c r="J58" s="16">
        <f>IF(J$24="-","-",J$24*'3h Losses'!I35)</f>
        <v>0.24062941415603392</v>
      </c>
      <c r="K58" s="16">
        <f>IF(K$24="-","-",K$24*'3h Losses'!J35)</f>
        <v>0.2510543627166178</v>
      </c>
      <c r="L58" s="16">
        <f>IF(L$24="-","-",L$24*'3h Losses'!K35)</f>
        <v>0.25557334124551695</v>
      </c>
      <c r="M58" s="16">
        <f>IF(M$24="-","-",M$24*'3h Losses'!L35)</f>
        <v>0.250913253861271</v>
      </c>
      <c r="N58" s="16">
        <f>IF(N$24="-","-",N$24*'3h Losses'!M35)</f>
        <v>0.26163260934554033</v>
      </c>
      <c r="O58" s="16">
        <f>IF(O$24="-","-",O$24*'3h Losses'!N35)</f>
        <v>0.26738554952944327</v>
      </c>
      <c r="P58" s="29"/>
      <c r="Q58" s="16">
        <f>IF(Q$24="-","-",Q$24*'3h Losses'!P35)</f>
        <v>0.26738554952944327</v>
      </c>
      <c r="R58" s="16">
        <f>IF(R$24="-","-",R$24*'3h Losses'!Q35)</f>
        <v>0.27645168940514331</v>
      </c>
      <c r="S58" s="16">
        <f>IF(S$24="-","-",S$24*'3h Losses'!R35)</f>
        <v>0.28637228394025899</v>
      </c>
      <c r="T58" s="16">
        <f>IF(T$24="-","-",T$24*'3h Losses'!S35)</f>
        <v>0.29418261936454654</v>
      </c>
      <c r="U58" s="16">
        <f>IF(U$24="-","-",U$24*'3h Losses'!T35)</f>
        <v>0.33116821110093425</v>
      </c>
      <c r="V58" s="16">
        <f>IF(V$24="-","-",V$24*'3h Losses'!U35)</f>
        <v>0.46882309528245236</v>
      </c>
      <c r="W58" s="16">
        <f>IF(W$24="-","-",W$24*'3h Losses'!V35)</f>
        <v>0.43665360712765489</v>
      </c>
      <c r="X58" s="16">
        <f>IF(X$24="-","-",X$24*'3h Losses'!W35)</f>
        <v>0.45668398649629099</v>
      </c>
      <c r="Y58" s="29"/>
      <c r="Z58" s="16">
        <f>IF(Z$24="-","-",Z$24*'3h Losses'!Y35)</f>
        <v>0.43937076939909991</v>
      </c>
      <c r="AA58" s="16" t="str">
        <f>IF(AA$24="-","-",AA$24*'3h Losses'!Z35)</f>
        <v>-</v>
      </c>
      <c r="AB58" s="16" t="str">
        <f>IF(AB$24="-","-",AB$24*'3h Losses'!AA35)</f>
        <v>-</v>
      </c>
    </row>
    <row r="59" spans="1:28">
      <c r="A59" s="15"/>
      <c r="B59" s="310"/>
      <c r="C59" s="308"/>
      <c r="D59" s="308"/>
      <c r="E59" s="111" t="s">
        <v>146</v>
      </c>
      <c r="F59" s="318"/>
      <c r="G59" s="29"/>
      <c r="H59" s="16">
        <f>IF(H$24="-","-",H$24*'3h Losses'!G36)</f>
        <v>0.23484900091505895</v>
      </c>
      <c r="I59" s="16">
        <f>IF(I$24="-","-",I$24*'3h Losses'!H36)</f>
        <v>0.23108286996173097</v>
      </c>
      <c r="J59" s="16">
        <f>IF(J$24="-","-",J$24*'3h Losses'!I36)</f>
        <v>0.2366288588408125</v>
      </c>
      <c r="K59" s="16">
        <f>IF(K$24="-","-",K$24*'3h Losses'!J36)</f>
        <v>0.24688048867591458</v>
      </c>
      <c r="L59" s="16">
        <f>IF(L$24="-","-",L$24*'3h Losses'!K36)</f>
        <v>0.25132433747208105</v>
      </c>
      <c r="M59" s="16">
        <f>IF(M$24="-","-",M$24*'3h Losses'!L36)</f>
        <v>0.24674172580883055</v>
      </c>
      <c r="N59" s="16">
        <f>IF(N$24="-","-",N$24*'3h Losses'!M36)</f>
        <v>0.25637684109288833</v>
      </c>
      <c r="O59" s="16">
        <f>IF(O$24="-","-",O$24*'3h Losses'!N36)</f>
        <v>0.26201421418271381</v>
      </c>
      <c r="P59" s="29"/>
      <c r="Q59" s="16">
        <f>IF(Q$24="-","-",Q$24*'3h Losses'!P36)</f>
        <v>0.26201421418271381</v>
      </c>
      <c r="R59" s="16">
        <f>IF(R$24="-","-",R$24*'3h Losses'!Q36)</f>
        <v>0.270898230238864</v>
      </c>
      <c r="S59" s="16">
        <f>IF(S$24="-","-",S$24*'3h Losses'!R36)</f>
        <v>0.2817783241164053</v>
      </c>
      <c r="T59" s="16">
        <f>IF(T$24="-","-",T$24*'3h Losses'!S36)</f>
        <v>0.29008027898241351</v>
      </c>
      <c r="U59" s="16">
        <f>IF(U$24="-","-",U$24*'3h Losses'!T36)</f>
        <v>0.32765964490846555</v>
      </c>
      <c r="V59" s="16">
        <f>IF(V$24="-","-",V$24*'3h Losses'!U36)</f>
        <v>0.46711756132108251</v>
      </c>
      <c r="W59" s="16">
        <f>IF(W$24="-","-",W$24*'3h Losses'!V36)</f>
        <v>0.4342926266874842</v>
      </c>
      <c r="X59" s="16">
        <f>IF(X$24="-","-",X$24*'3h Losses'!W36)</f>
        <v>0.45421470205238235</v>
      </c>
      <c r="Y59" s="29"/>
      <c r="Z59" s="16">
        <f>IF(Z$24="-","-",Z$24*'3h Losses'!Y36)</f>
        <v>0.4369734900768999</v>
      </c>
      <c r="AA59" s="16" t="str">
        <f>IF(AA$24="-","-",AA$24*'3h Losses'!Z36)</f>
        <v>-</v>
      </c>
      <c r="AB59" s="16" t="str">
        <f>IF(AB$24="-","-",AB$24*'3h Losses'!AA36)</f>
        <v>-</v>
      </c>
    </row>
    <row r="60" spans="1:28">
      <c r="A60" s="15"/>
      <c r="B60" s="310"/>
      <c r="C60" s="308"/>
      <c r="D60" s="308"/>
      <c r="E60" s="111" t="s">
        <v>147</v>
      </c>
      <c r="F60" s="318"/>
      <c r="G60" s="29"/>
      <c r="H60" s="16">
        <f>IF(H$24="-","-",H$24*'3h Losses'!G37)</f>
        <v>0.23706212238647048</v>
      </c>
      <c r="I60" s="16">
        <f>IF(I$24="-","-",I$24*'3h Losses'!H37)</f>
        <v>0.23326050094672576</v>
      </c>
      <c r="J60" s="16">
        <f>IF(J$24="-","-",J$24*'3h Losses'!I37)</f>
        <v>0.23885875296944717</v>
      </c>
      <c r="K60" s="16">
        <f>IF(K$24="-","-",K$24*'3h Losses'!J37)</f>
        <v>0.24920698999477203</v>
      </c>
      <c r="L60" s="16">
        <f>IF(L$24="-","-",L$24*'3h Losses'!K37)</f>
        <v>0.25369271581467795</v>
      </c>
      <c r="M60" s="16">
        <f>IF(M$24="-","-",M$24*'3h Losses'!L37)</f>
        <v>0.24906691948286352</v>
      </c>
      <c r="N60" s="16">
        <f>IF(N$24="-","-",N$24*'3h Losses'!M37)</f>
        <v>0.25771301152790904</v>
      </c>
      <c r="O60" s="16">
        <f>IF(O$24="-","-",O$24*'3h Losses'!N37)</f>
        <v>0.26337976516248923</v>
      </c>
      <c r="P60" s="29"/>
      <c r="Q60" s="16">
        <f>IF(Q$24="-","-",Q$24*'3h Losses'!P37)</f>
        <v>0.26337976516248923</v>
      </c>
      <c r="R60" s="16">
        <f>IF(R$24="-","-",R$24*'3h Losses'!Q37)</f>
        <v>0.2726044942541615</v>
      </c>
      <c r="S60" s="16">
        <f>IF(S$24="-","-",S$24*'3h Losses'!R37)</f>
        <v>0.28237458687424005</v>
      </c>
      <c r="T60" s="16">
        <f>IF(T$24="-","-",T$24*'3h Losses'!S37)</f>
        <v>0.29133156467137383</v>
      </c>
      <c r="U60" s="16">
        <f>IF(U$24="-","-",U$24*'3h Losses'!T37)</f>
        <v>0.32795848624504487</v>
      </c>
      <c r="V60" s="16">
        <f>IF(V$24="-","-",V$24*'3h Losses'!U37)</f>
        <v>0.46710478259388144</v>
      </c>
      <c r="W60" s="16">
        <f>IF(W$24="-","-",W$24*'3h Losses'!V37)</f>
        <v>0.43506752722721925</v>
      </c>
      <c r="X60" s="16">
        <f>IF(X$24="-","-",X$24*'3h Losses'!W37)</f>
        <v>0.45739625422872648</v>
      </c>
      <c r="Y60" s="29"/>
      <c r="Z60" s="16">
        <f>IF(Z$24="-","-",Z$24*'3h Losses'!Y37)</f>
        <v>0.44013826435669995</v>
      </c>
      <c r="AA60" s="16" t="str">
        <f>IF(AA$24="-","-",AA$24*'3h Losses'!Z37)</f>
        <v>-</v>
      </c>
      <c r="AB60" s="16" t="str">
        <f>IF(AB$24="-","-",AB$24*'3h Losses'!AA37)</f>
        <v>-</v>
      </c>
    </row>
    <row r="61" spans="1:28">
      <c r="A61" s="15"/>
      <c r="B61" s="310"/>
      <c r="C61" s="308"/>
      <c r="D61" s="308"/>
      <c r="E61" s="111" t="s">
        <v>148</v>
      </c>
      <c r="F61" s="318"/>
      <c r="G61" s="29"/>
      <c r="H61" s="16">
        <f>IF(H$24="-","-",H$24*'3h Losses'!G38)</f>
        <v>0.23616755728785857</v>
      </c>
      <c r="I61" s="16">
        <f>IF(I$24="-","-",I$24*'3h Losses'!H38)</f>
        <v>0.23238028144590017</v>
      </c>
      <c r="J61" s="16">
        <f>IF(J$24="-","-",J$24*'3h Losses'!I38)</f>
        <v>0.23795740820060179</v>
      </c>
      <c r="K61" s="16">
        <f>IF(K$24="-","-",K$24*'3h Losses'!J38)</f>
        <v>0.24826659566549147</v>
      </c>
      <c r="L61" s="16">
        <f>IF(L$24="-","-",L$24*'3h Losses'!K38)</f>
        <v>0.25273539438747034</v>
      </c>
      <c r="M61" s="16">
        <f>IF(M$24="-","-",M$24*'3h Losses'!L38)</f>
        <v>0.24812705371626534</v>
      </c>
      <c r="N61" s="16">
        <f>IF(N$24="-","-",N$24*'3h Losses'!M38)</f>
        <v>0.25652991549922577</v>
      </c>
      <c r="O61" s="16">
        <f>IF(O$24="-","-",O$24*'3h Losses'!N38)</f>
        <v>0.26217065448409599</v>
      </c>
      <c r="P61" s="29"/>
      <c r="Q61" s="16">
        <f>IF(Q$24="-","-",Q$24*'3h Losses'!P38)</f>
        <v>0.26217065448409599</v>
      </c>
      <c r="R61" s="16">
        <f>IF(R$24="-","-",R$24*'3h Losses'!Q38)</f>
        <v>0.2710599749018956</v>
      </c>
      <c r="S61" s="16">
        <f>IF(S$24="-","-",S$24*'3h Losses'!R38)</f>
        <v>0.28079623394505815</v>
      </c>
      <c r="T61" s="16">
        <f>IF(T$24="-","-",T$24*'3h Losses'!S38)</f>
        <v>0.28816527680267096</v>
      </c>
      <c r="U61" s="16">
        <f>IF(U$24="-","-",U$24*'3h Losses'!T38)</f>
        <v>0.32441680334945766</v>
      </c>
      <c r="V61" s="16">
        <f>IF(V$24="-","-",V$24*'3h Losses'!U38)</f>
        <v>0.46249450729434205</v>
      </c>
      <c r="W61" s="16">
        <f>IF(W$24="-","-",W$24*'3h Losses'!V38)</f>
        <v>0.43076784560141251</v>
      </c>
      <c r="X61" s="16">
        <f>IF(X$24="-","-",X$24*'3h Losses'!W38)</f>
        <v>0.45529731532635193</v>
      </c>
      <c r="Y61" s="29"/>
      <c r="Z61" s="16">
        <f>IF(Z$24="-","-",Z$24*'3h Losses'!Y38)</f>
        <v>0.43795319946769995</v>
      </c>
      <c r="AA61" s="16" t="str">
        <f>IF(AA$24="-","-",AA$24*'3h Losses'!Z38)</f>
        <v>-</v>
      </c>
      <c r="AB61" s="16" t="str">
        <f>IF(AB$24="-","-",AB$24*'3h Losses'!AA38)</f>
        <v>-</v>
      </c>
    </row>
    <row r="62" spans="1:28">
      <c r="A62" s="15"/>
      <c r="B62" s="310"/>
      <c r="C62" s="308"/>
      <c r="D62" s="308"/>
      <c r="E62" s="111" t="s">
        <v>149</v>
      </c>
      <c r="F62" s="318"/>
      <c r="G62" s="29"/>
      <c r="H62" s="16">
        <f>IF(H$24="-","-",H$24*'3h Losses'!G39)</f>
        <v>0.23243659539828693</v>
      </c>
      <c r="I62" s="16">
        <f>IF(I$24="-","-",I$24*'3h Losses'!H39)</f>
        <v>0.22870915072871273</v>
      </c>
      <c r="J62" s="16">
        <f>IF(J$24="-","-",J$24*'3h Losses'!I39)</f>
        <v>0.23419817034620183</v>
      </c>
      <c r="K62" s="16">
        <f>IF(K$24="-","-",K$24*'3h Losses'!J39)</f>
        <v>0.24434449384287477</v>
      </c>
      <c r="L62" s="16">
        <f>IF(L$24="-","-",L$24*'3h Losses'!K39)</f>
        <v>0.24874269473204655</v>
      </c>
      <c r="M62" s="16">
        <f>IF(M$24="-","-",M$24*'3h Losses'!L39)</f>
        <v>0.24420715636957471</v>
      </c>
      <c r="N62" s="16">
        <f>IF(N$24="-","-",N$24*'3h Losses'!M39)</f>
        <v>0.25353859055751321</v>
      </c>
      <c r="O62" s="16">
        <f>IF(O$24="-","-",O$24*'3h Losses'!N39)</f>
        <v>0.2591135544331441</v>
      </c>
      <c r="P62" s="29"/>
      <c r="Q62" s="16">
        <f>IF(Q$24="-","-",Q$24*'3h Losses'!P39)</f>
        <v>0.2591135544331441</v>
      </c>
      <c r="R62" s="16">
        <f>IF(R$24="-","-",R$24*'3h Losses'!Q39)</f>
        <v>0.26938575535567505</v>
      </c>
      <c r="S62" s="16">
        <f>IF(S$24="-","-",S$24*'3h Losses'!R39)</f>
        <v>0.27906549438865802</v>
      </c>
      <c r="T62" s="16">
        <f>IF(T$24="-","-",T$24*'3h Losses'!S39)</f>
        <v>0.28728752192161272</v>
      </c>
      <c r="U62" s="16">
        <f>IF(U$24="-","-",U$24*'3h Losses'!T39)</f>
        <v>0.32342628809569557</v>
      </c>
      <c r="V62" s="16">
        <f>IF(V$24="-","-",V$24*'3h Losses'!U39)</f>
        <v>0.45968668060245504</v>
      </c>
      <c r="W62" s="16">
        <f>IF(W$24="-","-",W$24*'3h Losses'!V39)</f>
        <v>0.42815323965160573</v>
      </c>
      <c r="X62" s="16">
        <f>IF(X$24="-","-",X$24*'3h Losses'!W39)</f>
        <v>0.4477936861706357</v>
      </c>
      <c r="Y62" s="29"/>
      <c r="Z62" s="16">
        <f>IF(Z$24="-","-",Z$24*'3h Losses'!Y39)</f>
        <v>0.43072853389719989</v>
      </c>
      <c r="AA62" s="16" t="str">
        <f>IF(AA$24="-","-",AA$24*'3h Losses'!Z39)</f>
        <v>-</v>
      </c>
      <c r="AB62" s="16" t="str">
        <f>IF(AB$24="-","-",AB$24*'3h Losses'!AA39)</f>
        <v>-</v>
      </c>
    </row>
    <row r="63" spans="1:28">
      <c r="A63" s="15"/>
      <c r="B63" s="310"/>
      <c r="C63" s="308"/>
      <c r="D63" s="308"/>
      <c r="E63" s="111" t="s">
        <v>150</v>
      </c>
      <c r="F63" s="318"/>
      <c r="G63" s="29"/>
      <c r="H63" s="16">
        <f>IF(H$24="-","-",H$24*'3h Losses'!G40)</f>
        <v>0.24049028895665642</v>
      </c>
      <c r="I63" s="16">
        <f>IF(I$24="-","-",I$24*'3h Losses'!H40)</f>
        <v>0.2366336920893696</v>
      </c>
      <c r="J63" s="16">
        <f>IF(J$24="-","-",J$24*'3h Losses'!I40)</f>
        <v>0.24231290069951444</v>
      </c>
      <c r="K63" s="16">
        <f>IF(K$24="-","-",K$24*'3h Losses'!J40)</f>
        <v>0.25281078407016622</v>
      </c>
      <c r="L63" s="16">
        <f>IF(L$24="-","-",L$24*'3h Losses'!K40)</f>
        <v>0.25736137818342925</v>
      </c>
      <c r="M63" s="16">
        <f>IF(M$24="-","-",M$24*'3h Losses'!L40)</f>
        <v>0.25266868799195652</v>
      </c>
      <c r="N63" s="16">
        <f>IF(N$24="-","-",N$24*'3h Losses'!M40)</f>
        <v>0.26025365716272586</v>
      </c>
      <c r="O63" s="16">
        <f>IF(O$24="-","-",O$24*'3h Losses'!N40)</f>
        <v>0.26597627609025315</v>
      </c>
      <c r="P63" s="29"/>
      <c r="Q63" s="16">
        <f>IF(Q$24="-","-",Q$24*'3h Losses'!P40)</f>
        <v>0.26597627609025315</v>
      </c>
      <c r="R63" s="16">
        <f>IF(R$24="-","-",R$24*'3h Losses'!Q40)</f>
        <v>0.27490807058108635</v>
      </c>
      <c r="S63" s="16">
        <f>IF(S$24="-","-",S$24*'3h Losses'!R40)</f>
        <v>0.28476718966720344</v>
      </c>
      <c r="T63" s="16">
        <f>IF(T$24="-","-",T$24*'3h Losses'!S40)</f>
        <v>0.29470619444540397</v>
      </c>
      <c r="U63" s="16">
        <f>IF(U$24="-","-",U$24*'3h Losses'!T40)</f>
        <v>0.33175691939879814</v>
      </c>
      <c r="V63" s="16">
        <f>IF(V$24="-","-",V$24*'3h Losses'!U40)</f>
        <v>0.47349402094597154</v>
      </c>
      <c r="W63" s="16">
        <f>IF(W$24="-","-",W$24*'3h Losses'!V40)</f>
        <v>0.44099947114063509</v>
      </c>
      <c r="X63" s="16">
        <f>IF(X$24="-","-",X$24*'3h Losses'!W40)</f>
        <v>0.46271158252300559</v>
      </c>
      <c r="Y63" s="29"/>
      <c r="Z63" s="16">
        <f>IF(Z$24="-","-",Z$24*'3h Losses'!Y40)</f>
        <v>0.4452481643533</v>
      </c>
      <c r="AA63" s="16" t="str">
        <f>IF(AA$24="-","-",AA$24*'3h Losses'!Z40)</f>
        <v>-</v>
      </c>
      <c r="AB63" s="16" t="str">
        <f>IF(AB$24="-","-",AB$24*'3h Losses'!AA40)</f>
        <v>-</v>
      </c>
    </row>
    <row r="64" spans="1:28">
      <c r="A64" s="15"/>
      <c r="B64" s="310"/>
      <c r="C64" s="308"/>
      <c r="D64" s="308"/>
      <c r="E64" s="111" t="s">
        <v>151</v>
      </c>
      <c r="F64" s="318"/>
      <c r="G64" s="29"/>
      <c r="H64" s="16">
        <f>IF(H$24="-","-",H$24*'3h Losses'!G41)</f>
        <v>0.23890290236514852</v>
      </c>
      <c r="I64" s="16">
        <f>IF(I$24="-","-",I$24*'3h Losses'!H41)</f>
        <v>0.23507176145361999</v>
      </c>
      <c r="J64" s="16">
        <f>IF(J$24="-","-",J$24*'3h Losses'!I41)</f>
        <v>0.24071348372850687</v>
      </c>
      <c r="K64" s="16">
        <f>IF(K$24="-","-",K$24*'3h Losses'!J41)</f>
        <v>0.25114207449123638</v>
      </c>
      <c r="L64" s="16">
        <f>IF(L$24="-","-",L$24*'3h Losses'!K41)</f>
        <v>0.25566263183207866</v>
      </c>
      <c r="M64" s="16">
        <f>IF(M$24="-","-",M$24*'3h Losses'!L41)</f>
        <v>0.25100091633617627</v>
      </c>
      <c r="N64" s="16">
        <f>IF(N$24="-","-",N$24*'3h Losses'!M41)</f>
        <v>0.26271887660396215</v>
      </c>
      <c r="O64" s="16">
        <f>IF(O$24="-","-",O$24*'3h Losses'!N41)</f>
        <v>0.26849570230648245</v>
      </c>
      <c r="P64" s="29"/>
      <c r="Q64" s="16">
        <f>IF(Q$24="-","-",Q$24*'3h Losses'!P41)</f>
        <v>0.26849570230648245</v>
      </c>
      <c r="R64" s="16">
        <f>IF(R$24="-","-",R$24*'3h Losses'!Q41)</f>
        <v>0.27754097352191653</v>
      </c>
      <c r="S64" s="16">
        <f>IF(S$24="-","-",S$24*'3h Losses'!R41)</f>
        <v>0.28748435411015266</v>
      </c>
      <c r="T64" s="16">
        <f>IF(T$24="-","-",T$24*'3h Losses'!S41)</f>
        <v>0.29611408640493242</v>
      </c>
      <c r="U64" s="16">
        <f>IF(U$24="-","-",U$24*'3h Losses'!T41)</f>
        <v>0.33333203960624824</v>
      </c>
      <c r="V64" s="16">
        <f>IF(V$24="-","-",V$24*'3h Losses'!U41)</f>
        <v>0.475621086248736</v>
      </c>
      <c r="W64" s="16">
        <f>IF(W$24="-","-",W$24*'3h Losses'!V41)</f>
        <v>0.44297395998486522</v>
      </c>
      <c r="X64" s="16">
        <f>IF(X$24="-","-",X$24*'3h Losses'!W41)</f>
        <v>0.46584220925025033</v>
      </c>
      <c r="Y64" s="29"/>
      <c r="Z64" s="16">
        <f>IF(Z$24="-","-",Z$24*'3h Losses'!Y41)</f>
        <v>0.44831409060479993</v>
      </c>
      <c r="AA64" s="16" t="str">
        <f>IF(AA$24="-","-",AA$24*'3h Losses'!Z41)</f>
        <v>-</v>
      </c>
      <c r="AB64" s="16" t="str">
        <f>IF(AB$24="-","-",AB$24*'3h Losses'!AA41)</f>
        <v>-</v>
      </c>
    </row>
    <row r="65" spans="1:28">
      <c r="A65" s="15"/>
      <c r="B65" s="310"/>
      <c r="C65" s="309"/>
      <c r="D65" s="309"/>
      <c r="E65" s="111" t="s">
        <v>152</v>
      </c>
      <c r="F65" s="318"/>
      <c r="G65" s="29"/>
      <c r="H65" s="16">
        <f>IF(H$24="-","-",H$24*'3h Losses'!G42)</f>
        <v>0.23960351316763673</v>
      </c>
      <c r="I65" s="16">
        <f>IF(I$24="-","-",I$24*'3h Losses'!H42)</f>
        <v>0.23576113698570378</v>
      </c>
      <c r="J65" s="16">
        <f>IF(J$24="-","-",J$24*'3h Losses'!I42)</f>
        <v>0.24141940427336067</v>
      </c>
      <c r="K65" s="16">
        <f>IF(K$24="-","-",K$24*'3h Losses'!J42)</f>
        <v>0.25187857810256098</v>
      </c>
      <c r="L65" s="16">
        <f>IF(L$24="-","-",L$24*'3h Losses'!K42)</f>
        <v>0.25641239250840708</v>
      </c>
      <c r="M65" s="16">
        <f>IF(M$24="-","-",M$24*'3h Losses'!L42)</f>
        <v>0.25173700598464266</v>
      </c>
      <c r="N65" s="16">
        <f>IF(N$24="-","-",N$24*'3h Losses'!M42)</f>
        <v>0.26229725387908037</v>
      </c>
      <c r="O65" s="16">
        <f>IF(O$24="-","-",O$24*'3h Losses'!N42)</f>
        <v>0.26806480867946619</v>
      </c>
      <c r="P65" s="29"/>
      <c r="Q65" s="16">
        <f>IF(Q$24="-","-",Q$24*'3h Losses'!P42)</f>
        <v>0.26806480867946619</v>
      </c>
      <c r="R65" s="16">
        <f>IF(R$24="-","-",R$24*'3h Losses'!Q42)</f>
        <v>0.27715397993616947</v>
      </c>
      <c r="S65" s="16">
        <f>IF(S$24="-","-",S$24*'3h Losses'!R42)</f>
        <v>0.28583237338814671</v>
      </c>
      <c r="T65" s="16">
        <f>IF(T$24="-","-",T$24*'3h Losses'!S42)</f>
        <v>0.29425377155833421</v>
      </c>
      <c r="U65" s="16">
        <f>IF(U$24="-","-",U$24*'3h Losses'!T42)</f>
        <v>0.3341967143639975</v>
      </c>
      <c r="V65" s="16">
        <f>IF(V$24="-","-",V$24*'3h Losses'!U42)</f>
        <v>0.47643692667383336</v>
      </c>
      <c r="W65" s="16">
        <f>IF(W$24="-","-",W$24*'3h Losses'!V42)</f>
        <v>0.44653499531864999</v>
      </c>
      <c r="X65" s="16">
        <f>IF(X$24="-","-",X$24*'3h Losses'!W42)</f>
        <v>0.46701865836781348</v>
      </c>
      <c r="Y65" s="29"/>
      <c r="Z65" s="16">
        <f>IF(Z$24="-","-",Z$24*'3h Losses'!Y42)</f>
        <v>0.44914720538729991</v>
      </c>
      <c r="AA65" s="16" t="str">
        <f>IF(AA$24="-","-",AA$24*'3h Losses'!Z42)</f>
        <v>-</v>
      </c>
      <c r="AB65" s="16" t="str">
        <f>IF(AB$24="-","-",AB$24*'3h Losses'!AA42)</f>
        <v>-</v>
      </c>
    </row>
    <row r="66" spans="1:28" s="15" customFormat="1"/>
    <row r="67" spans="1:28" s="15" customFormat="1"/>
    <row r="68" spans="1:28" s="15" customFormat="1" hidden="1"/>
    <row r="91" spans="5:8" s="15" customFormat="1" hidden="1"/>
    <row r="92" spans="5:8" s="15" customFormat="1" hidden="1"/>
    <row r="93" spans="5:8" hidden="1">
      <c r="E93" s="15"/>
      <c r="F93" s="15"/>
      <c r="H93" s="15"/>
    </row>
  </sheetData>
  <mergeCells count="36">
    <mergeCell ref="B32:B37"/>
    <mergeCell ref="C32:C37"/>
    <mergeCell ref="B20:B24"/>
    <mergeCell ref="H9:O9"/>
    <mergeCell ref="H33:O33"/>
    <mergeCell ref="C27:D27"/>
    <mergeCell ref="B25:B27"/>
    <mergeCell ref="F15:F27"/>
    <mergeCell ref="C26:D26"/>
    <mergeCell ref="C25:D25"/>
    <mergeCell ref="C20:D20"/>
    <mergeCell ref="C24:D24"/>
    <mergeCell ref="C23:D23"/>
    <mergeCell ref="C22:D22"/>
    <mergeCell ref="B38:B51"/>
    <mergeCell ref="D38:D65"/>
    <mergeCell ref="B3:J3"/>
    <mergeCell ref="B9:B14"/>
    <mergeCell ref="E9:E14"/>
    <mergeCell ref="H10:O10"/>
    <mergeCell ref="B15:B19"/>
    <mergeCell ref="C15:D15"/>
    <mergeCell ref="C19:D19"/>
    <mergeCell ref="C18:D18"/>
    <mergeCell ref="C17:D17"/>
    <mergeCell ref="C16:D16"/>
    <mergeCell ref="C9:D14"/>
    <mergeCell ref="F9:F10"/>
    <mergeCell ref="F32:F33"/>
    <mergeCell ref="B52:B65"/>
    <mergeCell ref="H32:O32"/>
    <mergeCell ref="D32:D37"/>
    <mergeCell ref="E32:E37"/>
    <mergeCell ref="C38:C65"/>
    <mergeCell ref="C21:D21"/>
    <mergeCell ref="F38:F65"/>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election activeCell="C9" sqref="C9:D9"/>
    </sheetView>
  </sheetViews>
  <sheetFormatPr defaultColWidth="0" defaultRowHeight="11.4" zeroHeight="1"/>
  <cols>
    <col min="1" max="1" width="5.1796875" style="57" customWidth="1"/>
    <col min="2" max="2" width="37" style="4" customWidth="1"/>
    <col min="3" max="3" width="13" style="4" customWidth="1"/>
    <col min="4" max="4" width="12" style="4" customWidth="1"/>
    <col min="5" max="5" width="9" style="57" customWidth="1"/>
    <col min="6" max="28" width="0" style="4" hidden="1" customWidth="1"/>
    <col min="29" max="16384" width="9" style="4" hidden="1"/>
  </cols>
  <sheetData>
    <row r="1" spans="2:5" s="2" customFormat="1" ht="12.75" customHeight="1">
      <c r="D1" s="40"/>
    </row>
    <row r="2" spans="2:5" s="2" customFormat="1" ht="18.75" customHeight="1">
      <c r="B2" s="41" t="s">
        <v>177</v>
      </c>
      <c r="D2" s="40"/>
    </row>
    <row r="3" spans="2:5" s="2" customFormat="1" ht="67.5" customHeight="1">
      <c r="B3" s="297" t="s">
        <v>178</v>
      </c>
      <c r="C3" s="297"/>
      <c r="D3" s="297"/>
    </row>
    <row r="4" spans="2:5" s="2" customFormat="1" ht="12.75" customHeight="1">
      <c r="D4" s="40"/>
    </row>
    <row r="5" spans="2:5" s="57" customFormat="1"/>
    <row r="6" spans="2:5" s="57" customFormat="1">
      <c r="B6" s="132" t="s">
        <v>179</v>
      </c>
    </row>
    <row r="7" spans="2:5" s="57" customFormat="1"/>
    <row r="8" spans="2:5" s="57" customFormat="1">
      <c r="B8" s="134" t="s">
        <v>180</v>
      </c>
      <c r="C8" s="324" t="s">
        <v>181</v>
      </c>
      <c r="D8" s="325"/>
    </row>
    <row r="9" spans="2:5" s="57" customFormat="1">
      <c r="B9" s="27" t="s">
        <v>137</v>
      </c>
      <c r="C9" s="322">
        <v>3.1</v>
      </c>
      <c r="D9" s="323"/>
    </row>
    <row r="10" spans="2:5" s="57" customFormat="1">
      <c r="B10" s="27" t="s">
        <v>153</v>
      </c>
      <c r="C10" s="322">
        <v>4.2</v>
      </c>
      <c r="D10" s="323"/>
    </row>
    <row r="11" spans="2:5" s="57" customFormat="1">
      <c r="B11" s="27" t="s">
        <v>154</v>
      </c>
      <c r="C11" s="322">
        <v>12</v>
      </c>
      <c r="D11" s="323"/>
    </row>
    <row r="12" spans="2:5" s="57" customFormat="1">
      <c r="B12" s="133"/>
      <c r="C12" s="64"/>
      <c r="D12" s="64"/>
    </row>
    <row r="13" spans="2:5" s="57" customFormat="1">
      <c r="B13" s="133"/>
      <c r="C13" s="64"/>
      <c r="D13" s="64"/>
    </row>
    <row r="14" spans="2:5" s="57" customFormat="1" ht="12.6">
      <c r="B14" s="86" t="s">
        <v>182</v>
      </c>
      <c r="C14" s="15"/>
      <c r="D14" s="15"/>
      <c r="E14" s="15"/>
    </row>
    <row r="15" spans="2:5" s="57" customFormat="1" ht="12.6">
      <c r="B15" s="15"/>
      <c r="C15" s="15"/>
      <c r="D15" s="15"/>
      <c r="E15" s="15"/>
    </row>
    <row r="16" spans="2:5" s="57" customFormat="1" ht="12.6">
      <c r="B16" s="134" t="s">
        <v>180</v>
      </c>
      <c r="C16" s="107" t="s">
        <v>183</v>
      </c>
      <c r="D16" s="107" t="s">
        <v>184</v>
      </c>
    </row>
    <row r="17" spans="2:4" s="57" customFormat="1" ht="12.6">
      <c r="B17" s="27" t="s">
        <v>137</v>
      </c>
      <c r="C17" s="153">
        <v>0.43239827522563951</v>
      </c>
      <c r="D17" s="153">
        <v>0.56760172477436055</v>
      </c>
    </row>
    <row r="18" spans="2:4" s="57" customFormat="1" ht="12.6">
      <c r="B18" s="27" t="s">
        <v>153</v>
      </c>
      <c r="C18" s="153">
        <v>0.39487128143182382</v>
      </c>
      <c r="D18" s="153">
        <v>0.60512871856817618</v>
      </c>
    </row>
    <row r="19" spans="2:4" s="57" customFormat="1" ht="12.6">
      <c r="B19" s="108" t="s">
        <v>154</v>
      </c>
      <c r="C19" s="153">
        <v>0.24711723243957096</v>
      </c>
      <c r="D19" s="153">
        <v>0.75288276692031531</v>
      </c>
    </row>
    <row r="20" spans="2:4" s="57" customFormat="1">
      <c r="B20" s="133"/>
      <c r="C20" s="64"/>
      <c r="D20" s="64"/>
    </row>
    <row r="21" spans="2:4" s="57" customFormat="1">
      <c r="B21" s="133"/>
      <c r="C21" s="64"/>
      <c r="D21" s="64"/>
    </row>
    <row r="22" spans="2:4" s="57" customFormat="1" hidden="1">
      <c r="B22" s="133"/>
      <c r="C22" s="64"/>
      <c r="D22" s="64"/>
    </row>
    <row r="23" spans="2:4" s="57" customFormat="1" hidden="1">
      <c r="B23" s="133"/>
      <c r="C23" s="64"/>
      <c r="D23" s="64"/>
    </row>
    <row r="24" spans="2:4" s="57" customFormat="1" hidden="1">
      <c r="B24" s="133"/>
      <c r="C24" s="64"/>
      <c r="D24" s="64"/>
    </row>
    <row r="25" spans="2:4" s="57" customFormat="1" hidden="1">
      <c r="B25" s="133"/>
      <c r="C25" s="64"/>
      <c r="D25" s="64"/>
    </row>
    <row r="26" spans="2:4" s="57" customFormat="1" hidden="1">
      <c r="B26" s="133"/>
      <c r="C26" s="64"/>
      <c r="D26" s="64"/>
    </row>
    <row r="27" spans="2:4" s="57" customFormat="1" hidden="1">
      <c r="B27" s="133"/>
      <c r="C27" s="64"/>
      <c r="D27" s="64"/>
    </row>
    <row r="28" spans="2:4" s="57" customFormat="1" hidden="1">
      <c r="B28" s="132"/>
    </row>
    <row r="29" spans="2:4" hidden="1">
      <c r="B29" s="57"/>
      <c r="C29" s="57"/>
      <c r="D29" s="57"/>
    </row>
    <row r="30" spans="2:4" hidden="1">
      <c r="B30" s="57"/>
      <c r="C30" s="57"/>
      <c r="D30" s="57"/>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C21"/>
  <sheetViews>
    <sheetView topLeftCell="O1" zoomScaleNormal="100" workbookViewId="0">
      <selection activeCell="Z13" sqref="Z13:Z14"/>
    </sheetView>
  </sheetViews>
  <sheetFormatPr defaultColWidth="0" defaultRowHeight="12.6" zeroHeight="1"/>
  <cols>
    <col min="1" max="1" width="3.6328125" customWidth="1"/>
    <col min="2" max="2" width="37.81640625" customWidth="1"/>
    <col min="3" max="3" width="35.36328125" customWidth="1"/>
    <col min="4" max="4" width="36.1796875" style="1" customWidth="1"/>
    <col min="5" max="5" width="18.7265625" customWidth="1"/>
    <col min="6" max="6" width="26.453125" customWidth="1"/>
    <col min="7" max="7" width="1.453125" customWidth="1"/>
    <col min="8" max="8" width="15" customWidth="1"/>
    <col min="9" max="9" width="11.7265625" customWidth="1"/>
    <col min="10" max="10" width="14.1796875" customWidth="1"/>
    <col min="11" max="11" width="12" customWidth="1"/>
    <col min="12" max="12" width="15.453125" customWidth="1"/>
    <col min="13" max="15" width="15.6328125" customWidth="1"/>
    <col min="16" max="16" width="1.453125" customWidth="1"/>
    <col min="17" max="24" width="15.6328125" customWidth="1"/>
    <col min="25" max="25" width="1.453125" customWidth="1"/>
    <col min="26" max="28" width="15.6328125" customWidth="1"/>
    <col min="29" max="29" width="9" customWidth="1"/>
  </cols>
  <sheetData>
    <row r="1" spans="1:29" s="2" customFormat="1" ht="12.75" customHeight="1">
      <c r="D1" s="40"/>
    </row>
    <row r="2" spans="1:29" s="2" customFormat="1" ht="18.75" customHeight="1">
      <c r="B2" s="41" t="s">
        <v>185</v>
      </c>
      <c r="D2" s="40"/>
    </row>
    <row r="3" spans="1:29" s="2" customFormat="1" ht="12.75" customHeight="1">
      <c r="B3" s="2" t="s">
        <v>186</v>
      </c>
      <c r="D3" s="40"/>
    </row>
    <row r="4" spans="1:29" s="2" customFormat="1" ht="12.75" customHeight="1">
      <c r="D4" s="40"/>
    </row>
    <row r="5" spans="1:29" s="15" customFormat="1" ht="12.75" customHeight="1">
      <c r="D5" s="58"/>
      <c r="G5" s="57"/>
      <c r="H5" s="57"/>
      <c r="I5" s="57"/>
      <c r="J5" s="57"/>
      <c r="K5" s="57"/>
      <c r="L5" s="57"/>
      <c r="M5" s="57"/>
      <c r="N5" s="57"/>
      <c r="O5" s="57"/>
      <c r="P5" s="57"/>
      <c r="Q5" s="57"/>
      <c r="Y5" s="57"/>
    </row>
    <row r="6" spans="1:29" ht="12.75" customHeight="1">
      <c r="A6" s="15"/>
      <c r="B6" s="287" t="s">
        <v>27</v>
      </c>
      <c r="C6" s="341" t="s">
        <v>43</v>
      </c>
      <c r="D6" s="342" t="s">
        <v>187</v>
      </c>
      <c r="E6" s="341" t="s">
        <v>79</v>
      </c>
      <c r="F6" s="301"/>
      <c r="G6" s="29"/>
      <c r="H6" s="302" t="s">
        <v>80</v>
      </c>
      <c r="I6" s="303"/>
      <c r="J6" s="303"/>
      <c r="K6" s="303"/>
      <c r="L6" s="303"/>
      <c r="M6" s="303"/>
      <c r="N6" s="303"/>
      <c r="O6" s="304"/>
      <c r="P6" s="139"/>
      <c r="Q6" s="248" t="s">
        <v>81</v>
      </c>
      <c r="R6" s="249"/>
      <c r="S6" s="249"/>
      <c r="T6" s="249"/>
      <c r="U6" s="249"/>
      <c r="V6" s="249"/>
      <c r="W6" s="249"/>
      <c r="X6" s="249"/>
      <c r="Y6" s="38"/>
      <c r="Z6" s="249"/>
      <c r="AA6" s="249"/>
      <c r="AB6" s="250"/>
      <c r="AC6" s="15"/>
    </row>
    <row r="7" spans="1:29"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38"/>
      <c r="Z7" s="252"/>
      <c r="AA7" s="252"/>
      <c r="AB7" s="253"/>
      <c r="AC7" s="15"/>
    </row>
    <row r="8" spans="1:29" ht="25.5" customHeight="1">
      <c r="A8" s="15"/>
      <c r="B8" s="287"/>
      <c r="C8" s="341"/>
      <c r="D8" s="342"/>
      <c r="E8" s="341"/>
      <c r="F8" s="55" t="s">
        <v>84</v>
      </c>
      <c r="G8" s="29"/>
      <c r="H8" s="34" t="s">
        <v>85</v>
      </c>
      <c r="I8" s="34" t="s">
        <v>86</v>
      </c>
      <c r="J8" s="34" t="s">
        <v>87</v>
      </c>
      <c r="K8" s="34" t="s">
        <v>88</v>
      </c>
      <c r="L8" s="34" t="s">
        <v>89</v>
      </c>
      <c r="M8" s="35" t="s">
        <v>90</v>
      </c>
      <c r="N8" s="34" t="s">
        <v>91</v>
      </c>
      <c r="O8" s="34" t="s">
        <v>92</v>
      </c>
      <c r="P8" s="38"/>
      <c r="Q8" s="30" t="s">
        <v>93</v>
      </c>
      <c r="R8" s="30" t="s">
        <v>94</v>
      </c>
      <c r="S8" s="30" t="s">
        <v>95</v>
      </c>
      <c r="T8" s="36" t="s">
        <v>96</v>
      </c>
      <c r="U8" s="30" t="s">
        <v>97</v>
      </c>
      <c r="V8" s="30" t="s">
        <v>98</v>
      </c>
      <c r="W8" s="30" t="s">
        <v>99</v>
      </c>
      <c r="X8" s="30" t="s">
        <v>100</v>
      </c>
      <c r="Y8" s="38"/>
      <c r="Z8" s="30" t="s">
        <v>101</v>
      </c>
      <c r="AA8" s="30" t="s">
        <v>102</v>
      </c>
      <c r="AB8" s="30" t="s">
        <v>103</v>
      </c>
      <c r="AC8" s="15"/>
    </row>
    <row r="9" spans="1:29"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12.75"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38"/>
      <c r="Q10" s="32" t="s">
        <v>115</v>
      </c>
      <c r="R10" s="32" t="s">
        <v>116</v>
      </c>
      <c r="S10" s="32" t="s">
        <v>117</v>
      </c>
      <c r="T10" s="37" t="s">
        <v>118</v>
      </c>
      <c r="U10" s="32" t="s">
        <v>119</v>
      </c>
      <c r="V10" s="32" t="s">
        <v>120</v>
      </c>
      <c r="W10" s="32" t="s">
        <v>121</v>
      </c>
      <c r="X10" s="32" t="s">
        <v>122</v>
      </c>
      <c r="Y10" s="38"/>
      <c r="Z10" s="32" t="s">
        <v>123</v>
      </c>
      <c r="AA10" s="32" t="s">
        <v>124</v>
      </c>
      <c r="AB10" s="32" t="s">
        <v>125</v>
      </c>
      <c r="AC10" s="15"/>
    </row>
    <row r="11" spans="1:29" ht="12.75" customHeight="1">
      <c r="A11" s="15"/>
      <c r="B11" s="287"/>
      <c r="C11" s="341"/>
      <c r="D11" s="342"/>
      <c r="E11" s="341"/>
      <c r="F11" s="56" t="s">
        <v>188</v>
      </c>
      <c r="G11" s="29"/>
      <c r="H11" s="30" t="s">
        <v>127</v>
      </c>
      <c r="I11" s="30" t="s">
        <v>127</v>
      </c>
      <c r="J11" s="30" t="s">
        <v>128</v>
      </c>
      <c r="K11" s="30" t="s">
        <v>128</v>
      </c>
      <c r="L11" s="30" t="s">
        <v>129</v>
      </c>
      <c r="M11" s="31" t="s">
        <v>129</v>
      </c>
      <c r="N11" s="30" t="s">
        <v>130</v>
      </c>
      <c r="O11" s="30" t="s">
        <v>130</v>
      </c>
      <c r="P11" s="38"/>
      <c r="Q11" s="30" t="s">
        <v>131</v>
      </c>
      <c r="R11" s="30" t="s">
        <v>132</v>
      </c>
      <c r="S11" s="30" t="s">
        <v>132</v>
      </c>
      <c r="T11" s="36" t="s">
        <v>133</v>
      </c>
      <c r="U11" s="30" t="s">
        <v>133</v>
      </c>
      <c r="V11" s="30" t="s">
        <v>134</v>
      </c>
      <c r="W11" s="30" t="s">
        <v>134</v>
      </c>
      <c r="X11" s="30" t="s">
        <v>135</v>
      </c>
      <c r="Y11" s="38"/>
      <c r="Z11" s="30" t="s">
        <v>135</v>
      </c>
      <c r="AA11" s="30" t="s">
        <v>136</v>
      </c>
      <c r="AB11" s="30" t="s">
        <v>136</v>
      </c>
      <c r="AC11" s="15"/>
    </row>
    <row r="12" spans="1:29" s="54" customFormat="1">
      <c r="A12" s="15"/>
      <c r="B12" s="339" t="s">
        <v>55</v>
      </c>
      <c r="C12" s="340"/>
      <c r="D12" s="340"/>
      <c r="E12" s="340"/>
      <c r="F12" s="340"/>
      <c r="G12" s="53"/>
      <c r="H12" s="49"/>
      <c r="I12" s="49"/>
      <c r="J12" s="49"/>
      <c r="K12" s="49"/>
      <c r="L12" s="49"/>
      <c r="M12" s="50"/>
      <c r="N12" s="49"/>
      <c r="O12" s="49"/>
      <c r="P12" s="53"/>
      <c r="Q12" s="49"/>
      <c r="R12" s="49"/>
      <c r="S12" s="49"/>
      <c r="T12" s="51"/>
      <c r="U12" s="49"/>
      <c r="V12" s="49"/>
      <c r="W12" s="49"/>
      <c r="X12" s="49"/>
      <c r="Y12" s="53"/>
      <c r="Z12" s="49"/>
      <c r="AA12" s="49"/>
      <c r="AB12" s="49"/>
      <c r="AC12" s="15"/>
    </row>
    <row r="13" spans="1:29" s="4" customFormat="1" ht="37.5" customHeight="1">
      <c r="A13" s="57"/>
      <c r="B13" s="27" t="s">
        <v>189</v>
      </c>
      <c r="C13" s="27"/>
      <c r="D13" s="83" t="s">
        <v>190</v>
      </c>
      <c r="E13" s="3" t="s">
        <v>191</v>
      </c>
      <c r="F13" s="20"/>
      <c r="G13" s="29"/>
      <c r="H13" s="39">
        <v>0.28999999999999998</v>
      </c>
      <c r="I13" s="39">
        <v>0.28999999999999998</v>
      </c>
      <c r="J13" s="39">
        <v>0.34799999999999998</v>
      </c>
      <c r="K13" s="39">
        <v>0.34799999999999998</v>
      </c>
      <c r="L13" s="39">
        <v>0.40899999999999997</v>
      </c>
      <c r="M13" s="39">
        <v>0.40899999999999997</v>
      </c>
      <c r="N13" s="39">
        <v>0.46800000000000003</v>
      </c>
      <c r="O13" s="39">
        <v>0.46800000000000003</v>
      </c>
      <c r="P13" s="38"/>
      <c r="Q13" s="39">
        <v>0.46800000000000003</v>
      </c>
      <c r="R13" s="39">
        <v>0.48399999999999999</v>
      </c>
      <c r="S13" s="39">
        <v>0.48399999999999999</v>
      </c>
      <c r="T13" s="39">
        <v>0.47099999999999997</v>
      </c>
      <c r="U13" s="39">
        <v>0.47099999999999997</v>
      </c>
      <c r="V13" s="39">
        <v>0.49199999999999999</v>
      </c>
      <c r="W13" s="39">
        <v>0.49199999999999999</v>
      </c>
      <c r="X13" s="224">
        <v>0.49099999999999999</v>
      </c>
      <c r="Y13" s="38"/>
      <c r="Z13" s="263">
        <v>0.49099999999999999</v>
      </c>
      <c r="AA13" s="84"/>
      <c r="AB13" s="84"/>
      <c r="AC13" s="57"/>
    </row>
    <row r="14" spans="1:29" s="4" customFormat="1" ht="12.75" customHeight="1">
      <c r="A14" s="57"/>
      <c r="B14" s="27" t="s">
        <v>192</v>
      </c>
      <c r="C14" s="27"/>
      <c r="D14" s="83" t="s">
        <v>193</v>
      </c>
      <c r="E14" s="3" t="s">
        <v>194</v>
      </c>
      <c r="F14" s="20"/>
      <c r="G14" s="29"/>
      <c r="H14" s="237"/>
      <c r="I14" s="39">
        <v>44.33</v>
      </c>
      <c r="J14" s="237"/>
      <c r="K14" s="39">
        <v>44.77</v>
      </c>
      <c r="L14" s="237"/>
      <c r="M14" s="152">
        <v>45.58</v>
      </c>
      <c r="N14" s="237"/>
      <c r="O14" s="152">
        <v>47.22</v>
      </c>
      <c r="P14" s="38"/>
      <c r="Q14" s="84">
        <v>47.22</v>
      </c>
      <c r="R14" s="234"/>
      <c r="S14" s="84">
        <v>48.78</v>
      </c>
      <c r="T14" s="234"/>
      <c r="U14" s="84">
        <v>50.05</v>
      </c>
      <c r="V14" s="234"/>
      <c r="W14" s="84">
        <v>50.8</v>
      </c>
      <c r="X14" s="234"/>
      <c r="Y14" s="38"/>
      <c r="Z14" s="264">
        <v>52.88</v>
      </c>
      <c r="AA14" s="234"/>
      <c r="AB14" s="84"/>
      <c r="AC14" s="57"/>
    </row>
    <row r="15" spans="1:29" s="4" customFormat="1" ht="15.75" customHeight="1">
      <c r="A15" s="57"/>
      <c r="B15" s="27" t="s">
        <v>195</v>
      </c>
      <c r="C15" s="334" t="s">
        <v>196</v>
      </c>
      <c r="D15" s="83" t="s">
        <v>193</v>
      </c>
      <c r="E15" s="3" t="s">
        <v>194</v>
      </c>
      <c r="F15" s="20"/>
      <c r="G15" s="29"/>
      <c r="H15" s="39">
        <v>43.3</v>
      </c>
      <c r="I15" s="331"/>
      <c r="J15" s="39">
        <v>44.33</v>
      </c>
      <c r="K15" s="331"/>
      <c r="L15" s="152">
        <v>44.77</v>
      </c>
      <c r="M15" s="333"/>
      <c r="N15" s="152">
        <v>45.58</v>
      </c>
      <c r="O15" s="333"/>
      <c r="P15" s="38"/>
      <c r="Q15" s="329"/>
      <c r="R15" s="84">
        <v>47.22</v>
      </c>
      <c r="S15" s="329"/>
      <c r="T15" s="84">
        <v>48.78</v>
      </c>
      <c r="U15" s="329"/>
      <c r="V15" s="84">
        <v>50.05</v>
      </c>
      <c r="W15" s="329"/>
      <c r="X15" s="224">
        <v>50.8</v>
      </c>
      <c r="Y15" s="38"/>
      <c r="Z15" s="329"/>
      <c r="AA15" s="84"/>
      <c r="AB15" s="329"/>
      <c r="AC15" s="57"/>
    </row>
    <row r="16" spans="1:29" s="4" customFormat="1" ht="40.5" customHeight="1">
      <c r="A16" s="57"/>
      <c r="B16" s="27" t="s">
        <v>197</v>
      </c>
      <c r="C16" s="335"/>
      <c r="D16" s="211" t="s">
        <v>198</v>
      </c>
      <c r="E16" s="3" t="s">
        <v>199</v>
      </c>
      <c r="F16" s="20"/>
      <c r="G16" s="29"/>
      <c r="H16" s="39">
        <v>2.4</v>
      </c>
      <c r="I16" s="332"/>
      <c r="J16" s="39">
        <v>1</v>
      </c>
      <c r="K16" s="332"/>
      <c r="L16" s="152">
        <v>1.8</v>
      </c>
      <c r="M16" s="333"/>
      <c r="N16" s="152">
        <v>3.61550142440539</v>
      </c>
      <c r="O16" s="333"/>
      <c r="P16" s="38"/>
      <c r="Q16" s="330"/>
      <c r="R16" s="152">
        <v>3.4573147368175512</v>
      </c>
      <c r="S16" s="330"/>
      <c r="T16" s="152">
        <v>2.9468020743471799</v>
      </c>
      <c r="U16" s="330"/>
      <c r="V16" s="152">
        <v>1.4580811980609454</v>
      </c>
      <c r="W16" s="330"/>
      <c r="X16" s="152">
        <v>3.5810937849055202</v>
      </c>
      <c r="Y16" s="38"/>
      <c r="Z16" s="330"/>
      <c r="AA16" s="85"/>
      <c r="AB16" s="330"/>
      <c r="AC16" s="57"/>
    </row>
    <row r="17" spans="1:29" s="54" customFormat="1">
      <c r="A17" s="15"/>
      <c r="B17" s="339" t="s">
        <v>51</v>
      </c>
      <c r="C17" s="340"/>
      <c r="D17" s="340"/>
      <c r="E17" s="340"/>
      <c r="F17" s="340"/>
      <c r="G17" s="53"/>
      <c r="H17" s="49"/>
      <c r="I17" s="49"/>
      <c r="J17" s="49"/>
      <c r="K17" s="49"/>
      <c r="L17" s="49"/>
      <c r="M17" s="50"/>
      <c r="N17" s="49"/>
      <c r="O17" s="49"/>
      <c r="P17" s="53"/>
      <c r="Q17" s="49"/>
      <c r="R17" s="49"/>
      <c r="S17" s="49"/>
      <c r="T17" s="51"/>
      <c r="U17" s="49"/>
      <c r="V17" s="49"/>
      <c r="W17" s="49"/>
      <c r="X17" s="49"/>
      <c r="Y17" s="53"/>
      <c r="Z17" s="49"/>
      <c r="AA17" s="49"/>
      <c r="AB17" s="49"/>
      <c r="AC17" s="15"/>
    </row>
    <row r="18" spans="1:29" ht="12.75" customHeight="1">
      <c r="A18" s="15"/>
      <c r="B18" s="336" t="s">
        <v>200</v>
      </c>
      <c r="C18" s="337"/>
      <c r="D18" s="338"/>
      <c r="E18" s="3" t="s">
        <v>194</v>
      </c>
      <c r="F18" s="20"/>
      <c r="G18" s="29"/>
      <c r="H18" s="5">
        <f>IF(H15="","",H15*(1+H16/100))</f>
        <v>44.339199999999998</v>
      </c>
      <c r="I18" s="5" t="str">
        <f>IF(I15="","",I15*(1+I16/100))</f>
        <v/>
      </c>
      <c r="J18" s="5">
        <f t="shared" ref="J18:AB18" si="0">IF(J15="","",J15*(1+J16/100))</f>
        <v>44.773299999999999</v>
      </c>
      <c r="K18" s="5" t="str">
        <f t="shared" si="0"/>
        <v/>
      </c>
      <c r="L18" s="5">
        <f t="shared" si="0"/>
        <v>45.575860000000006</v>
      </c>
      <c r="M18" s="5" t="str">
        <f t="shared" si="0"/>
        <v/>
      </c>
      <c r="N18" s="5">
        <f>IF(N15="","",N15*(1+N16/100))</f>
        <v>47.227945549243977</v>
      </c>
      <c r="O18" s="5" t="str">
        <f t="shared" si="0"/>
        <v/>
      </c>
      <c r="P18" s="38"/>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8"/>
      <c r="Z18" s="5" t="str">
        <f t="shared" si="0"/>
        <v/>
      </c>
      <c r="AA18" s="5" t="str">
        <f t="shared" si="0"/>
        <v/>
      </c>
      <c r="AB18" s="5" t="str">
        <f t="shared" si="0"/>
        <v/>
      </c>
      <c r="AC18" s="15"/>
    </row>
    <row r="19" spans="1:29" ht="12.75" customHeight="1">
      <c r="A19" s="15"/>
      <c r="B19" s="326" t="s">
        <v>201</v>
      </c>
      <c r="C19" s="327"/>
      <c r="D19" s="328"/>
      <c r="E19" s="12" t="s">
        <v>160</v>
      </c>
      <c r="F19" s="20"/>
      <c r="G19" s="29"/>
      <c r="H19" s="5">
        <f t="shared" ref="H19:O19" si="1">IF(H13="","-",IF(H18="",H14*H13,H18*H13))</f>
        <v>12.858367999999999</v>
      </c>
      <c r="I19" s="5">
        <f>IF(I13="","-",IF(I18="",I14*I13,I18*I13))</f>
        <v>12.855699999999999</v>
      </c>
      <c r="J19" s="5">
        <f t="shared" si="1"/>
        <v>15.581108399999998</v>
      </c>
      <c r="K19" s="5">
        <f t="shared" si="1"/>
        <v>15.57996</v>
      </c>
      <c r="L19" s="5">
        <f t="shared" si="1"/>
        <v>18.640526740000002</v>
      </c>
      <c r="M19" s="5">
        <f t="shared" si="1"/>
        <v>18.642219999999998</v>
      </c>
      <c r="N19" s="5">
        <f>IF(N13="","-",IF(N18="",N14*N13,N18*N13))</f>
        <v>22.102678517046183</v>
      </c>
      <c r="O19" s="5">
        <f t="shared" si="1"/>
        <v>22.098960000000002</v>
      </c>
      <c r="P19" s="38"/>
      <c r="Q19" s="5">
        <f t="shared" ref="Q19:AB19" si="2">IF(Q13="","-",IF(Q18="",Q14*Q13,Q18*Q13))</f>
        <v>22.098960000000002</v>
      </c>
      <c r="R19" s="5">
        <f t="shared" si="2"/>
        <v>23.644631305063015</v>
      </c>
      <c r="S19" s="5">
        <f>IF(S13="","-",IF(S18="",S14*S13,S18*S13))</f>
        <v>23.60952</v>
      </c>
      <c r="T19" s="5">
        <f t="shared" si="2"/>
        <v>23.652418974429146</v>
      </c>
      <c r="U19" s="5">
        <f t="shared" si="2"/>
        <v>23.573549999999997</v>
      </c>
      <c r="V19" s="5">
        <f t="shared" si="2"/>
        <v>24.983646662697712</v>
      </c>
      <c r="W19" s="5">
        <f t="shared" si="2"/>
        <v>24.993599999999997</v>
      </c>
      <c r="X19" s="5">
        <f t="shared" si="2"/>
        <v>25.836025060581413</v>
      </c>
      <c r="Y19" s="38"/>
      <c r="Z19" s="5">
        <f t="shared" si="2"/>
        <v>25.964079999999999</v>
      </c>
      <c r="AA19" s="5" t="str">
        <f t="shared" si="2"/>
        <v>-</v>
      </c>
      <c r="AB19" s="5" t="str">
        <f t="shared" si="2"/>
        <v>-</v>
      </c>
      <c r="AC19" s="15"/>
    </row>
    <row r="20" spans="1:29" s="15" customFormat="1" ht="12.75" customHeight="1">
      <c r="B20" s="61"/>
      <c r="C20" s="61"/>
      <c r="D20" s="62"/>
      <c r="E20" s="63"/>
      <c r="F20" s="57"/>
      <c r="G20" s="57"/>
      <c r="H20" s="57"/>
      <c r="I20" s="57"/>
      <c r="J20" s="57"/>
      <c r="K20" s="57"/>
      <c r="L20" s="57"/>
      <c r="M20" s="57"/>
      <c r="N20" s="57"/>
      <c r="O20" s="57"/>
      <c r="P20" s="57"/>
      <c r="Q20" s="57"/>
      <c r="R20" s="64"/>
      <c r="U20" s="64"/>
      <c r="X20" s="64"/>
      <c r="Y20" s="57"/>
      <c r="AA20" s="64"/>
    </row>
    <row r="21" spans="1:29" s="15" customFormat="1" ht="12.75" customHeight="1">
      <c r="B21" s="65"/>
      <c r="C21" s="61"/>
      <c r="D21" s="62"/>
      <c r="E21" s="63"/>
      <c r="F21" s="57"/>
      <c r="G21" s="57"/>
      <c r="H21" s="57"/>
      <c r="I21" s="57"/>
      <c r="J21" s="57"/>
      <c r="K21" s="57"/>
      <c r="L21" s="57"/>
      <c r="M21" s="57"/>
      <c r="N21" s="57"/>
      <c r="O21" s="57"/>
      <c r="P21" s="57"/>
      <c r="Q21" s="57"/>
      <c r="R21" s="64"/>
      <c r="U21" s="64"/>
      <c r="X21" s="64"/>
      <c r="Y21" s="57"/>
      <c r="AA21" s="64"/>
    </row>
  </sheetData>
  <mergeCells count="22">
    <mergeCell ref="H6:O6"/>
    <mergeCell ref="C15:C16"/>
    <mergeCell ref="B18:D18"/>
    <mergeCell ref="B12:F12"/>
    <mergeCell ref="B17:F17"/>
    <mergeCell ref="B6:B11"/>
    <mergeCell ref="C6:C11"/>
    <mergeCell ref="D6:D11"/>
    <mergeCell ref="E6:E11"/>
    <mergeCell ref="F6:F7"/>
    <mergeCell ref="AB15:AB16"/>
    <mergeCell ref="Z15:Z16"/>
    <mergeCell ref="W15:W16"/>
    <mergeCell ref="H7:O7"/>
    <mergeCell ref="M15:M16"/>
    <mergeCell ref="B19:D19"/>
    <mergeCell ref="U15:U16"/>
    <mergeCell ref="I15:I16"/>
    <mergeCell ref="K15:K16"/>
    <mergeCell ref="S15:S16"/>
    <mergeCell ref="Q15:Q16"/>
    <mergeCell ref="O15:O16"/>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L1" zoomScale="80" zoomScaleNormal="80" workbookViewId="0">
      <selection activeCell="X18" sqref="X18"/>
    </sheetView>
  </sheetViews>
  <sheetFormatPr defaultColWidth="0" defaultRowHeight="12.6" zeroHeight="1"/>
  <cols>
    <col min="1" max="1" width="3" customWidth="1"/>
    <col min="2" max="3" width="30.453125" customWidth="1"/>
    <col min="4" max="4" width="36" customWidth="1"/>
    <col min="5" max="5" width="12.1796875" customWidth="1"/>
    <col min="6" max="6" width="25.453125" customWidth="1"/>
    <col min="7" max="7" width="1.453125" customWidth="1"/>
    <col min="8" max="15" width="15.6328125" customWidth="1"/>
    <col min="16" max="16" width="1.453125" customWidth="1"/>
    <col min="17" max="27" width="15.6328125" customWidth="1"/>
    <col min="28" max="29" width="9" customWidth="1"/>
    <col min="16383" max="16384" width="9" hidden="1"/>
  </cols>
  <sheetData>
    <row r="1" spans="1:30" s="2" customFormat="1" ht="12.75" customHeight="1">
      <c r="F1" s="40"/>
    </row>
    <row r="2" spans="1:30" s="2" customFormat="1" ht="18.75" customHeight="1">
      <c r="B2" s="41" t="s">
        <v>202</v>
      </c>
      <c r="C2" s="41"/>
      <c r="D2" s="41"/>
      <c r="F2" s="40"/>
    </row>
    <row r="3" spans="1:30" s="2" customFormat="1" ht="42" customHeight="1">
      <c r="B3" s="343" t="s">
        <v>203</v>
      </c>
      <c r="C3" s="343"/>
      <c r="D3" s="343"/>
      <c r="E3" s="343"/>
      <c r="F3" s="343"/>
      <c r="G3" s="343"/>
      <c r="H3" s="40"/>
      <c r="I3" s="40"/>
      <c r="J3" s="40"/>
      <c r="K3" s="40"/>
      <c r="L3" s="40"/>
      <c r="M3" s="40"/>
      <c r="N3" s="40"/>
      <c r="O3" s="40"/>
      <c r="P3" s="40"/>
      <c r="Q3" s="40"/>
      <c r="R3" s="40"/>
      <c r="S3" s="40"/>
      <c r="T3" s="40"/>
      <c r="U3" s="40"/>
    </row>
    <row r="4" spans="1:30" s="2" customFormat="1" ht="12.75" customHeight="1">
      <c r="F4" s="40"/>
    </row>
    <row r="5" spans="1:30" s="15" customFormat="1">
      <c r="G5" s="57"/>
      <c r="P5" s="57"/>
    </row>
    <row r="6" spans="1:30" ht="12.75" customHeight="1">
      <c r="A6" s="15"/>
      <c r="B6" s="287" t="s">
        <v>27</v>
      </c>
      <c r="C6" s="341" t="s">
        <v>43</v>
      </c>
      <c r="D6" s="342" t="s">
        <v>187</v>
      </c>
      <c r="E6" s="341" t="s">
        <v>79</v>
      </c>
      <c r="F6" s="301"/>
      <c r="G6" s="29"/>
      <c r="H6" s="302" t="s">
        <v>80</v>
      </c>
      <c r="I6" s="303"/>
      <c r="J6" s="303"/>
      <c r="K6" s="303"/>
      <c r="L6" s="303"/>
      <c r="M6" s="303"/>
      <c r="N6" s="303"/>
      <c r="O6" s="304"/>
      <c r="P6" s="139"/>
      <c r="Q6" s="349" t="s">
        <v>81</v>
      </c>
      <c r="R6" s="350"/>
      <c r="S6" s="350"/>
      <c r="T6" s="350"/>
      <c r="U6" s="350"/>
      <c r="V6" s="350"/>
      <c r="W6" s="350"/>
      <c r="X6" s="350"/>
      <c r="Y6" s="350"/>
      <c r="Z6" s="350"/>
      <c r="AA6" s="351"/>
      <c r="AB6" s="15"/>
      <c r="AC6" s="15"/>
      <c r="AD6" s="15"/>
    </row>
    <row r="7" spans="1:30" ht="12.75" customHeight="1">
      <c r="A7" s="15"/>
      <c r="B7" s="287"/>
      <c r="C7" s="341"/>
      <c r="D7" s="342"/>
      <c r="E7" s="341"/>
      <c r="F7" s="301"/>
      <c r="G7" s="29"/>
      <c r="H7" s="288" t="s">
        <v>82</v>
      </c>
      <c r="I7" s="289"/>
      <c r="J7" s="289"/>
      <c r="K7" s="289"/>
      <c r="L7" s="289"/>
      <c r="M7" s="289"/>
      <c r="N7" s="289"/>
      <c r="O7" s="290"/>
      <c r="P7" s="139"/>
      <c r="Q7" s="352" t="s">
        <v>83</v>
      </c>
      <c r="R7" s="353"/>
      <c r="S7" s="353"/>
      <c r="T7" s="353"/>
      <c r="U7" s="353"/>
      <c r="V7" s="353"/>
      <c r="W7" s="353"/>
      <c r="X7" s="353"/>
      <c r="Y7" s="353"/>
      <c r="Z7" s="353"/>
      <c r="AA7" s="354"/>
      <c r="AB7" s="15"/>
      <c r="AC7" s="15"/>
      <c r="AD7" s="15"/>
    </row>
    <row r="8" spans="1:30" s="15" customFormat="1" ht="25.2" customHeight="1">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30" t="s">
        <v>157</v>
      </c>
      <c r="Z8" s="30" t="s">
        <v>158</v>
      </c>
      <c r="AA8" s="30" t="s">
        <v>103</v>
      </c>
    </row>
    <row r="9" spans="1:30" s="15" customFormat="1" ht="12.6" customHeight="1">
      <c r="B9" s="287"/>
      <c r="C9" s="341"/>
      <c r="D9" s="342"/>
      <c r="E9" s="341"/>
      <c r="F9" s="55" t="s">
        <v>106</v>
      </c>
      <c r="G9" s="29"/>
      <c r="H9" s="32" t="s">
        <v>107</v>
      </c>
      <c r="I9" s="32" t="s">
        <v>108</v>
      </c>
      <c r="J9" s="32" t="s">
        <v>109</v>
      </c>
      <c r="K9" s="32" t="s">
        <v>110</v>
      </c>
      <c r="L9" s="32" t="s">
        <v>111</v>
      </c>
      <c r="M9" s="33" t="s">
        <v>112</v>
      </c>
      <c r="N9" s="32" t="s">
        <v>113</v>
      </c>
      <c r="O9" s="32" t="s">
        <v>114</v>
      </c>
      <c r="P9" s="29"/>
      <c r="Q9" s="32" t="s">
        <v>115</v>
      </c>
      <c r="R9" s="32" t="s">
        <v>116</v>
      </c>
      <c r="S9" s="32" t="s">
        <v>117</v>
      </c>
      <c r="T9" s="37" t="s">
        <v>118</v>
      </c>
      <c r="U9" s="32" t="s">
        <v>119</v>
      </c>
      <c r="V9" s="32" t="s">
        <v>120</v>
      </c>
      <c r="W9" s="32" t="s">
        <v>121</v>
      </c>
      <c r="X9" s="32" t="s">
        <v>122</v>
      </c>
      <c r="Y9" s="32" t="s">
        <v>123</v>
      </c>
      <c r="Z9" s="32" t="s">
        <v>124</v>
      </c>
      <c r="AA9" s="32" t="s">
        <v>125</v>
      </c>
    </row>
    <row r="10" spans="1:30" s="15" customFormat="1" ht="12.75" customHeight="1">
      <c r="B10" s="287"/>
      <c r="C10" s="341"/>
      <c r="D10" s="342"/>
      <c r="E10" s="341"/>
      <c r="F10" s="56" t="s">
        <v>204</v>
      </c>
      <c r="G10" s="29"/>
      <c r="H10" s="30" t="s">
        <v>127</v>
      </c>
      <c r="I10" s="30" t="s">
        <v>127</v>
      </c>
      <c r="J10" s="30" t="s">
        <v>128</v>
      </c>
      <c r="K10" s="30" t="s">
        <v>128</v>
      </c>
      <c r="L10" s="30" t="s">
        <v>129</v>
      </c>
      <c r="M10" s="31" t="s">
        <v>129</v>
      </c>
      <c r="N10" s="30" t="s">
        <v>130</v>
      </c>
      <c r="O10" s="30" t="s">
        <v>130</v>
      </c>
      <c r="P10" s="29"/>
      <c r="Q10" s="30" t="s">
        <v>131</v>
      </c>
      <c r="R10" s="30" t="s">
        <v>132</v>
      </c>
      <c r="S10" s="30" t="s">
        <v>132</v>
      </c>
      <c r="T10" s="36" t="s">
        <v>133</v>
      </c>
      <c r="U10" s="30" t="s">
        <v>133</v>
      </c>
      <c r="V10" s="30" t="s">
        <v>134</v>
      </c>
      <c r="W10" s="30" t="s">
        <v>134</v>
      </c>
      <c r="X10" s="30" t="s">
        <v>135</v>
      </c>
      <c r="Y10" s="30" t="s">
        <v>135</v>
      </c>
      <c r="Z10" s="30" t="s">
        <v>136</v>
      </c>
      <c r="AA10" s="30" t="s">
        <v>136</v>
      </c>
    </row>
    <row r="11" spans="1:30" s="15" customFormat="1">
      <c r="B11" s="339" t="s">
        <v>55</v>
      </c>
      <c r="C11" s="340"/>
      <c r="D11" s="340"/>
      <c r="E11" s="340"/>
      <c r="F11" s="340"/>
      <c r="G11" s="29"/>
      <c r="H11" s="49"/>
      <c r="I11" s="49"/>
      <c r="J11" s="49"/>
      <c r="K11" s="49"/>
      <c r="L11" s="49"/>
      <c r="M11" s="50"/>
      <c r="N11" s="49"/>
      <c r="O11" s="49"/>
      <c r="P11" s="29"/>
      <c r="Q11" s="49"/>
      <c r="R11" s="49"/>
      <c r="S11" s="49"/>
      <c r="T11" s="51"/>
      <c r="U11" s="175"/>
      <c r="V11" s="175"/>
      <c r="W11" s="175"/>
      <c r="X11" s="175"/>
      <c r="Y11" s="175"/>
      <c r="Z11" s="175"/>
      <c r="AA11" s="175"/>
    </row>
    <row r="12" spans="1:30" s="57" customFormat="1" ht="58.5" customHeight="1">
      <c r="B12" s="27" t="s">
        <v>205</v>
      </c>
      <c r="C12" s="27"/>
      <c r="D12" s="83" t="s">
        <v>206</v>
      </c>
      <c r="E12" s="3" t="s">
        <v>207</v>
      </c>
      <c r="F12" s="344"/>
      <c r="G12" s="29"/>
      <c r="H12" s="18">
        <v>900000000</v>
      </c>
      <c r="I12" s="18">
        <v>900000000</v>
      </c>
      <c r="J12" s="18">
        <v>1500000000</v>
      </c>
      <c r="K12" s="18">
        <v>1500000000</v>
      </c>
      <c r="L12" s="18">
        <v>1315000000</v>
      </c>
      <c r="M12" s="18">
        <v>1345000000</v>
      </c>
      <c r="N12" s="18">
        <v>1455000000</v>
      </c>
      <c r="O12" s="18">
        <v>1455000000</v>
      </c>
      <c r="P12" s="29"/>
      <c r="Q12" s="18">
        <v>1455000000</v>
      </c>
      <c r="R12" s="72">
        <v>1505000000</v>
      </c>
      <c r="S12" s="72">
        <v>1500000000</v>
      </c>
      <c r="T12" s="173">
        <v>1545000000</v>
      </c>
      <c r="U12" s="18">
        <v>1545000000</v>
      </c>
      <c r="V12" s="176"/>
      <c r="W12" s="176"/>
      <c r="X12" s="176"/>
      <c r="Y12" s="176"/>
      <c r="Z12" s="176"/>
      <c r="AA12" s="176"/>
    </row>
    <row r="13" spans="1:30" s="57" customFormat="1" ht="67.5" customHeight="1">
      <c r="B13" s="27" t="s">
        <v>208</v>
      </c>
      <c r="C13" s="27" t="s">
        <v>209</v>
      </c>
      <c r="D13" s="83" t="s">
        <v>210</v>
      </c>
      <c r="E13" s="3" t="s">
        <v>211</v>
      </c>
      <c r="F13" s="345"/>
      <c r="G13" s="29"/>
      <c r="H13" s="18">
        <v>290044000</v>
      </c>
      <c r="I13" s="18">
        <v>290044000</v>
      </c>
      <c r="J13" s="18">
        <v>298100000</v>
      </c>
      <c r="K13" s="18">
        <v>298100000</v>
      </c>
      <c r="L13" s="18">
        <v>295900000</v>
      </c>
      <c r="M13" s="18">
        <v>295900000</v>
      </c>
      <c r="N13" s="18">
        <v>283700000</v>
      </c>
      <c r="O13" s="18">
        <v>283700000</v>
      </c>
      <c r="P13" s="29"/>
      <c r="Q13" s="18">
        <v>283700000</v>
      </c>
      <c r="R13" s="18">
        <v>266600000</v>
      </c>
      <c r="S13" s="18">
        <v>256200000</v>
      </c>
      <c r="T13" s="174">
        <v>260700000</v>
      </c>
      <c r="U13" s="18">
        <v>260700000</v>
      </c>
      <c r="V13" s="176"/>
      <c r="W13" s="176"/>
      <c r="X13" s="176"/>
      <c r="Y13" s="176"/>
      <c r="Z13" s="176"/>
      <c r="AA13" s="176"/>
    </row>
    <row r="14" spans="1:30" s="57" customFormat="1" ht="27.75" customHeight="1">
      <c r="B14" s="27" t="s">
        <v>212</v>
      </c>
      <c r="C14" s="27" t="s">
        <v>213</v>
      </c>
      <c r="D14" s="83" t="s">
        <v>214</v>
      </c>
      <c r="E14" s="3" t="s">
        <v>211</v>
      </c>
      <c r="F14" s="345"/>
      <c r="G14" s="29"/>
      <c r="H14" s="112"/>
      <c r="I14" s="113"/>
      <c r="J14" s="18">
        <v>8117254</v>
      </c>
      <c r="L14" s="117"/>
      <c r="M14" s="118"/>
      <c r="N14" s="119"/>
      <c r="O14" s="119"/>
      <c r="P14" s="29"/>
      <c r="Q14" s="121"/>
      <c r="R14" s="121"/>
      <c r="S14" s="121"/>
      <c r="T14" s="121"/>
      <c r="U14" s="121"/>
      <c r="V14" s="121"/>
      <c r="W14" s="121"/>
      <c r="X14" s="121"/>
      <c r="Y14" s="121"/>
      <c r="Z14" s="121"/>
      <c r="AA14" s="121"/>
    </row>
    <row r="15" spans="1:30" s="57" customFormat="1" ht="22.8">
      <c r="B15" s="27" t="s">
        <v>215</v>
      </c>
      <c r="C15" s="27"/>
      <c r="D15" s="83" t="s">
        <v>216</v>
      </c>
      <c r="E15" s="3" t="s">
        <v>199</v>
      </c>
      <c r="F15" s="346"/>
      <c r="G15" s="29"/>
      <c r="H15" s="114"/>
      <c r="I15" s="115"/>
      <c r="K15" s="116"/>
      <c r="L15" s="17">
        <v>0.1</v>
      </c>
      <c r="M15" s="120"/>
      <c r="N15" s="17">
        <v>0.1</v>
      </c>
      <c r="O15" s="17">
        <v>0.1</v>
      </c>
      <c r="P15" s="29"/>
      <c r="Q15" s="120"/>
      <c r="R15" s="17">
        <v>0.1</v>
      </c>
      <c r="S15" s="120"/>
      <c r="T15" s="17">
        <v>0.1</v>
      </c>
      <c r="U15" s="120"/>
      <c r="V15" s="120"/>
      <c r="W15" s="120"/>
      <c r="X15" s="120"/>
      <c r="Y15" s="120"/>
      <c r="Z15" s="120"/>
      <c r="AA15" s="120"/>
    </row>
    <row r="16" spans="1:30" s="15" customFormat="1">
      <c r="B16" s="339" t="s">
        <v>51</v>
      </c>
      <c r="C16" s="340"/>
      <c r="D16" s="340"/>
      <c r="E16" s="340"/>
      <c r="F16" s="340"/>
      <c r="G16" s="29"/>
      <c r="H16" s="49"/>
      <c r="I16" s="49"/>
      <c r="J16" s="73"/>
      <c r="K16" s="73"/>
      <c r="L16" s="74"/>
      <c r="M16" s="49"/>
      <c r="N16" s="51"/>
      <c r="O16" s="51"/>
      <c r="P16" s="29"/>
      <c r="Q16" s="49"/>
      <c r="R16" s="49"/>
      <c r="S16" s="49"/>
      <c r="T16" s="51"/>
      <c r="U16" s="49"/>
      <c r="V16" s="133"/>
      <c r="W16" s="133"/>
      <c r="X16" s="133"/>
      <c r="Y16" s="133"/>
      <c r="Z16" s="133"/>
      <c r="AA16" s="133"/>
    </row>
    <row r="17" spans="2:27" s="15" customFormat="1" ht="11.25" customHeight="1">
      <c r="B17" s="336" t="s">
        <v>217</v>
      </c>
      <c r="C17" s="337"/>
      <c r="D17" s="338"/>
      <c r="E17" s="12" t="s">
        <v>218</v>
      </c>
      <c r="F17" s="12"/>
      <c r="G17" s="29"/>
      <c r="H17" s="347"/>
      <c r="I17" s="348"/>
      <c r="J17" s="76">
        <f>J14</f>
        <v>8117254</v>
      </c>
      <c r="K17" s="76">
        <f>IF(K13="","-",IF(J17="","-",J17*(1+K15)))</f>
        <v>8117254</v>
      </c>
      <c r="L17" s="76">
        <f t="shared" ref="L17:T17" si="0">IF(L13="","-",IF(K17="","-",K17*(1+L15)))</f>
        <v>8928979.4000000004</v>
      </c>
      <c r="M17" s="76">
        <f t="shared" si="0"/>
        <v>8928979.4000000004</v>
      </c>
      <c r="N17" s="76">
        <f>IF(N13="","-",IF(L17="","-",L17*(1+N15)))</f>
        <v>9821877.3400000017</v>
      </c>
      <c r="O17" s="76">
        <f>IF(O13="","-",IF(M17="","-",M17*(1+O15)))</f>
        <v>9821877.3400000017</v>
      </c>
      <c r="P17" s="29"/>
      <c r="Q17" s="75">
        <f>IF(Q13="","-",IF(O17="","-",O17*(1+Q15)))</f>
        <v>9821877.3400000017</v>
      </c>
      <c r="R17" s="75">
        <f t="shared" si="0"/>
        <v>10804065.074000003</v>
      </c>
      <c r="S17" s="75">
        <f t="shared" si="0"/>
        <v>10804065.074000003</v>
      </c>
      <c r="T17" s="75">
        <f t="shared" si="0"/>
        <v>11884471.581400003</v>
      </c>
      <c r="U17" s="178">
        <f>IF(U13="","-",IF(T17="","-",T17*(1+U15)))</f>
        <v>11884471.581400003</v>
      </c>
      <c r="V17" s="177"/>
      <c r="W17" s="177"/>
      <c r="X17" s="177"/>
      <c r="Y17" s="177"/>
      <c r="Z17" s="177"/>
      <c r="AA17" s="177"/>
    </row>
    <row r="18" spans="2:27" s="57" customFormat="1" ht="11.4">
      <c r="B18" s="336" t="s">
        <v>219</v>
      </c>
      <c r="C18" s="337"/>
      <c r="D18" s="338"/>
      <c r="E18" s="12" t="s">
        <v>160</v>
      </c>
      <c r="F18" s="12"/>
      <c r="G18" s="29"/>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9"/>
      <c r="Q18" s="5">
        <f t="shared" ref="Q18:T18" si="2">IF(Q13="","-",Q12/(Q13-Q17))</f>
        <v>5.3125820560931691</v>
      </c>
      <c r="R18" s="5">
        <f t="shared" si="2"/>
        <v>5.8835962363334122</v>
      </c>
      <c r="S18" s="5">
        <f t="shared" si="2"/>
        <v>6.1125706929592383</v>
      </c>
      <c r="T18" s="5">
        <f t="shared" si="2"/>
        <v>6.209419523851972</v>
      </c>
      <c r="U18" s="5">
        <f>IF(U13="","-",U12/(U13-U17))</f>
        <v>6.209419523851972</v>
      </c>
      <c r="V18" s="82"/>
      <c r="W18" s="82"/>
      <c r="X18" s="82"/>
      <c r="Y18" s="82"/>
      <c r="Z18" s="82"/>
      <c r="AA18" s="82"/>
    </row>
    <row r="19" spans="2:27" s="15" customFormat="1"/>
    <row r="20" spans="2:27" s="15" customFormat="1"/>
    <row r="21" spans="2:27" s="15" customFormat="1"/>
    <row r="22" spans="2:27" s="15" customFormat="1"/>
    <row r="23" spans="2:27" s="15" customFormat="1"/>
    <row r="24" spans="2:27" s="15" customFormat="1"/>
    <row r="25" spans="2:27" hidden="1">
      <c r="G25" s="15"/>
      <c r="P25" s="15"/>
    </row>
    <row r="26" spans="2:27" hidden="1">
      <c r="G26" s="15"/>
      <c r="P26" s="15"/>
    </row>
    <row r="27" spans="2:27" hidden="1">
      <c r="G27" s="15"/>
      <c r="P27" s="15"/>
    </row>
    <row r="28" spans="2:27" hidden="1">
      <c r="G28" s="15"/>
      <c r="P28" s="1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36"/>
  <sheetViews>
    <sheetView zoomScale="80" zoomScaleNormal="80" workbookViewId="0">
      <selection activeCell="D13" sqref="D13:D14"/>
    </sheetView>
  </sheetViews>
  <sheetFormatPr defaultColWidth="0" defaultRowHeight="12.6" zeroHeight="1"/>
  <cols>
    <col min="1" max="1" width="3" customWidth="1"/>
    <col min="2" max="2" width="42.36328125" customWidth="1"/>
    <col min="3" max="3" width="50.81640625" customWidth="1"/>
    <col min="4" max="4" width="33" customWidth="1"/>
    <col min="5" max="5" width="10" customWidth="1"/>
    <col min="6" max="6" width="23.453125" customWidth="1"/>
    <col min="7" max="7" width="1.453125" customWidth="1"/>
    <col min="8" max="8" width="19" customWidth="1"/>
    <col min="9" max="9" width="14.6328125" customWidth="1"/>
    <col min="10" max="10" width="13" customWidth="1"/>
    <col min="11" max="11" width="12" customWidth="1"/>
    <col min="12" max="12" width="13.1796875" customWidth="1"/>
    <col min="13" max="13" width="12.453125" customWidth="1"/>
    <col min="14" max="15" width="15.6328125" customWidth="1"/>
    <col min="16" max="16" width="1.453125" customWidth="1"/>
    <col min="17" max="24" width="15.6328125" customWidth="1"/>
    <col min="25" max="25" width="1.453125" customWidth="1"/>
    <col min="26" max="28" width="15.6328125" customWidth="1"/>
    <col min="29" max="29" width="8.6328125" customWidth="1"/>
    <col min="16384" max="16384" width="9" hidden="1"/>
  </cols>
  <sheetData>
    <row r="1" spans="1:16383" s="2" customFormat="1" ht="12.75" customHeight="1"/>
    <row r="2" spans="1:16383" s="2" customFormat="1" ht="18.75" customHeight="1">
      <c r="B2" s="41" t="s">
        <v>220</v>
      </c>
      <c r="C2" s="41"/>
      <c r="D2" s="41"/>
      <c r="E2" s="41"/>
    </row>
    <row r="3" spans="1:16383" s="2" customFormat="1" ht="55.5" customHeight="1">
      <c r="B3" s="297" t="s">
        <v>221</v>
      </c>
      <c r="C3" s="297"/>
      <c r="D3" s="297"/>
      <c r="E3" s="297"/>
      <c r="F3" s="297"/>
      <c r="G3" s="40"/>
      <c r="H3" s="40"/>
      <c r="I3" s="40"/>
      <c r="J3" s="40"/>
      <c r="K3" s="40"/>
      <c r="L3" s="40"/>
      <c r="M3" s="40"/>
      <c r="N3" s="40"/>
      <c r="O3" s="40"/>
      <c r="P3" s="40"/>
      <c r="Q3" s="40"/>
      <c r="R3" s="40"/>
      <c r="S3" s="40"/>
      <c r="T3" s="40"/>
      <c r="U3" s="40"/>
      <c r="V3" s="40"/>
      <c r="Y3" s="40"/>
    </row>
    <row r="4" spans="1:16383" s="2" customFormat="1" ht="12.75" customHeight="1"/>
    <row r="5" spans="1:16383" s="15" customFormat="1" ht="12.75" customHeight="1">
      <c r="G5" s="57"/>
      <c r="P5" s="57"/>
      <c r="Y5" s="57"/>
    </row>
    <row r="6" spans="1:16383" ht="12.75" customHeight="1">
      <c r="A6" s="15"/>
      <c r="B6" s="287" t="s">
        <v>27</v>
      </c>
      <c r="C6" s="341" t="s">
        <v>43</v>
      </c>
      <c r="D6" s="342" t="s">
        <v>187</v>
      </c>
      <c r="E6" s="341" t="s">
        <v>79</v>
      </c>
      <c r="F6" s="301"/>
      <c r="G6" s="29"/>
      <c r="H6" s="302" t="s">
        <v>80</v>
      </c>
      <c r="I6" s="303"/>
      <c r="J6" s="303"/>
      <c r="K6" s="303"/>
      <c r="L6" s="303"/>
      <c r="M6" s="303"/>
      <c r="N6" s="303"/>
      <c r="O6" s="304"/>
      <c r="P6" s="139"/>
      <c r="Q6" s="248" t="s">
        <v>81</v>
      </c>
      <c r="R6" s="249"/>
      <c r="S6" s="249"/>
      <c r="T6" s="249"/>
      <c r="U6" s="249"/>
      <c r="V6" s="249"/>
      <c r="W6" s="249"/>
      <c r="X6" s="249"/>
      <c r="Y6" s="29"/>
      <c r="Z6" s="249"/>
      <c r="AA6" s="249"/>
      <c r="AB6" s="250"/>
      <c r="AC6" s="15"/>
    </row>
    <row r="7" spans="1:16383"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c r="AC7" s="15"/>
    </row>
    <row r="8" spans="1:16383"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16383"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16383" ht="12.6"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16383" ht="12.6" customHeight="1">
      <c r="A11" s="15"/>
      <c r="B11" s="287"/>
      <c r="C11" s="341"/>
      <c r="D11" s="342"/>
      <c r="E11" s="341"/>
      <c r="F11" s="56" t="s">
        <v>222</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16383">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c r="AC12" s="15"/>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row>
    <row r="13" spans="1:16383" s="4" customFormat="1" ht="11.25" customHeight="1">
      <c r="A13" s="57"/>
      <c r="B13" s="27" t="s">
        <v>223</v>
      </c>
      <c r="C13" s="334" t="s">
        <v>224</v>
      </c>
      <c r="D13" s="334" t="s">
        <v>225</v>
      </c>
      <c r="E13" s="3" t="s">
        <v>207</v>
      </c>
      <c r="F13" s="359"/>
      <c r="G13" s="29"/>
      <c r="H13" s="80">
        <f t="shared" ref="H13:K14" si="0">787000000/2</f>
        <v>393500000</v>
      </c>
      <c r="I13" s="80">
        <f t="shared" si="0"/>
        <v>393500000</v>
      </c>
      <c r="J13" s="80">
        <f t="shared" si="0"/>
        <v>393500000</v>
      </c>
      <c r="K13" s="80">
        <f t="shared" si="0"/>
        <v>393500000</v>
      </c>
      <c r="L13" s="80">
        <v>320000000</v>
      </c>
      <c r="M13" s="80">
        <v>320000000</v>
      </c>
      <c r="N13" s="80">
        <v>320000000</v>
      </c>
      <c r="O13" s="80">
        <v>320000000</v>
      </c>
      <c r="P13" s="29"/>
      <c r="Q13" s="80">
        <v>320000000</v>
      </c>
      <c r="R13" s="80">
        <v>320000000</v>
      </c>
      <c r="S13" s="80">
        <v>320000000</v>
      </c>
      <c r="T13" s="80">
        <v>384500000</v>
      </c>
      <c r="U13" s="80">
        <v>384500000</v>
      </c>
      <c r="V13" s="80">
        <v>366500000</v>
      </c>
      <c r="W13" s="80">
        <v>366500000</v>
      </c>
      <c r="X13" s="80">
        <v>500000000</v>
      </c>
      <c r="Y13" s="29"/>
      <c r="Z13" s="265">
        <v>500000000</v>
      </c>
      <c r="AA13" s="80"/>
      <c r="AB13" s="80"/>
      <c r="AC13" s="57"/>
    </row>
    <row r="14" spans="1:16383" s="4" customFormat="1" ht="24" customHeight="1">
      <c r="A14" s="57"/>
      <c r="B14" s="27" t="s">
        <v>226</v>
      </c>
      <c r="C14" s="335"/>
      <c r="D14" s="358"/>
      <c r="E14" s="3" t="s">
        <v>207</v>
      </c>
      <c r="F14" s="360"/>
      <c r="G14" s="29"/>
      <c r="H14" s="80">
        <f t="shared" si="0"/>
        <v>393500000</v>
      </c>
      <c r="I14" s="80">
        <f t="shared" si="0"/>
        <v>393500000</v>
      </c>
      <c r="J14" s="80">
        <f t="shared" si="0"/>
        <v>393500000</v>
      </c>
      <c r="K14" s="80">
        <f t="shared" si="0"/>
        <v>393500000</v>
      </c>
      <c r="L14" s="80">
        <v>320000000</v>
      </c>
      <c r="M14" s="80">
        <v>320000000</v>
      </c>
      <c r="N14" s="80">
        <v>320000000</v>
      </c>
      <c r="O14" s="80">
        <v>320000000</v>
      </c>
      <c r="P14" s="29"/>
      <c r="Q14" s="80">
        <v>320000000</v>
      </c>
      <c r="R14" s="80">
        <v>320000000</v>
      </c>
      <c r="S14" s="80">
        <v>320000000</v>
      </c>
      <c r="T14" s="80">
        <v>384500000</v>
      </c>
      <c r="U14" s="80">
        <v>384500000</v>
      </c>
      <c r="V14" s="80">
        <v>366500000</v>
      </c>
      <c r="W14" s="80">
        <v>366500000</v>
      </c>
      <c r="X14" s="80">
        <v>500000000</v>
      </c>
      <c r="Y14" s="29"/>
      <c r="Z14" s="265">
        <v>500000000</v>
      </c>
      <c r="AA14" s="80"/>
      <c r="AB14" s="80"/>
      <c r="AC14" s="57"/>
    </row>
    <row r="15" spans="1:16383" s="4" customFormat="1" ht="57" customHeight="1">
      <c r="A15" s="57"/>
      <c r="B15" s="27" t="s">
        <v>227</v>
      </c>
      <c r="C15" s="52" t="s">
        <v>228</v>
      </c>
      <c r="D15" s="211" t="s">
        <v>198</v>
      </c>
      <c r="E15" s="3" t="s">
        <v>199</v>
      </c>
      <c r="F15" s="360"/>
      <c r="G15" s="29"/>
      <c r="H15" s="363"/>
      <c r="I15" s="364"/>
      <c r="J15" s="81">
        <v>1.2</v>
      </c>
      <c r="K15" s="81">
        <v>0.3</v>
      </c>
      <c r="L15" s="361"/>
      <c r="M15" s="362"/>
      <c r="N15" s="81">
        <v>1.87995377787944</v>
      </c>
      <c r="O15" s="81">
        <v>1.87995377787944</v>
      </c>
      <c r="P15" s="29"/>
      <c r="Q15" s="81">
        <v>1.87995377787944</v>
      </c>
      <c r="R15" s="81">
        <v>3.6182759</v>
      </c>
      <c r="S15" s="136">
        <v>3.7308773627504843</v>
      </c>
      <c r="T15" s="136">
        <v>5.6396771442458196</v>
      </c>
      <c r="U15" s="136">
        <v>6.1811977914110861</v>
      </c>
      <c r="V15" s="136">
        <v>9.6746478524639468</v>
      </c>
      <c r="W15" s="136">
        <v>11.741797553130784</v>
      </c>
      <c r="X15" s="228">
        <v>2.1557860235373427</v>
      </c>
      <c r="Y15" s="29"/>
      <c r="Z15" s="266">
        <v>2.8</v>
      </c>
      <c r="AA15" s="136"/>
      <c r="AB15" s="136"/>
      <c r="AC15" s="57"/>
    </row>
    <row r="16" spans="1:16383" s="4" customFormat="1" ht="29.25" customHeight="1">
      <c r="A16" s="57"/>
      <c r="B16" s="27" t="s">
        <v>229</v>
      </c>
      <c r="C16" s="355" t="s">
        <v>230</v>
      </c>
      <c r="D16" s="334" t="s">
        <v>231</v>
      </c>
      <c r="E16" s="3" t="s">
        <v>199</v>
      </c>
      <c r="F16" s="360"/>
      <c r="G16" s="29"/>
      <c r="H16" s="71">
        <v>0.97905755724002397</v>
      </c>
      <c r="I16" s="71">
        <v>0.97905755724002397</v>
      </c>
      <c r="J16" s="71">
        <v>0.98204837577825499</v>
      </c>
      <c r="K16" s="71">
        <v>0.98204837577825499</v>
      </c>
      <c r="L16" s="71">
        <v>0.95669999999999999</v>
      </c>
      <c r="M16" s="71">
        <v>0.95669999999999999</v>
      </c>
      <c r="N16" s="71">
        <v>0.96860455551436897</v>
      </c>
      <c r="O16" s="135">
        <v>0.98227395339805224</v>
      </c>
      <c r="P16" s="29"/>
      <c r="Q16" s="135">
        <v>0.98227395339805224</v>
      </c>
      <c r="R16" s="367"/>
      <c r="S16" s="368"/>
      <c r="T16" s="368"/>
      <c r="U16" s="368"/>
      <c r="V16" s="368"/>
      <c r="W16" s="368"/>
      <c r="X16" s="368"/>
      <c r="Y16" s="368"/>
      <c r="Z16" s="368"/>
      <c r="AA16" s="368"/>
      <c r="AB16" s="369"/>
      <c r="AC16" s="57"/>
    </row>
    <row r="17" spans="1:16383" s="4" customFormat="1" ht="29.25" customHeight="1">
      <c r="A17" s="57"/>
      <c r="B17" s="27" t="s">
        <v>232</v>
      </c>
      <c r="C17" s="356"/>
      <c r="D17" s="358"/>
      <c r="E17" s="3" t="s">
        <v>199</v>
      </c>
      <c r="F17" s="360"/>
      <c r="G17" s="29"/>
      <c r="H17" s="71">
        <v>0.98856452214794954</v>
      </c>
      <c r="I17" s="71">
        <v>0.98856452214794954</v>
      </c>
      <c r="J17" s="71">
        <v>1</v>
      </c>
      <c r="K17" s="71">
        <v>1</v>
      </c>
      <c r="L17" s="71">
        <v>0.98619999999999997</v>
      </c>
      <c r="M17" s="71">
        <v>0.98619999999999997</v>
      </c>
      <c r="N17" s="71">
        <v>1</v>
      </c>
      <c r="O17" s="135">
        <v>0.98153694958574955</v>
      </c>
      <c r="P17" s="29"/>
      <c r="Q17" s="135">
        <v>0.98153694958574955</v>
      </c>
      <c r="R17" s="370"/>
      <c r="S17" s="371"/>
      <c r="T17" s="371"/>
      <c r="U17" s="371"/>
      <c r="V17" s="371"/>
      <c r="W17" s="371"/>
      <c r="X17" s="371"/>
      <c r="Y17" s="371"/>
      <c r="Z17" s="371"/>
      <c r="AA17" s="371"/>
      <c r="AB17" s="372"/>
      <c r="AC17" s="57"/>
    </row>
    <row r="18" spans="1:16383" s="4" customFormat="1" ht="28.5" customHeight="1">
      <c r="A18" s="57"/>
      <c r="B18" s="19" t="s">
        <v>233</v>
      </c>
      <c r="C18" s="356"/>
      <c r="D18" s="358"/>
      <c r="E18" s="19" t="s">
        <v>211</v>
      </c>
      <c r="F18" s="360"/>
      <c r="G18" s="29"/>
      <c r="H18" s="80">
        <v>300797469.21500003</v>
      </c>
      <c r="I18" s="80">
        <v>300797469.21500003</v>
      </c>
      <c r="J18" s="80">
        <v>292794167.35698384</v>
      </c>
      <c r="K18" s="80">
        <v>292794167.35698384</v>
      </c>
      <c r="L18" s="80">
        <v>296106141.46700007</v>
      </c>
      <c r="M18" s="80">
        <v>296106141.46700007</v>
      </c>
      <c r="N18" s="80">
        <v>275805404.27200001</v>
      </c>
      <c r="O18" s="80">
        <v>279759249.45200002</v>
      </c>
      <c r="P18" s="29"/>
      <c r="Q18" s="80">
        <v>279759249.45200002</v>
      </c>
      <c r="R18" s="80">
        <v>279759249.45200002</v>
      </c>
      <c r="S18" s="137">
        <v>272343334.949</v>
      </c>
      <c r="T18" s="137">
        <v>272343334.949</v>
      </c>
      <c r="U18" s="137">
        <v>286200367</v>
      </c>
      <c r="V18" s="137">
        <v>286200367</v>
      </c>
      <c r="W18" s="137">
        <v>291212008.685</v>
      </c>
      <c r="X18" s="137">
        <v>291212008.685</v>
      </c>
      <c r="Y18" s="29"/>
      <c r="Z18" s="267">
        <v>296075775</v>
      </c>
      <c r="AA18" s="137"/>
      <c r="AB18" s="137"/>
      <c r="AC18" s="57"/>
    </row>
    <row r="19" spans="1:16383" s="4" customFormat="1" ht="31.5" customHeight="1">
      <c r="A19" s="57"/>
      <c r="B19" s="19" t="s">
        <v>234</v>
      </c>
      <c r="C19" s="357"/>
      <c r="D19" s="358"/>
      <c r="E19" s="19" t="s">
        <v>211</v>
      </c>
      <c r="F19" s="360"/>
      <c r="G19" s="29"/>
      <c r="H19" s="80">
        <v>102351089.05600001</v>
      </c>
      <c r="I19" s="80">
        <v>102351089.05600001</v>
      </c>
      <c r="J19" s="80">
        <v>103688989.68281001</v>
      </c>
      <c r="K19" s="80">
        <v>103688989.68281001</v>
      </c>
      <c r="L19" s="80">
        <v>103762503.63999999</v>
      </c>
      <c r="M19" s="80">
        <v>103762503.63999999</v>
      </c>
      <c r="N19" s="80">
        <v>98269992.237999991</v>
      </c>
      <c r="O19" s="80">
        <v>95868333.934</v>
      </c>
      <c r="P19" s="29"/>
      <c r="Q19" s="80">
        <v>95868333.934</v>
      </c>
      <c r="R19" s="80">
        <v>95868333.934</v>
      </c>
      <c r="S19" s="80">
        <v>89570566.975999996</v>
      </c>
      <c r="T19" s="80">
        <v>89570566.975999996</v>
      </c>
      <c r="U19" s="80">
        <v>90304045</v>
      </c>
      <c r="V19" s="80">
        <v>90304045</v>
      </c>
      <c r="W19" s="80">
        <v>94679766.254999995</v>
      </c>
      <c r="X19" s="80">
        <v>94679766.254999995</v>
      </c>
      <c r="Y19" s="29"/>
      <c r="Z19" s="265">
        <v>98069558</v>
      </c>
      <c r="AA19" s="80"/>
      <c r="AB19" s="80"/>
      <c r="AC19" s="57"/>
    </row>
    <row r="20" spans="1:16383">
      <c r="A20" s="15"/>
      <c r="B20" s="339" t="s">
        <v>51</v>
      </c>
      <c r="C20" s="340"/>
      <c r="D20" s="340"/>
      <c r="E20" s="340"/>
      <c r="F20" s="340"/>
      <c r="G20" s="29"/>
      <c r="H20" s="49"/>
      <c r="I20" s="49"/>
      <c r="J20" s="49"/>
      <c r="K20" s="49"/>
      <c r="L20" s="49"/>
      <c r="M20" s="50"/>
      <c r="N20" s="49"/>
      <c r="O20" s="49"/>
      <c r="P20" s="29"/>
      <c r="Q20" s="49"/>
      <c r="R20" s="49"/>
      <c r="S20" s="49"/>
      <c r="T20" s="51"/>
      <c r="U20" s="49"/>
      <c r="V20" s="49"/>
      <c r="W20" s="49"/>
      <c r="X20" s="49"/>
      <c r="Y20" s="29"/>
      <c r="Z20" s="49"/>
      <c r="AA20" s="49"/>
      <c r="AB20" s="49"/>
      <c r="AC20" s="15"/>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c r="XEU20" s="54"/>
      <c r="XEV20" s="54"/>
      <c r="XEW20" s="54"/>
      <c r="XEX20" s="54"/>
      <c r="XEY20" s="54"/>
      <c r="XEZ20" s="54"/>
      <c r="XFA20" s="54"/>
      <c r="XFB20" s="54"/>
      <c r="XFC20" s="54"/>
    </row>
    <row r="21" spans="1:16383" s="4" customFormat="1" ht="11.4">
      <c r="A21" s="57"/>
      <c r="B21" s="336" t="s">
        <v>235</v>
      </c>
      <c r="C21" s="337"/>
      <c r="D21" s="338"/>
      <c r="E21" s="365" t="s">
        <v>160</v>
      </c>
      <c r="F21" s="12"/>
      <c r="G21" s="29"/>
      <c r="H21" s="145">
        <f>IF(H13="","-",((H13*H16)*(1+(H15/100)))/H18)</f>
        <v>1.2807925205600019</v>
      </c>
      <c r="I21" s="145">
        <f t="shared" ref="I21:O21" si="1">IF(I13="","-",((I13*I16)*(1+(I15/100)))/I18)</f>
        <v>1.2807925205600019</v>
      </c>
      <c r="J21" s="145">
        <f t="shared" si="1"/>
        <v>1.335659353563418</v>
      </c>
      <c r="K21" s="145">
        <f t="shared" si="1"/>
        <v>1.3237809601028736</v>
      </c>
      <c r="L21" s="145">
        <f t="shared" si="1"/>
        <v>1.0338995283355803</v>
      </c>
      <c r="M21" s="145">
        <f t="shared" si="1"/>
        <v>1.0338995283355803</v>
      </c>
      <c r="N21" s="145">
        <f t="shared" si="1"/>
        <v>1.1449392746201887</v>
      </c>
      <c r="O21" s="145">
        <f t="shared" si="1"/>
        <v>1.1446873714788544</v>
      </c>
      <c r="P21" s="29"/>
      <c r="Q21" s="145">
        <f t="shared" ref="Q21" si="2">IF(Q13="","-",((Q13*Q16)*(1+(Q15/100)))/Q18)</f>
        <v>1.1446873714788544</v>
      </c>
      <c r="R21" s="145">
        <f>IF(R13="","-",((R13)*(1+(R15/100)))/R18)</f>
        <v>1.1852279541409441</v>
      </c>
      <c r="S21" s="145">
        <f t="shared" ref="S21:AB21" si="3">IF(S13="","-",((S13)*(1+(S15/100)))/S18)</f>
        <v>1.2188247882877752</v>
      </c>
      <c r="T21" s="145">
        <f>IF(T13="","-",((T13)*(1+(T15/100)))/T18)</f>
        <v>1.4914429930722879</v>
      </c>
      <c r="U21" s="145">
        <f t="shared" si="3"/>
        <v>1.4265065757514408</v>
      </c>
      <c r="V21" s="145">
        <f t="shared" si="3"/>
        <v>1.4044621556312693</v>
      </c>
      <c r="W21" s="145">
        <f t="shared" si="3"/>
        <v>1.406307692740828</v>
      </c>
      <c r="X21" s="145">
        <f t="shared" si="3"/>
        <v>1.7539761922050034</v>
      </c>
      <c r="Y21" s="29"/>
      <c r="Z21" s="145">
        <f t="shared" si="3"/>
        <v>1.7360420655827042</v>
      </c>
      <c r="AA21" s="145" t="str">
        <f t="shared" si="3"/>
        <v>-</v>
      </c>
      <c r="AB21" s="145" t="str">
        <f t="shared" si="3"/>
        <v>-</v>
      </c>
      <c r="AC21" s="82"/>
    </row>
    <row r="22" spans="1:16383">
      <c r="A22" s="15"/>
      <c r="B22" s="336" t="s">
        <v>236</v>
      </c>
      <c r="C22" s="337"/>
      <c r="D22" s="338"/>
      <c r="E22" s="366"/>
      <c r="F22" s="12"/>
      <c r="G22" s="29"/>
      <c r="H22" s="145">
        <f>IF(H14="","-",((H14*H17)*(1+(H15/100)))/H19)</f>
        <v>3.800644849537282</v>
      </c>
      <c r="I22" s="145">
        <f t="shared" ref="I22:O22" si="4">IF(I14="","-",((I14*I17)*(1+(I15/100)))/I19)</f>
        <v>3.800644849537282</v>
      </c>
      <c r="J22" s="145">
        <f t="shared" si="4"/>
        <v>3.840542773328024</v>
      </c>
      <c r="K22" s="145">
        <f t="shared" si="4"/>
        <v>3.8063877486640387</v>
      </c>
      <c r="L22" s="145">
        <f t="shared" si="4"/>
        <v>3.0414069526975425</v>
      </c>
      <c r="M22" s="145">
        <f t="shared" si="4"/>
        <v>3.0414069526975425</v>
      </c>
      <c r="N22" s="145">
        <f>IF(N14="","-",((N14*N17)*(1+(N15/100)))/N19)</f>
        <v>3.3175524355353234</v>
      </c>
      <c r="O22" s="145">
        <f t="shared" si="4"/>
        <v>3.3378759371842848</v>
      </c>
      <c r="P22" s="29"/>
      <c r="Q22" s="145">
        <f t="shared" ref="Q22" si="5">IF(Q14="","-",((Q14*Q17)*(1+(Q15/100)))/Q19)</f>
        <v>3.3378759371842848</v>
      </c>
      <c r="R22" s="145">
        <f>IF(R14="","-",((R14)*(1+(R15/100)))/R19)</f>
        <v>3.458686192546887</v>
      </c>
      <c r="S22" s="145">
        <f t="shared" ref="S22:AB22" si="6">IF(S14="","-",((S14)*(1+(S15/100)))/S19)</f>
        <v>3.7058915530784011</v>
      </c>
      <c r="T22" s="145">
        <f>IF(T14="","-",((T14)*(1+(T15/100)))/T19)</f>
        <v>4.5347994584924356</v>
      </c>
      <c r="U22" s="145">
        <f>IF(U14="","-",((U14)*(1+(U15/100)))/U19)</f>
        <v>4.5210234547962456</v>
      </c>
      <c r="V22" s="145">
        <f t="shared" si="6"/>
        <v>4.4511581333846166</v>
      </c>
      <c r="W22" s="145">
        <f t="shared" si="6"/>
        <v>4.3254615450700591</v>
      </c>
      <c r="X22" s="145">
        <f t="shared" si="6"/>
        <v>5.3948055674536768</v>
      </c>
      <c r="Y22" s="29"/>
      <c r="Z22" s="145">
        <f t="shared" si="6"/>
        <v>5.2411778994660096</v>
      </c>
      <c r="AA22" s="145" t="str">
        <f t="shared" si="6"/>
        <v>-</v>
      </c>
      <c r="AB22" s="145" t="str">
        <f t="shared" si="6"/>
        <v>-</v>
      </c>
      <c r="AC22" s="15"/>
    </row>
    <row r="23" spans="1:16383" s="15" customFormat="1"/>
    <row r="24" spans="1:16383" s="15" customFormat="1"/>
    <row r="25" spans="1:16383" s="15" customFormat="1"/>
    <row r="26" spans="1:16383" s="15" customFormat="1">
      <c r="B26" s="68"/>
      <c r="C26" s="68"/>
      <c r="W26" s="212"/>
    </row>
    <row r="27" spans="1:16383" s="15" customFormat="1"/>
    <row r="28" spans="1:16383" s="15" customFormat="1"/>
    <row r="29" spans="1:16383" s="15" customFormat="1"/>
    <row r="30" spans="1:16383" s="15" customFormat="1">
      <c r="G30"/>
      <c r="P30"/>
      <c r="Y30"/>
    </row>
    <row r="31" spans="1:16383" s="15" customFormat="1" hidden="1">
      <c r="G31"/>
      <c r="M31" s="77"/>
      <c r="P31"/>
      <c r="Y31"/>
    </row>
    <row r="32" spans="1:16383" s="15" customFormat="1" hidden="1">
      <c r="G32"/>
      <c r="M32" s="77"/>
      <c r="P32"/>
      <c r="Y32"/>
    </row>
    <row r="33" spans="1:29" s="15" customFormat="1" hidden="1">
      <c r="G33"/>
      <c r="K33" s="78"/>
      <c r="M33" s="79"/>
      <c r="P33"/>
      <c r="Y33"/>
    </row>
    <row r="34" spans="1:29" hidden="1">
      <c r="A34" s="15"/>
      <c r="AC34" s="15"/>
    </row>
    <row r="35" spans="1:29" hidden="1">
      <c r="A35" s="15"/>
      <c r="AC35" s="15"/>
    </row>
    <row r="36" spans="1:29" hidden="1">
      <c r="A36" s="15"/>
    </row>
  </sheetData>
  <mergeCells count="21">
    <mergeCell ref="R16:AB17"/>
    <mergeCell ref="B6:B11"/>
    <mergeCell ref="C6:C11"/>
    <mergeCell ref="D6:D11"/>
    <mergeCell ref="E6:E11"/>
    <mergeCell ref="F6:F7"/>
    <mergeCell ref="H6:O6"/>
    <mergeCell ref="B3:F3"/>
    <mergeCell ref="H7:O7"/>
    <mergeCell ref="B12:F12"/>
    <mergeCell ref="B21:D21"/>
    <mergeCell ref="B22:D22"/>
    <mergeCell ref="B20:F20"/>
    <mergeCell ref="C13:C14"/>
    <mergeCell ref="C16:C19"/>
    <mergeCell ref="D13:D14"/>
    <mergeCell ref="D16:D19"/>
    <mergeCell ref="F13:F19"/>
    <mergeCell ref="L15:M15"/>
    <mergeCell ref="H15:I15"/>
    <mergeCell ref="E21:E22"/>
  </mergeCells>
  <hyperlinks>
    <hyperlink ref="D15" r:id="rId1" xr:uid="{00000000-0004-0000-0B00-000000000000}"/>
  </hyperlinks>
  <pageMargins left="0.7" right="0.7" top="0.75" bottom="0.75" header="0.3" footer="0.3"/>
  <pageSetup orientation="portrait" r:id="rId2"/>
  <headerFooter>
    <oddFooter>&amp;C_x000D_&amp;1#&amp;"Calibri"&amp;10&amp;K000000 OFFICIAL-InternalOnly</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O40"/>
  <sheetViews>
    <sheetView topLeftCell="Q1" zoomScaleNormal="100" workbookViewId="0">
      <selection activeCell="Z14" sqref="Z14"/>
    </sheetView>
  </sheetViews>
  <sheetFormatPr defaultColWidth="0" defaultRowHeight="12.6" zeroHeight="1"/>
  <cols>
    <col min="1" max="1" width="3" customWidth="1"/>
    <col min="2" max="2" width="36" customWidth="1"/>
    <col min="3" max="3" width="40" customWidth="1"/>
    <col min="4" max="4" width="22.81640625" customWidth="1"/>
    <col min="5" max="5" width="9"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81640625" customWidth="1"/>
    <col min="14" max="15" width="13" customWidth="1"/>
    <col min="16" max="16" width="1.453125" customWidth="1"/>
    <col min="17" max="24" width="15.6328125" customWidth="1"/>
    <col min="25" max="25" width="1.453125" customWidth="1"/>
    <col min="26" max="28" width="15.6328125" customWidth="1"/>
    <col min="29" max="29" width="8.6328125" hidden="1"/>
  </cols>
  <sheetData>
    <row r="1" spans="1:41" s="2" customFormat="1" ht="12.75" customHeight="1">
      <c r="E1" s="40"/>
    </row>
    <row r="2" spans="1:41" s="2" customFormat="1" ht="18.75" customHeight="1">
      <c r="B2" s="41" t="s">
        <v>237</v>
      </c>
      <c r="C2" s="41"/>
      <c r="E2" s="40"/>
    </row>
    <row r="3" spans="1:41" s="2" customFormat="1" ht="42" customHeight="1">
      <c r="B3" s="297" t="s">
        <v>238</v>
      </c>
      <c r="C3" s="297"/>
      <c r="D3" s="297"/>
      <c r="E3" s="297"/>
      <c r="F3" s="297"/>
      <c r="G3" s="40"/>
      <c r="H3" s="40"/>
      <c r="I3" s="40"/>
      <c r="J3" s="40"/>
      <c r="K3" s="40"/>
      <c r="L3" s="40"/>
      <c r="M3" s="40"/>
      <c r="N3" s="40"/>
      <c r="O3" s="40"/>
      <c r="P3" s="40"/>
      <c r="Q3" s="40"/>
      <c r="R3" s="40"/>
      <c r="S3" s="40"/>
      <c r="T3" s="40"/>
      <c r="Y3" s="40"/>
    </row>
    <row r="4" spans="1:41" s="2" customFormat="1" ht="12.75" customHeight="1">
      <c r="E4" s="40"/>
    </row>
    <row r="5" spans="1:41" s="15" customFormat="1">
      <c r="G5" s="57"/>
      <c r="P5" s="57"/>
      <c r="Y5" s="57"/>
    </row>
    <row r="6" spans="1:41" ht="12.75" customHeight="1">
      <c r="A6" s="15"/>
      <c r="B6" s="287" t="s">
        <v>27</v>
      </c>
      <c r="C6" s="341" t="s">
        <v>43</v>
      </c>
      <c r="D6" s="342" t="s">
        <v>187</v>
      </c>
      <c r="E6" s="341" t="s">
        <v>79</v>
      </c>
      <c r="F6" s="301"/>
      <c r="G6" s="29"/>
      <c r="H6" s="302" t="s">
        <v>80</v>
      </c>
      <c r="I6" s="303"/>
      <c r="J6" s="303"/>
      <c r="K6" s="303"/>
      <c r="L6" s="303"/>
      <c r="M6" s="303"/>
      <c r="N6" s="303"/>
      <c r="O6" s="304"/>
      <c r="P6" s="139"/>
      <c r="Q6" s="248" t="s">
        <v>81</v>
      </c>
      <c r="R6" s="249"/>
      <c r="S6" s="249"/>
      <c r="T6" s="249"/>
      <c r="U6" s="249"/>
      <c r="V6" s="249"/>
      <c r="W6" s="249"/>
      <c r="X6" s="249"/>
      <c r="Y6" s="29"/>
      <c r="Z6" s="249"/>
      <c r="AA6" s="249"/>
      <c r="AB6" s="250"/>
    </row>
    <row r="7" spans="1:41"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row>
    <row r="8" spans="1:41"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row>
    <row r="9" spans="1:41"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41" ht="12.75"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row>
    <row r="11" spans="1:41" ht="12.75" customHeight="1">
      <c r="A11" s="15"/>
      <c r="B11" s="287"/>
      <c r="C11" s="341"/>
      <c r="D11" s="342"/>
      <c r="E11" s="341"/>
      <c r="F11" s="56" t="s">
        <v>239</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row>
    <row r="12" spans="1:41" s="54" customFormat="1">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row>
    <row r="13" spans="1:41" s="4" customFormat="1" ht="22.8">
      <c r="A13" s="57"/>
      <c r="B13" s="27" t="s">
        <v>240</v>
      </c>
      <c r="C13" s="27"/>
      <c r="D13" s="27" t="s">
        <v>241</v>
      </c>
      <c r="E13" s="3" t="s">
        <v>207</v>
      </c>
      <c r="F13" s="344"/>
      <c r="G13" s="29"/>
      <c r="H13" s="18">
        <v>320000000</v>
      </c>
      <c r="I13" s="18">
        <v>320000000</v>
      </c>
      <c r="J13" s="18">
        <v>323000000</v>
      </c>
      <c r="K13" s="18">
        <v>323000000</v>
      </c>
      <c r="L13" s="18">
        <v>329000000</v>
      </c>
      <c r="M13" s="18">
        <v>329000000</v>
      </c>
      <c r="N13" s="18">
        <v>340000000</v>
      </c>
      <c r="O13" s="18">
        <v>340000000</v>
      </c>
      <c r="P13" s="29"/>
      <c r="Q13" s="18">
        <v>340000000</v>
      </c>
      <c r="R13" s="18">
        <v>348000000</v>
      </c>
      <c r="S13" s="18">
        <v>347000000</v>
      </c>
      <c r="T13" s="18">
        <v>355000000</v>
      </c>
      <c r="U13" s="18">
        <v>354000000</v>
      </c>
      <c r="V13" s="18">
        <v>357000000</v>
      </c>
      <c r="W13" s="18">
        <v>354000000</v>
      </c>
      <c r="X13" s="18">
        <v>488000000</v>
      </c>
      <c r="Y13" s="29"/>
      <c r="Z13" s="265">
        <v>520000000</v>
      </c>
      <c r="AA13" s="18"/>
      <c r="AB13" s="18"/>
    </row>
    <row r="14" spans="1:41" s="4" customFormat="1" ht="11.4">
      <c r="A14" s="57"/>
      <c r="B14" s="238" t="s">
        <v>242</v>
      </c>
      <c r="C14" s="374"/>
      <c r="D14" s="334" t="s">
        <v>243</v>
      </c>
      <c r="E14" s="3" t="s">
        <v>207</v>
      </c>
      <c r="F14" s="345"/>
      <c r="G14" s="29"/>
      <c r="H14" s="378"/>
      <c r="I14" s="379"/>
      <c r="J14" s="379"/>
      <c r="K14" s="380"/>
      <c r="L14" s="72">
        <v>174000000</v>
      </c>
      <c r="M14" s="72">
        <f>174000000</f>
        <v>174000000</v>
      </c>
      <c r="N14" s="72">
        <v>160000000</v>
      </c>
      <c r="O14" s="72">
        <v>160000000</v>
      </c>
      <c r="P14" s="29"/>
      <c r="Q14" s="72">
        <v>160000000</v>
      </c>
      <c r="R14" s="18">
        <v>164000000</v>
      </c>
      <c r="S14" s="18">
        <v>153000000</v>
      </c>
      <c r="T14" s="18">
        <v>157000000</v>
      </c>
      <c r="U14" s="18">
        <v>147000000</v>
      </c>
      <c r="V14" s="18">
        <v>148000000</v>
      </c>
      <c r="W14" s="18">
        <v>130000000</v>
      </c>
      <c r="X14" s="18">
        <v>179000000</v>
      </c>
      <c r="Y14" s="29"/>
      <c r="Z14" s="265">
        <v>520000000</v>
      </c>
      <c r="AA14" s="18"/>
      <c r="AB14" s="18"/>
      <c r="AD14" s="376"/>
      <c r="AE14" s="376"/>
      <c r="AF14" s="376"/>
      <c r="AG14" s="376"/>
      <c r="AH14" s="376"/>
      <c r="AI14" s="376"/>
      <c r="AJ14" s="376"/>
      <c r="AK14" s="376"/>
      <c r="AL14" s="376"/>
      <c r="AM14" s="376"/>
      <c r="AN14" s="376"/>
      <c r="AO14" s="376"/>
    </row>
    <row r="15" spans="1:41" s="4" customFormat="1" ht="11.4">
      <c r="A15" s="57"/>
      <c r="B15" s="238" t="s">
        <v>244</v>
      </c>
      <c r="C15" s="375"/>
      <c r="D15" s="335"/>
      <c r="E15" s="3" t="s">
        <v>207</v>
      </c>
      <c r="F15" s="345"/>
      <c r="G15" s="29"/>
      <c r="H15" s="381"/>
      <c r="I15" s="382"/>
      <c r="J15" s="382"/>
      <c r="K15" s="383"/>
      <c r="L15" s="72">
        <v>155000000</v>
      </c>
      <c r="M15" s="72">
        <v>155000000</v>
      </c>
      <c r="N15" s="72">
        <v>180000000</v>
      </c>
      <c r="O15" s="72">
        <v>180000000</v>
      </c>
      <c r="P15" s="29"/>
      <c r="Q15" s="72">
        <v>180000000</v>
      </c>
      <c r="R15" s="18">
        <v>184000000</v>
      </c>
      <c r="S15" s="18">
        <v>194000000</v>
      </c>
      <c r="T15" s="18">
        <v>198000000</v>
      </c>
      <c r="U15" s="18">
        <v>207000000</v>
      </c>
      <c r="V15" s="18">
        <v>209000000</v>
      </c>
      <c r="W15" s="18">
        <v>224000000</v>
      </c>
      <c r="X15" s="18">
        <v>309000000</v>
      </c>
      <c r="Y15" s="29"/>
      <c r="Z15" s="263">
        <v>0</v>
      </c>
      <c r="AA15" s="18"/>
      <c r="AB15" s="18"/>
    </row>
    <row r="16" spans="1:41" s="4" customFormat="1" ht="31.5" customHeight="1">
      <c r="A16" s="57"/>
      <c r="B16" s="26" t="s">
        <v>245</v>
      </c>
      <c r="C16" s="334" t="s">
        <v>246</v>
      </c>
      <c r="D16" s="334" t="s">
        <v>231</v>
      </c>
      <c r="E16" s="26" t="s">
        <v>247</v>
      </c>
      <c r="F16" s="345"/>
      <c r="G16" s="29"/>
      <c r="H16" s="18">
        <v>48804601</v>
      </c>
      <c r="I16" s="72">
        <v>48804601</v>
      </c>
      <c r="J16" s="72">
        <v>48793487</v>
      </c>
      <c r="K16" s="72">
        <v>48793487</v>
      </c>
      <c r="L16" s="72">
        <v>49081370</v>
      </c>
      <c r="M16" s="72">
        <v>49081370</v>
      </c>
      <c r="N16" s="72">
        <v>47655700</v>
      </c>
      <c r="O16" s="72">
        <v>47655700</v>
      </c>
      <c r="P16" s="29"/>
      <c r="Q16" s="72">
        <v>47655700</v>
      </c>
      <c r="R16" s="18">
        <v>47655700</v>
      </c>
      <c r="S16" s="18">
        <v>48171495</v>
      </c>
      <c r="T16" s="18">
        <v>48171495</v>
      </c>
      <c r="U16" s="18">
        <v>50203694</v>
      </c>
      <c r="V16" s="18">
        <v>50203694</v>
      </c>
      <c r="W16" s="18">
        <v>50687416</v>
      </c>
      <c r="X16" s="18">
        <v>50687416</v>
      </c>
      <c r="Y16" s="29"/>
      <c r="Z16" s="265">
        <v>52258752</v>
      </c>
      <c r="AA16" s="18"/>
      <c r="AB16" s="18"/>
    </row>
    <row r="17" spans="1:41" s="4" customFormat="1" ht="31.5" customHeight="1">
      <c r="A17" s="57"/>
      <c r="B17" s="19" t="s">
        <v>248</v>
      </c>
      <c r="C17" s="335"/>
      <c r="D17" s="335"/>
      <c r="E17" s="19" t="s">
        <v>199</v>
      </c>
      <c r="F17" s="346"/>
      <c r="G17" s="29"/>
      <c r="H17" s="363"/>
      <c r="I17" s="377"/>
      <c r="J17" s="377"/>
      <c r="K17" s="364"/>
      <c r="L17" s="71">
        <v>0.99897000000000002</v>
      </c>
      <c r="M17" s="71">
        <v>0.99897000000000002</v>
      </c>
      <c r="N17" s="71">
        <v>0.99363000000000001</v>
      </c>
      <c r="O17" s="71">
        <v>0.99363000000000001</v>
      </c>
      <c r="P17" s="29"/>
      <c r="Q17" s="71">
        <v>0.99363000000000001</v>
      </c>
      <c r="R17" s="71">
        <v>0.99363000000000001</v>
      </c>
      <c r="S17" s="151">
        <v>0.99690000000000001</v>
      </c>
      <c r="T17" s="151">
        <v>0.99690000000000001</v>
      </c>
      <c r="U17" s="151">
        <v>0.99929999999999997</v>
      </c>
      <c r="V17" s="151">
        <v>0.99929999999999997</v>
      </c>
      <c r="W17" s="217">
        <v>0.99960000000000004</v>
      </c>
      <c r="X17" s="217">
        <v>0.99960000000000004</v>
      </c>
      <c r="Y17" s="29"/>
      <c r="Z17" s="268">
        <v>1</v>
      </c>
      <c r="AA17" s="18"/>
      <c r="AB17" s="18"/>
      <c r="AD17" s="376"/>
      <c r="AE17" s="376"/>
      <c r="AF17" s="376"/>
      <c r="AG17" s="376"/>
      <c r="AH17" s="376"/>
      <c r="AI17" s="376"/>
      <c r="AJ17" s="376"/>
      <c r="AK17" s="376"/>
      <c r="AL17" s="376"/>
      <c r="AM17" s="376"/>
      <c r="AN17" s="376"/>
      <c r="AO17" s="376"/>
    </row>
    <row r="18" spans="1:41" s="54" customFormat="1">
      <c r="A18" s="15"/>
      <c r="B18" s="339" t="s">
        <v>51</v>
      </c>
      <c r="C18" s="340"/>
      <c r="D18" s="340"/>
      <c r="E18" s="340"/>
      <c r="F18" s="340"/>
      <c r="G18" s="29"/>
      <c r="H18" s="49"/>
      <c r="I18" s="49"/>
      <c r="J18" s="49"/>
      <c r="K18" s="49"/>
      <c r="L18" s="49"/>
      <c r="M18" s="50"/>
      <c r="N18" s="49"/>
      <c r="O18" s="49"/>
      <c r="P18" s="29"/>
      <c r="Q18" s="49"/>
      <c r="R18" s="49"/>
      <c r="S18" s="49"/>
      <c r="T18" s="51"/>
      <c r="U18" s="49"/>
      <c r="V18" s="49"/>
      <c r="W18" s="49"/>
      <c r="X18" s="49"/>
      <c r="Y18" s="29"/>
      <c r="Z18" s="49"/>
      <c r="AA18" s="49"/>
      <c r="AB18" s="49"/>
    </row>
    <row r="19" spans="1:41" s="4" customFormat="1" ht="11.4">
      <c r="A19" s="57"/>
      <c r="B19" s="373" t="s">
        <v>249</v>
      </c>
      <c r="C19" s="373"/>
      <c r="D19" s="373"/>
      <c r="E19" s="12" t="s">
        <v>164</v>
      </c>
      <c r="F19" s="12"/>
      <c r="G19" s="29"/>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9"/>
      <c r="Q19" s="5">
        <f>IF(Q14="","",((Q14*Q17)+Q15)/Q16)</f>
        <v>7.1131218301273513</v>
      </c>
      <c r="R19" s="5">
        <f t="shared" ref="R19:AB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9"/>
      <c r="Z19" s="5">
        <f t="shared" si="0"/>
        <v>9.9504863797742438</v>
      </c>
      <c r="AA19" s="5" t="str">
        <f t="shared" si="0"/>
        <v/>
      </c>
      <c r="AB19" s="5" t="str">
        <f t="shared" si="0"/>
        <v/>
      </c>
      <c r="AC19" s="6"/>
    </row>
    <row r="20" spans="1:41" s="15" customFormat="1">
      <c r="B20" s="58"/>
      <c r="C20" s="58"/>
      <c r="D20" s="58"/>
      <c r="G20" s="57"/>
      <c r="H20" s="66"/>
      <c r="I20" s="67"/>
      <c r="J20" s="67"/>
      <c r="K20" s="67"/>
      <c r="P20" s="57"/>
      <c r="Y20" s="57"/>
    </row>
    <row r="21" spans="1:41" s="15" customFormat="1">
      <c r="G21" s="57"/>
      <c r="P21" s="57"/>
      <c r="Y21" s="57"/>
    </row>
    <row r="22" spans="1:41" s="15" customFormat="1"/>
    <row r="23" spans="1:41" s="15" customFormat="1"/>
    <row r="24" spans="1:41" s="15" customFormat="1"/>
    <row r="25" spans="1:41" s="15" customFormat="1"/>
    <row r="26" spans="1:41" s="15" customFormat="1"/>
    <row r="27" spans="1:41" s="15" customFormat="1">
      <c r="Z27" s="215"/>
      <c r="AA27" s="213"/>
    </row>
    <row r="28" spans="1:41" s="15" customFormat="1">
      <c r="B28" s="68"/>
      <c r="C28" s="68"/>
      <c r="Z28" s="215"/>
      <c r="AA28" s="213"/>
    </row>
    <row r="29" spans="1:41" s="15" customFormat="1">
      <c r="Z29" s="216"/>
    </row>
    <row r="30" spans="1:41" s="15" customFormat="1">
      <c r="H30" s="69"/>
      <c r="I30" s="69"/>
      <c r="J30" s="69"/>
    </row>
    <row r="31" spans="1:41" s="15" customFormat="1"/>
    <row r="32" spans="1:41" s="15" customFormat="1"/>
    <row r="33" spans="10:15" s="15" customFormat="1">
      <c r="J33" s="69"/>
    </row>
    <row r="34" spans="10:15" s="15" customFormat="1">
      <c r="M34" s="70"/>
    </row>
    <row r="39" spans="10:15" ht="12.6" hidden="1" customHeight="1">
      <c r="K39" s="14"/>
      <c r="L39" s="25"/>
      <c r="M39" s="25"/>
      <c r="N39" s="25"/>
      <c r="O39" s="25"/>
    </row>
    <row r="40" spans="10:15" ht="12.6" hidden="1" customHeight="1">
      <c r="K40" s="14"/>
      <c r="L40" s="25"/>
      <c r="M40" s="25"/>
      <c r="N40" s="25"/>
      <c r="O40" s="25"/>
    </row>
  </sheetData>
  <mergeCells count="20">
    <mergeCell ref="AD17:AO17"/>
    <mergeCell ref="AD14:AO14"/>
    <mergeCell ref="H17:K17"/>
    <mergeCell ref="H14:K15"/>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C27"/>
  <sheetViews>
    <sheetView topLeftCell="L1" zoomScale="85" zoomScaleNormal="85" workbookViewId="0">
      <selection activeCell="Z13" sqref="Z13"/>
    </sheetView>
  </sheetViews>
  <sheetFormatPr defaultColWidth="0" defaultRowHeight="12.6" zeroHeight="1"/>
  <cols>
    <col min="1" max="1" width="2.81640625" customWidth="1"/>
    <col min="2" max="2" width="38.1796875" customWidth="1"/>
    <col min="3" max="3" width="41" customWidth="1"/>
    <col min="4" max="4" width="35" style="1" customWidth="1"/>
    <col min="5" max="5" width="13.1796875" customWidth="1"/>
    <col min="6" max="6" width="24.453125" customWidth="1"/>
    <col min="7" max="7" width="1.453125" customWidth="1"/>
    <col min="8" max="8" width="15.6328125" customWidth="1"/>
    <col min="9" max="9" width="12" customWidth="1"/>
    <col min="10" max="10" width="13.453125" customWidth="1"/>
    <col min="11" max="11" width="13.7265625" customWidth="1"/>
    <col min="12" max="12" width="14.81640625" customWidth="1"/>
    <col min="13" max="13" width="15.6328125" customWidth="1"/>
    <col min="14" max="15" width="13.81640625" customWidth="1"/>
    <col min="16" max="16" width="1.453125" customWidth="1"/>
    <col min="17" max="24" width="15.6328125" customWidth="1"/>
    <col min="25" max="25" width="1.453125" customWidth="1"/>
    <col min="26" max="28" width="15.6328125" customWidth="1"/>
    <col min="29" max="29" width="9" customWidth="1"/>
  </cols>
  <sheetData>
    <row r="1" spans="1:28" s="2" customFormat="1" ht="12.75" customHeight="1">
      <c r="E1" s="40"/>
    </row>
    <row r="2" spans="1:28" s="2" customFormat="1" ht="18.75" customHeight="1">
      <c r="B2" s="41" t="s">
        <v>250</v>
      </c>
      <c r="C2" s="41"/>
      <c r="E2" s="40"/>
    </row>
    <row r="3" spans="1:28" s="2" customFormat="1" ht="12.75" customHeight="1">
      <c r="B3" s="2" t="s">
        <v>251</v>
      </c>
      <c r="E3" s="40"/>
    </row>
    <row r="4" spans="1:28" s="2" customFormat="1" ht="12.75" customHeight="1">
      <c r="E4" s="40"/>
    </row>
    <row r="5" spans="1:28">
      <c r="A5" s="15"/>
      <c r="G5" s="28"/>
      <c r="P5" s="28"/>
      <c r="Y5" s="28"/>
    </row>
    <row r="6" spans="1:28" ht="14.25" customHeight="1">
      <c r="A6" s="15"/>
      <c r="B6" s="287" t="s">
        <v>27</v>
      </c>
      <c r="C6" s="341" t="s">
        <v>43</v>
      </c>
      <c r="D6" s="342" t="s">
        <v>187</v>
      </c>
      <c r="E6" s="341" t="s">
        <v>79</v>
      </c>
      <c r="F6" s="301"/>
      <c r="G6" s="45"/>
      <c r="H6" s="302" t="s">
        <v>80</v>
      </c>
      <c r="I6" s="303"/>
      <c r="J6" s="303"/>
      <c r="K6" s="303"/>
      <c r="L6" s="303"/>
      <c r="M6" s="303"/>
      <c r="N6" s="303"/>
      <c r="O6" s="304"/>
      <c r="P6" s="139"/>
      <c r="Q6" s="248" t="s">
        <v>81</v>
      </c>
      <c r="R6" s="249"/>
      <c r="S6" s="249"/>
      <c r="T6" s="249"/>
      <c r="U6" s="249"/>
      <c r="V6" s="249"/>
      <c r="W6" s="249"/>
      <c r="X6" s="249"/>
      <c r="Y6" s="45"/>
      <c r="Z6" s="249"/>
      <c r="AA6" s="249"/>
      <c r="AB6" s="250"/>
    </row>
    <row r="7" spans="1:28" ht="12.75" customHeight="1">
      <c r="A7" s="15"/>
      <c r="B7" s="287"/>
      <c r="C7" s="341"/>
      <c r="D7" s="342"/>
      <c r="E7" s="341"/>
      <c r="F7" s="301"/>
      <c r="G7" s="45"/>
      <c r="H7" s="288" t="s">
        <v>82</v>
      </c>
      <c r="I7" s="289"/>
      <c r="J7" s="289"/>
      <c r="K7" s="289"/>
      <c r="L7" s="289"/>
      <c r="M7" s="289"/>
      <c r="N7" s="289"/>
      <c r="O7" s="290"/>
      <c r="P7" s="139"/>
      <c r="Q7" s="251" t="s">
        <v>83</v>
      </c>
      <c r="R7" s="252"/>
      <c r="S7" s="252"/>
      <c r="T7" s="252"/>
      <c r="U7" s="252"/>
      <c r="V7" s="252"/>
      <c r="W7" s="252"/>
      <c r="X7" s="252"/>
      <c r="Y7" s="45"/>
      <c r="Z7" s="252"/>
      <c r="AA7" s="252"/>
      <c r="AB7" s="253"/>
    </row>
    <row r="8" spans="1:28" ht="22.8">
      <c r="A8" s="15"/>
      <c r="B8" s="287"/>
      <c r="C8" s="341"/>
      <c r="D8" s="342"/>
      <c r="E8" s="341"/>
      <c r="F8" s="55" t="s">
        <v>84</v>
      </c>
      <c r="G8" s="45"/>
      <c r="H8" s="30" t="s">
        <v>85</v>
      </c>
      <c r="I8" s="30" t="s">
        <v>86</v>
      </c>
      <c r="J8" s="30" t="s">
        <v>87</v>
      </c>
      <c r="K8" s="30" t="s">
        <v>88</v>
      </c>
      <c r="L8" s="30" t="s">
        <v>89</v>
      </c>
      <c r="M8" s="31" t="s">
        <v>90</v>
      </c>
      <c r="N8" s="30" t="s">
        <v>91</v>
      </c>
      <c r="O8" s="34" t="s">
        <v>92</v>
      </c>
      <c r="P8" s="45"/>
      <c r="Q8" s="30" t="s">
        <v>93</v>
      </c>
      <c r="R8" s="30" t="s">
        <v>94</v>
      </c>
      <c r="S8" s="30" t="s">
        <v>95</v>
      </c>
      <c r="T8" s="36" t="s">
        <v>96</v>
      </c>
      <c r="U8" s="30" t="s">
        <v>97</v>
      </c>
      <c r="V8" s="30" t="s">
        <v>98</v>
      </c>
      <c r="W8" s="30" t="s">
        <v>99</v>
      </c>
      <c r="X8" s="30" t="s">
        <v>100</v>
      </c>
      <c r="Y8" s="45"/>
      <c r="Z8" s="30" t="s">
        <v>101</v>
      </c>
      <c r="AA8" s="30" t="s">
        <v>102</v>
      </c>
      <c r="AB8" s="30" t="s">
        <v>103</v>
      </c>
    </row>
    <row r="9" spans="1:28" ht="22.8">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28" s="15" customFormat="1" ht="12.75" customHeight="1">
      <c r="B10" s="287"/>
      <c r="C10" s="341"/>
      <c r="D10" s="342"/>
      <c r="E10" s="341"/>
      <c r="F10" s="55" t="s">
        <v>106</v>
      </c>
      <c r="G10" s="45"/>
      <c r="H10" s="32" t="s">
        <v>107</v>
      </c>
      <c r="I10" s="32" t="s">
        <v>108</v>
      </c>
      <c r="J10" s="32" t="s">
        <v>109</v>
      </c>
      <c r="K10" s="32" t="s">
        <v>110</v>
      </c>
      <c r="L10" s="32" t="s">
        <v>111</v>
      </c>
      <c r="M10" s="33" t="s">
        <v>112</v>
      </c>
      <c r="N10" s="32" t="s">
        <v>113</v>
      </c>
      <c r="O10" s="32" t="s">
        <v>114</v>
      </c>
      <c r="P10" s="45"/>
      <c r="Q10" s="32" t="s">
        <v>115</v>
      </c>
      <c r="R10" s="32" t="s">
        <v>116</v>
      </c>
      <c r="S10" s="32" t="s">
        <v>117</v>
      </c>
      <c r="T10" s="37" t="s">
        <v>118</v>
      </c>
      <c r="U10" s="32" t="s">
        <v>119</v>
      </c>
      <c r="V10" s="32" t="s">
        <v>120</v>
      </c>
      <c r="W10" s="32" t="s">
        <v>121</v>
      </c>
      <c r="X10" s="32" t="s">
        <v>122</v>
      </c>
      <c r="Y10" s="45"/>
      <c r="Z10" s="32" t="s">
        <v>123</v>
      </c>
      <c r="AA10" s="32" t="s">
        <v>124</v>
      </c>
      <c r="AB10" s="32" t="s">
        <v>125</v>
      </c>
    </row>
    <row r="11" spans="1:28" s="15" customFormat="1">
      <c r="B11" s="287"/>
      <c r="C11" s="341"/>
      <c r="D11" s="342"/>
      <c r="E11" s="341"/>
      <c r="F11" s="56" t="s">
        <v>252</v>
      </c>
      <c r="G11" s="45"/>
      <c r="H11" s="30" t="s">
        <v>127</v>
      </c>
      <c r="I11" s="30" t="s">
        <v>127</v>
      </c>
      <c r="J11" s="30" t="s">
        <v>128</v>
      </c>
      <c r="K11" s="30" t="s">
        <v>128</v>
      </c>
      <c r="L11" s="30" t="s">
        <v>129</v>
      </c>
      <c r="M11" s="31" t="s">
        <v>129</v>
      </c>
      <c r="N11" s="30" t="s">
        <v>130</v>
      </c>
      <c r="O11" s="30" t="s">
        <v>130</v>
      </c>
      <c r="P11" s="45"/>
      <c r="Q11" s="30" t="s">
        <v>131</v>
      </c>
      <c r="R11" s="30" t="s">
        <v>132</v>
      </c>
      <c r="S11" s="30" t="s">
        <v>132</v>
      </c>
      <c r="T11" s="36" t="s">
        <v>133</v>
      </c>
      <c r="U11" s="30" t="s">
        <v>133</v>
      </c>
      <c r="V11" s="30" t="s">
        <v>134</v>
      </c>
      <c r="W11" s="30" t="s">
        <v>134</v>
      </c>
      <c r="X11" s="30" t="s">
        <v>135</v>
      </c>
      <c r="Y11" s="45"/>
      <c r="Z11" s="30" t="s">
        <v>135</v>
      </c>
      <c r="AA11" s="30" t="s">
        <v>136</v>
      </c>
      <c r="AB11" s="30" t="s">
        <v>136</v>
      </c>
    </row>
    <row r="12" spans="1:28" s="15" customFormat="1">
      <c r="B12" s="339" t="s">
        <v>55</v>
      </c>
      <c r="C12" s="340"/>
      <c r="D12" s="340"/>
      <c r="E12" s="340"/>
      <c r="F12" s="340"/>
      <c r="G12" s="53"/>
      <c r="H12" s="49"/>
      <c r="I12" s="49"/>
      <c r="J12" s="49"/>
      <c r="K12" s="49"/>
      <c r="L12" s="49"/>
      <c r="M12" s="50"/>
      <c r="N12" s="49"/>
      <c r="O12" s="49"/>
      <c r="P12" s="53"/>
      <c r="Q12" s="49"/>
      <c r="R12" s="49"/>
      <c r="S12" s="49"/>
      <c r="T12" s="51"/>
      <c r="U12" s="49"/>
      <c r="V12" s="49"/>
      <c r="W12" s="49"/>
      <c r="X12" s="49"/>
      <c r="Y12" s="53"/>
      <c r="Z12" s="49"/>
      <c r="AA12" s="49"/>
      <c r="AB12" s="49"/>
    </row>
    <row r="13" spans="1:28" s="15" customFormat="1">
      <c r="B13" s="27" t="s">
        <v>253</v>
      </c>
      <c r="C13" s="27"/>
      <c r="D13" s="211" t="s">
        <v>254</v>
      </c>
      <c r="E13" s="3" t="s">
        <v>255</v>
      </c>
      <c r="F13" s="365"/>
      <c r="G13" s="45"/>
      <c r="H13" s="13"/>
      <c r="I13" s="47">
        <v>2.1649000000000002E-2</v>
      </c>
      <c r="J13" s="22"/>
      <c r="K13" s="39">
        <v>2.3129E-2</v>
      </c>
      <c r="L13" s="21"/>
      <c r="M13" s="39">
        <v>2.3116000000000001E-2</v>
      </c>
      <c r="N13" s="21"/>
      <c r="O13" s="39">
        <v>2.4527E-2</v>
      </c>
      <c r="P13" s="45"/>
      <c r="Q13" s="39">
        <v>2.4527E-2</v>
      </c>
      <c r="R13" s="234"/>
      <c r="S13" s="39">
        <v>2.6270000000000002E-2</v>
      </c>
      <c r="T13" s="234"/>
      <c r="U13" s="39">
        <v>3.0446000000000001E-2</v>
      </c>
      <c r="V13" s="234"/>
      <c r="W13" s="39">
        <v>4.0426999999999998E-2</v>
      </c>
      <c r="X13" s="234"/>
      <c r="Y13" s="45"/>
      <c r="Z13" s="263">
        <v>4.0669999999999998E-2</v>
      </c>
      <c r="AA13" s="234"/>
      <c r="AB13" s="236"/>
    </row>
    <row r="14" spans="1:28" s="15" customFormat="1">
      <c r="B14" s="27" t="s">
        <v>256</v>
      </c>
      <c r="C14" s="392" t="s">
        <v>257</v>
      </c>
      <c r="D14" s="211" t="s">
        <v>254</v>
      </c>
      <c r="E14" s="3" t="s">
        <v>255</v>
      </c>
      <c r="F14" s="390"/>
      <c r="G14" s="45"/>
      <c r="H14" s="39">
        <v>2.1361000000000002E-2</v>
      </c>
      <c r="I14" s="388"/>
      <c r="J14" s="39">
        <v>2.1649000000000002E-2</v>
      </c>
      <c r="K14" s="386"/>
      <c r="L14" s="39">
        <v>2.3129E-2</v>
      </c>
      <c r="M14" s="384"/>
      <c r="N14" s="39">
        <v>2.3116000000000001E-2</v>
      </c>
      <c r="O14" s="384"/>
      <c r="P14" s="45"/>
      <c r="Q14" s="329"/>
      <c r="R14" s="39">
        <v>2.4527E-2</v>
      </c>
      <c r="S14" s="329"/>
      <c r="T14" s="39">
        <v>2.6270000000000002E-2</v>
      </c>
      <c r="U14" s="329"/>
      <c r="V14" s="39">
        <f>0.030446+0.012483</f>
        <v>4.2929000000000002E-2</v>
      </c>
      <c r="W14" s="329"/>
      <c r="X14" s="39">
        <v>4.0426999999999998E-2</v>
      </c>
      <c r="Y14" s="45"/>
      <c r="Z14" s="329"/>
      <c r="AA14" s="236"/>
      <c r="AB14" s="329"/>
    </row>
    <row r="15" spans="1:28" s="15" customFormat="1" ht="42" customHeight="1">
      <c r="B15" s="27" t="s">
        <v>258</v>
      </c>
      <c r="C15" s="393"/>
      <c r="D15" s="211" t="s">
        <v>259</v>
      </c>
      <c r="E15" s="3" t="s">
        <v>199</v>
      </c>
      <c r="F15" s="390"/>
      <c r="G15" s="45"/>
      <c r="H15" s="48">
        <v>3</v>
      </c>
      <c r="I15" s="389"/>
      <c r="J15" s="152">
        <v>2.4</v>
      </c>
      <c r="K15" s="387"/>
      <c r="L15" s="152">
        <v>1.8</v>
      </c>
      <c r="M15" s="385"/>
      <c r="N15" s="152">
        <v>3.8211141420510399</v>
      </c>
      <c r="O15" s="385"/>
      <c r="P15" s="45"/>
      <c r="Q15" s="330"/>
      <c r="R15" s="152">
        <v>3.3906618707162863</v>
      </c>
      <c r="S15" s="330"/>
      <c r="T15" s="152">
        <v>2.9462716452876094</v>
      </c>
      <c r="U15" s="330"/>
      <c r="V15" s="154">
        <v>1.1073457872565307</v>
      </c>
      <c r="W15" s="330"/>
      <c r="X15" s="152">
        <v>4.5872469714375299</v>
      </c>
      <c r="Y15" s="45"/>
      <c r="Z15" s="330"/>
      <c r="AA15" s="236"/>
      <c r="AB15" s="330"/>
    </row>
    <row r="16" spans="1:28" s="15" customFormat="1">
      <c r="B16" s="339" t="s">
        <v>51</v>
      </c>
      <c r="C16" s="340"/>
      <c r="D16" s="340"/>
      <c r="E16" s="340"/>
      <c r="F16" s="340"/>
      <c r="G16" s="53"/>
      <c r="H16" s="49"/>
      <c r="I16" s="49"/>
      <c r="J16" s="49"/>
      <c r="K16" s="49"/>
      <c r="L16" s="49"/>
      <c r="M16" s="50"/>
      <c r="N16" s="49"/>
      <c r="O16" s="49"/>
      <c r="P16" s="53"/>
      <c r="Q16" s="49"/>
      <c r="R16" s="49"/>
      <c r="S16" s="49"/>
      <c r="T16" s="51"/>
      <c r="U16" s="49"/>
      <c r="V16" s="49"/>
      <c r="W16" s="49"/>
      <c r="X16" s="49"/>
      <c r="Y16" s="53"/>
      <c r="Z16" s="49"/>
      <c r="AA16" s="49"/>
      <c r="AB16" s="49"/>
    </row>
    <row r="17" spans="1:29" s="15" customFormat="1" ht="12.75" customHeight="1">
      <c r="B17" s="336" t="s">
        <v>260</v>
      </c>
      <c r="C17" s="337"/>
      <c r="D17" s="338"/>
      <c r="E17" s="3" t="s">
        <v>194</v>
      </c>
      <c r="F17" s="359"/>
      <c r="G17" s="45"/>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6"/>
      <c r="Q17" s="5" t="str">
        <f>IF(Q14="","",Q14*(1+Q15/100))</f>
        <v/>
      </c>
      <c r="R17" s="5">
        <f t="shared" ref="R17:AB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6"/>
      <c r="Z17" s="5" t="str">
        <f t="shared" si="1"/>
        <v/>
      </c>
      <c r="AA17" s="5" t="str">
        <f t="shared" si="1"/>
        <v/>
      </c>
      <c r="AB17" s="5" t="str">
        <f t="shared" si="1"/>
        <v/>
      </c>
    </row>
    <row r="18" spans="1:29" s="4" customFormat="1" ht="11.4">
      <c r="A18" s="57"/>
      <c r="B18" s="326" t="s">
        <v>261</v>
      </c>
      <c r="C18" s="327"/>
      <c r="D18" s="328"/>
      <c r="E18" s="12" t="s">
        <v>174</v>
      </c>
      <c r="F18" s="391"/>
      <c r="G18" s="45"/>
      <c r="H18" s="5">
        <f>IF(H13="",IF(H17="","-",H17*10),H13*10)</f>
        <v>0.22001830000000003</v>
      </c>
      <c r="I18" s="5">
        <f t="shared" ref="I18:O18" si="2">IF(I13="",IF(I17="","-",I17*10),I13*10)</f>
        <v>0.21649000000000002</v>
      </c>
      <c r="J18" s="5">
        <f t="shared" si="2"/>
        <v>0.22168576000000001</v>
      </c>
      <c r="K18" s="5">
        <f t="shared" si="2"/>
        <v>0.23129</v>
      </c>
      <c r="L18" s="5">
        <f t="shared" si="2"/>
        <v>0.23545322000000002</v>
      </c>
      <c r="M18" s="5">
        <f t="shared" si="2"/>
        <v>0.23116</v>
      </c>
      <c r="N18" s="5">
        <f>IF(N13="",IF(N17="","-",N17*10),N13*10)</f>
        <v>0.23999288745076519</v>
      </c>
      <c r="O18" s="5">
        <f t="shared" si="2"/>
        <v>0.24526999999999999</v>
      </c>
      <c r="P18" s="45"/>
      <c r="Q18" s="5">
        <f t="shared" ref="Q18:AB18" si="3">IF(Q13="",IF(Q17="","-",Q17*10),Q13*10)</f>
        <v>0.24526999999999999</v>
      </c>
      <c r="R18" s="5">
        <f t="shared" si="3"/>
        <v>0.25358627637030584</v>
      </c>
      <c r="S18" s="5">
        <f t="shared" si="3"/>
        <v>0.26270000000000004</v>
      </c>
      <c r="T18" s="5">
        <f t="shared" si="3"/>
        <v>0.27043985561217054</v>
      </c>
      <c r="U18" s="5">
        <f>IF(U13="",IF(U17="","-",U17*10),U13*10)</f>
        <v>0.30446000000000001</v>
      </c>
      <c r="V18" s="5">
        <f t="shared" si="3"/>
        <v>0.43404372473011354</v>
      </c>
      <c r="W18" s="5">
        <f t="shared" si="3"/>
        <v>0.40426999999999996</v>
      </c>
      <c r="X18" s="5">
        <f t="shared" si="3"/>
        <v>0.42281486333143048</v>
      </c>
      <c r="Y18" s="45"/>
      <c r="Z18" s="5">
        <f t="shared" si="3"/>
        <v>0.40669999999999995</v>
      </c>
      <c r="AA18" s="5" t="str">
        <f t="shared" si="3"/>
        <v>-</v>
      </c>
      <c r="AB18" s="5" t="str">
        <f t="shared" si="3"/>
        <v>-</v>
      </c>
      <c r="AC18" s="6"/>
    </row>
    <row r="19" spans="1:29" s="15" customFormat="1">
      <c r="B19" s="58"/>
      <c r="C19" s="58"/>
      <c r="D19" s="58"/>
      <c r="G19" s="59"/>
      <c r="P19" s="59"/>
      <c r="Y19" s="59"/>
    </row>
    <row r="20" spans="1:29" s="15" customFormat="1">
      <c r="D20" s="58"/>
      <c r="G20" s="59"/>
      <c r="P20" s="60"/>
      <c r="Y20" s="60"/>
    </row>
    <row r="21" spans="1:29" hidden="1">
      <c r="B21" s="7"/>
      <c r="C21" s="7"/>
      <c r="G21" s="29"/>
      <c r="P21" s="38"/>
      <c r="Y21" s="38"/>
    </row>
    <row r="22" spans="1:29" hidden="1">
      <c r="G22" s="29"/>
      <c r="P22" s="38"/>
      <c r="Y22" s="38"/>
    </row>
    <row r="23" spans="1:29" hidden="1">
      <c r="D23"/>
      <c r="P23" s="38"/>
      <c r="Y23" s="38"/>
    </row>
    <row r="24" spans="1:29" hidden="1">
      <c r="B24" s="23"/>
      <c r="C24" s="23"/>
      <c r="D24" s="24"/>
      <c r="E24" s="24"/>
      <c r="F24" s="24"/>
      <c r="H24" s="24"/>
    </row>
    <row r="25" spans="1:29" hidden="1">
      <c r="D25" s="42"/>
      <c r="E25" s="42"/>
      <c r="F25" s="42"/>
      <c r="H25" s="42"/>
    </row>
    <row r="26" spans="1:29" hidden="1">
      <c r="D26" s="43"/>
      <c r="E26" s="43"/>
      <c r="F26" s="43"/>
      <c r="H26" s="42"/>
    </row>
    <row r="27" spans="1:29" hidden="1">
      <c r="D27" s="44"/>
      <c r="E27" s="44"/>
      <c r="F27" s="44"/>
      <c r="H27" s="44"/>
    </row>
  </sheetData>
  <mergeCells count="24">
    <mergeCell ref="B17:D17"/>
    <mergeCell ref="F13:F15"/>
    <mergeCell ref="F17:F18"/>
    <mergeCell ref="B12:F12"/>
    <mergeCell ref="B16:F16"/>
    <mergeCell ref="B18:D18"/>
    <mergeCell ref="C14:C15"/>
    <mergeCell ref="E6:E11"/>
    <mergeCell ref="D6:D11"/>
    <mergeCell ref="C6:C11"/>
    <mergeCell ref="B6:B11"/>
    <mergeCell ref="F6:F7"/>
    <mergeCell ref="AB14:AB15"/>
    <mergeCell ref="H6:O6"/>
    <mergeCell ref="H7:O7"/>
    <mergeCell ref="Q14:Q15"/>
    <mergeCell ref="S14:S15"/>
    <mergeCell ref="U14:U15"/>
    <mergeCell ref="W14:W15"/>
    <mergeCell ref="Z14:Z15"/>
    <mergeCell ref="M14:M15"/>
    <mergeCell ref="K14:K15"/>
    <mergeCell ref="I14:I15"/>
    <mergeCell ref="O14:O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B47"/>
  <sheetViews>
    <sheetView topLeftCell="K1" zoomScale="85" zoomScaleNormal="85" workbookViewId="0">
      <selection activeCell="Y15" sqref="Y15:Y42"/>
    </sheetView>
  </sheetViews>
  <sheetFormatPr defaultColWidth="0" defaultRowHeight="12.6" zeroHeight="1"/>
  <cols>
    <col min="1" max="1" width="9" customWidth="1"/>
    <col min="2" max="2" width="12.6328125" customWidth="1"/>
    <col min="3" max="3" width="9" customWidth="1"/>
    <col min="4" max="4" width="19.7265625" customWidth="1"/>
    <col min="5" max="5" width="25" customWidth="1"/>
    <col min="6" max="6" width="2.453125" customWidth="1"/>
    <col min="7" max="14" width="15.6328125" customWidth="1"/>
    <col min="15" max="15" width="2.453125" customWidth="1"/>
    <col min="16" max="23" width="15.6328125" customWidth="1"/>
    <col min="24" max="24" width="2.453125" customWidth="1"/>
    <col min="25" max="27" width="15.6328125" customWidth="1"/>
    <col min="28" max="28" width="9" customWidth="1"/>
  </cols>
  <sheetData>
    <row r="1" spans="1:28" s="2" customFormat="1" ht="12.75" customHeight="1"/>
    <row r="2" spans="1:28" s="2" customFormat="1" ht="18.75" customHeight="1">
      <c r="B2" s="41" t="s">
        <v>336</v>
      </c>
      <c r="C2" s="41"/>
      <c r="D2" s="41"/>
      <c r="E2" s="41"/>
      <c r="F2" s="41"/>
    </row>
    <row r="3" spans="1:28" s="2" customFormat="1" ht="28.5" customHeight="1">
      <c r="B3" s="297" t="s">
        <v>337</v>
      </c>
      <c r="C3" s="297"/>
      <c r="D3" s="297"/>
      <c r="E3" s="297"/>
      <c r="F3" s="297"/>
      <c r="G3" s="297"/>
      <c r="H3" s="297"/>
      <c r="I3" s="40"/>
      <c r="J3" s="40"/>
      <c r="K3" s="40"/>
      <c r="L3" s="40"/>
      <c r="M3" s="40"/>
      <c r="N3" s="40"/>
      <c r="O3" s="40"/>
      <c r="P3" s="40"/>
      <c r="Q3" s="40"/>
      <c r="X3" s="40"/>
    </row>
    <row r="4" spans="1:28" s="2" customFormat="1" ht="12.75" customHeight="1"/>
    <row r="5" spans="1:28" s="15" customFormat="1">
      <c r="G5" s="57"/>
      <c r="P5" s="57"/>
    </row>
    <row r="6" spans="1:28" s="15" customFormat="1"/>
    <row r="7" spans="1:28">
      <c r="A7" s="93"/>
      <c r="B7" s="94" t="s">
        <v>338</v>
      </c>
      <c r="C7" s="93"/>
      <c r="D7" s="93"/>
      <c r="E7" s="93"/>
      <c r="F7" s="93"/>
      <c r="G7" s="93"/>
      <c r="H7" s="93"/>
      <c r="I7" s="93"/>
      <c r="J7" s="93"/>
      <c r="K7" s="93"/>
      <c r="L7" s="93"/>
      <c r="M7" s="401"/>
      <c r="N7" s="401"/>
      <c r="O7" s="401"/>
      <c r="P7" s="401"/>
      <c r="Q7" s="401"/>
      <c r="R7" s="401"/>
      <c r="S7" s="401"/>
      <c r="T7" s="401"/>
      <c r="U7" s="401"/>
      <c r="V7" s="401"/>
      <c r="W7" s="401"/>
      <c r="X7" s="401"/>
      <c r="Y7" s="401"/>
      <c r="Z7" s="401"/>
      <c r="AA7" s="401"/>
      <c r="AB7" s="401"/>
    </row>
    <row r="8" spans="1:28" s="15" customFormat="1"/>
    <row r="9" spans="1:28">
      <c r="A9" s="15"/>
      <c r="B9" s="402" t="s">
        <v>339</v>
      </c>
      <c r="C9" s="397" t="s">
        <v>340</v>
      </c>
      <c r="D9" s="396" t="s">
        <v>78</v>
      </c>
      <c r="E9" s="398"/>
      <c r="F9" s="29"/>
      <c r="G9" s="302" t="s">
        <v>80</v>
      </c>
      <c r="H9" s="303"/>
      <c r="I9" s="303"/>
      <c r="J9" s="303"/>
      <c r="K9" s="303"/>
      <c r="L9" s="303"/>
      <c r="M9" s="303"/>
      <c r="N9" s="304"/>
      <c r="O9" s="139"/>
      <c r="P9" s="248" t="s">
        <v>81</v>
      </c>
      <c r="Q9" s="249"/>
      <c r="R9" s="249"/>
      <c r="S9" s="249"/>
      <c r="T9" s="249"/>
      <c r="U9" s="249"/>
      <c r="V9" s="249"/>
      <c r="W9" s="249"/>
      <c r="X9" s="29"/>
      <c r="Y9" s="249"/>
      <c r="Z9" s="249"/>
      <c r="AA9" s="250"/>
    </row>
    <row r="10" spans="1:28" ht="12.75" customHeight="1">
      <c r="A10" s="15"/>
      <c r="B10" s="402"/>
      <c r="C10" s="397"/>
      <c r="D10" s="396"/>
      <c r="E10" s="399"/>
      <c r="F10" s="29"/>
      <c r="G10" s="288" t="s">
        <v>82</v>
      </c>
      <c r="H10" s="289"/>
      <c r="I10" s="289"/>
      <c r="J10" s="289"/>
      <c r="K10" s="289"/>
      <c r="L10" s="289"/>
      <c r="M10" s="289"/>
      <c r="N10" s="290"/>
      <c r="O10" s="139"/>
      <c r="P10" s="251" t="s">
        <v>83</v>
      </c>
      <c r="Q10" s="252"/>
      <c r="R10" s="252"/>
      <c r="S10" s="252"/>
      <c r="T10" s="252"/>
      <c r="U10" s="252"/>
      <c r="V10" s="252"/>
      <c r="W10" s="252"/>
      <c r="X10" s="29"/>
      <c r="Y10" s="252"/>
      <c r="Z10" s="252"/>
      <c r="AA10" s="253"/>
    </row>
    <row r="11" spans="1:28" ht="25.5" customHeight="1">
      <c r="A11" s="15"/>
      <c r="B11" s="402"/>
      <c r="C11" s="397"/>
      <c r="D11" s="396"/>
      <c r="E11" s="100" t="s">
        <v>84</v>
      </c>
      <c r="F11" s="29"/>
      <c r="G11" s="34" t="s">
        <v>85</v>
      </c>
      <c r="H11" s="34" t="s">
        <v>86</v>
      </c>
      <c r="I11" s="34" t="s">
        <v>87</v>
      </c>
      <c r="J11" s="34" t="s">
        <v>88</v>
      </c>
      <c r="K11" s="34" t="s">
        <v>89</v>
      </c>
      <c r="L11" s="35" t="s">
        <v>90</v>
      </c>
      <c r="M11" s="34" t="s">
        <v>91</v>
      </c>
      <c r="N11" s="34" t="s">
        <v>92</v>
      </c>
      <c r="O11" s="29"/>
      <c r="P11" s="30" t="s">
        <v>93</v>
      </c>
      <c r="Q11" s="30" t="s">
        <v>94</v>
      </c>
      <c r="R11" s="30" t="s">
        <v>95</v>
      </c>
      <c r="S11" s="36" t="s">
        <v>96</v>
      </c>
      <c r="T11" s="30" t="s">
        <v>97</v>
      </c>
      <c r="U11" s="30" t="s">
        <v>98</v>
      </c>
      <c r="V11" s="30" t="s">
        <v>99</v>
      </c>
      <c r="W11" s="30" t="s">
        <v>100</v>
      </c>
      <c r="X11" s="29"/>
      <c r="Y11" s="30" t="s">
        <v>101</v>
      </c>
      <c r="Z11" s="30" t="s">
        <v>102</v>
      </c>
      <c r="AA11" s="30" t="s">
        <v>103</v>
      </c>
    </row>
    <row r="12" spans="1:28" ht="25.5" customHeight="1">
      <c r="A12" s="15"/>
      <c r="B12" s="402"/>
      <c r="C12" s="397"/>
      <c r="D12" s="396"/>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8" ht="15" customHeight="1">
      <c r="A13" s="15"/>
      <c r="B13" s="402"/>
      <c r="C13" s="397"/>
      <c r="D13" s="396"/>
      <c r="E13" s="100" t="s">
        <v>106</v>
      </c>
      <c r="F13" s="29"/>
      <c r="G13" s="32" t="s">
        <v>107</v>
      </c>
      <c r="H13" s="32" t="s">
        <v>108</v>
      </c>
      <c r="I13" s="32" t="s">
        <v>109</v>
      </c>
      <c r="J13" s="32" t="s">
        <v>110</v>
      </c>
      <c r="K13" s="32" t="s">
        <v>111</v>
      </c>
      <c r="L13" s="33" t="s">
        <v>112</v>
      </c>
      <c r="M13" s="32" t="s">
        <v>113</v>
      </c>
      <c r="N13" s="32" t="s">
        <v>114</v>
      </c>
      <c r="O13" s="29"/>
      <c r="P13" s="32" t="s">
        <v>115</v>
      </c>
      <c r="Q13" s="32" t="s">
        <v>116</v>
      </c>
      <c r="R13" s="32" t="s">
        <v>117</v>
      </c>
      <c r="S13" s="37" t="s">
        <v>118</v>
      </c>
      <c r="T13" s="32" t="s">
        <v>119</v>
      </c>
      <c r="U13" s="32" t="s">
        <v>120</v>
      </c>
      <c r="V13" s="32" t="s">
        <v>121</v>
      </c>
      <c r="W13" s="32" t="s">
        <v>122</v>
      </c>
      <c r="X13" s="29"/>
      <c r="Y13" s="32" t="s">
        <v>123</v>
      </c>
      <c r="Z13" s="32" t="s">
        <v>124</v>
      </c>
      <c r="AA13" s="32" t="s">
        <v>125</v>
      </c>
    </row>
    <row r="14" spans="1:28" ht="15" customHeight="1">
      <c r="A14" s="15"/>
      <c r="B14" s="402"/>
      <c r="C14" s="397"/>
      <c r="D14" s="396"/>
      <c r="E14" s="101" t="s">
        <v>252</v>
      </c>
      <c r="F14" s="29"/>
      <c r="G14" s="30" t="s">
        <v>127</v>
      </c>
      <c r="H14" s="30" t="s">
        <v>127</v>
      </c>
      <c r="I14" s="30" t="s">
        <v>128</v>
      </c>
      <c r="J14" s="30" t="s">
        <v>128</v>
      </c>
      <c r="K14" s="30" t="s">
        <v>129</v>
      </c>
      <c r="L14" s="31" t="s">
        <v>129</v>
      </c>
      <c r="M14" s="30" t="s">
        <v>130</v>
      </c>
      <c r="N14" s="30" t="s">
        <v>130</v>
      </c>
      <c r="O14" s="29"/>
      <c r="P14" s="30" t="s">
        <v>131</v>
      </c>
      <c r="Q14" s="30" t="s">
        <v>132</v>
      </c>
      <c r="R14" s="30" t="s">
        <v>132</v>
      </c>
      <c r="S14" s="36" t="s">
        <v>133</v>
      </c>
      <c r="T14" s="30" t="s">
        <v>133</v>
      </c>
      <c r="U14" s="30" t="s">
        <v>134</v>
      </c>
      <c r="V14" s="30" t="s">
        <v>134</v>
      </c>
      <c r="W14" s="30" t="s">
        <v>135</v>
      </c>
      <c r="X14" s="29"/>
      <c r="Y14" s="30" t="s">
        <v>135</v>
      </c>
      <c r="Z14" s="30" t="s">
        <v>136</v>
      </c>
      <c r="AA14" s="30" t="s">
        <v>136</v>
      </c>
    </row>
    <row r="15" spans="1:28" ht="12.75" customHeight="1">
      <c r="A15" s="15"/>
      <c r="B15" s="300" t="s">
        <v>341</v>
      </c>
      <c r="C15" s="98">
        <v>1</v>
      </c>
      <c r="D15" s="99" t="s">
        <v>138</v>
      </c>
      <c r="E15" s="400"/>
      <c r="F15" s="29"/>
      <c r="G15" s="138">
        <v>1.0949858793281448</v>
      </c>
      <c r="H15" s="138">
        <v>1.0949858793281448</v>
      </c>
      <c r="I15" s="138">
        <v>1.0949858793281448</v>
      </c>
      <c r="J15" s="138">
        <v>1.0949858793281448</v>
      </c>
      <c r="K15" s="138">
        <v>1.0949858793281448</v>
      </c>
      <c r="L15" s="138">
        <v>1.0949858793281448</v>
      </c>
      <c r="M15" s="138">
        <v>1.0834385940745799</v>
      </c>
      <c r="N15" s="138">
        <v>1.0834385940745799</v>
      </c>
      <c r="O15" s="29"/>
      <c r="P15" s="138">
        <v>1.0834385940745799</v>
      </c>
      <c r="Q15" s="138">
        <v>1.0890285431507547</v>
      </c>
      <c r="R15" s="138">
        <v>1.089038749889933</v>
      </c>
      <c r="S15" s="138">
        <v>1.0874483229921645</v>
      </c>
      <c r="T15" s="138">
        <v>1.0875029312038718</v>
      </c>
      <c r="U15" s="138">
        <v>1.08585979877342</v>
      </c>
      <c r="V15" s="138">
        <v>1.085848917745023</v>
      </c>
      <c r="W15" s="225">
        <v>1.0898115402143711</v>
      </c>
      <c r="X15" s="29"/>
      <c r="Y15" s="225">
        <v>1.0897993159999999</v>
      </c>
      <c r="Z15" s="91"/>
      <c r="AA15" s="91"/>
    </row>
    <row r="16" spans="1:28">
      <c r="A16" s="15"/>
      <c r="B16" s="300"/>
      <c r="C16" s="98">
        <v>2</v>
      </c>
      <c r="D16" s="99" t="s">
        <v>140</v>
      </c>
      <c r="E16" s="400"/>
      <c r="F16" s="29"/>
      <c r="G16" s="138">
        <v>1.0708036775576268</v>
      </c>
      <c r="H16" s="138">
        <v>1.0708036775576268</v>
      </c>
      <c r="I16" s="138">
        <v>1.0708036775576268</v>
      </c>
      <c r="J16" s="138">
        <v>1.0708036775576268</v>
      </c>
      <c r="K16" s="138">
        <v>1.0708036775576268</v>
      </c>
      <c r="L16" s="138">
        <v>1.0708036775576268</v>
      </c>
      <c r="M16" s="138">
        <v>1.0708036775576268</v>
      </c>
      <c r="N16" s="138">
        <v>1.0708036775576268</v>
      </c>
      <c r="O16" s="29"/>
      <c r="P16" s="138">
        <v>1.0708036775576268</v>
      </c>
      <c r="Q16" s="138">
        <v>1.0679783265695075</v>
      </c>
      <c r="R16" s="138">
        <v>1.0679827167619282</v>
      </c>
      <c r="S16" s="138">
        <v>1.0679827167619282</v>
      </c>
      <c r="T16" s="138">
        <v>1.0679932251333426</v>
      </c>
      <c r="U16" s="138">
        <v>1.066763623447796</v>
      </c>
      <c r="V16" s="138">
        <v>1.066742956946414</v>
      </c>
      <c r="W16" s="225">
        <v>1.066742956946414</v>
      </c>
      <c r="X16" s="29"/>
      <c r="Y16" s="225">
        <v>1.0667507409999999</v>
      </c>
      <c r="Z16" s="91"/>
      <c r="AA16" s="91"/>
    </row>
    <row r="17" spans="1:27">
      <c r="A17" s="15"/>
      <c r="B17" s="300"/>
      <c r="C17" s="98">
        <v>3</v>
      </c>
      <c r="D17" s="99" t="s">
        <v>141</v>
      </c>
      <c r="E17" s="400"/>
      <c r="F17" s="29"/>
      <c r="G17" s="138">
        <v>1.0817492877987211</v>
      </c>
      <c r="H17" s="138">
        <v>1.0817492877987211</v>
      </c>
      <c r="I17" s="138">
        <v>1.0817492877987211</v>
      </c>
      <c r="J17" s="138">
        <v>1.0817492877987211</v>
      </c>
      <c r="K17" s="138">
        <v>1.0817492877987211</v>
      </c>
      <c r="L17" s="138">
        <v>1.0817492877987211</v>
      </c>
      <c r="M17" s="138">
        <v>1.0832986726933644</v>
      </c>
      <c r="N17" s="138">
        <v>1.0832986726933644</v>
      </c>
      <c r="O17" s="29"/>
      <c r="P17" s="138">
        <v>1.0832986726933644</v>
      </c>
      <c r="Q17" s="138">
        <v>1.0826949605071026</v>
      </c>
      <c r="R17" s="138">
        <v>1.0827071120076854</v>
      </c>
      <c r="S17" s="138">
        <v>1.0809673614300677</v>
      </c>
      <c r="T17" s="138">
        <v>1.0810097968527648</v>
      </c>
      <c r="U17" s="138">
        <v>1.0808933110074093</v>
      </c>
      <c r="V17" s="138">
        <v>1.0808916214500004</v>
      </c>
      <c r="W17" s="225">
        <v>1.089365904855816</v>
      </c>
      <c r="X17" s="29"/>
      <c r="Y17" s="225">
        <v>1.0893587920000001</v>
      </c>
      <c r="Z17" s="91"/>
      <c r="AA17" s="91"/>
    </row>
    <row r="18" spans="1:27">
      <c r="A18" s="15"/>
      <c r="B18" s="300"/>
      <c r="C18" s="98">
        <v>4</v>
      </c>
      <c r="D18" s="99" t="s">
        <v>142</v>
      </c>
      <c r="E18" s="400"/>
      <c r="F18" s="29"/>
      <c r="G18" s="138">
        <v>1.0949504131351664</v>
      </c>
      <c r="H18" s="138">
        <v>1.0949504131351664</v>
      </c>
      <c r="I18" s="138">
        <v>1.0949504131351664</v>
      </c>
      <c r="J18" s="138">
        <v>1.0949504131351664</v>
      </c>
      <c r="K18" s="138">
        <v>1.0949504131351664</v>
      </c>
      <c r="L18" s="138">
        <v>1.0949504131351664</v>
      </c>
      <c r="M18" s="138">
        <v>1.1027101049442916</v>
      </c>
      <c r="N18" s="138">
        <v>1.1027101049442916</v>
      </c>
      <c r="O18" s="29"/>
      <c r="P18" s="138">
        <v>1.1027101049442916</v>
      </c>
      <c r="Q18" s="138">
        <v>1.1047382103549057</v>
      </c>
      <c r="R18" s="138">
        <v>1.1047700847377127</v>
      </c>
      <c r="S18" s="138">
        <v>1.1117235831881356</v>
      </c>
      <c r="T18" s="138">
        <v>1.111788242398184</v>
      </c>
      <c r="U18" s="138">
        <v>1.1075253856072571</v>
      </c>
      <c r="V18" s="138">
        <v>1.107449123040477</v>
      </c>
      <c r="W18" s="225">
        <v>1.1161302471517789</v>
      </c>
      <c r="X18" s="29"/>
      <c r="Y18" s="225">
        <v>1.1161511879999999</v>
      </c>
      <c r="Z18" s="91"/>
      <c r="AA18" s="91"/>
    </row>
    <row r="19" spans="1:27">
      <c r="A19" s="15"/>
      <c r="B19" s="300"/>
      <c r="C19" s="98">
        <v>5</v>
      </c>
      <c r="D19" s="99" t="s">
        <v>143</v>
      </c>
      <c r="E19" s="400"/>
      <c r="F19" s="29"/>
      <c r="G19" s="138">
        <v>1.0730548587765876</v>
      </c>
      <c r="H19" s="138">
        <v>1.0730548587765876</v>
      </c>
      <c r="I19" s="138">
        <v>1.0730548587765876</v>
      </c>
      <c r="J19" s="138">
        <v>1.0730548587765876</v>
      </c>
      <c r="K19" s="138">
        <v>1.0730548587765876</v>
      </c>
      <c r="L19" s="138">
        <v>1.0730548587765876</v>
      </c>
      <c r="M19" s="138">
        <v>1.0707055607528237</v>
      </c>
      <c r="N19" s="138">
        <v>1.0707055607528237</v>
      </c>
      <c r="O19" s="29"/>
      <c r="P19" s="138">
        <v>1.0707055607528237</v>
      </c>
      <c r="Q19" s="138">
        <v>1.0707055607528237</v>
      </c>
      <c r="R19" s="138">
        <v>1.0707118844597545</v>
      </c>
      <c r="S19" s="138">
        <v>1.076061726095664</v>
      </c>
      <c r="T19" s="138">
        <v>1.0760783378482837</v>
      </c>
      <c r="U19" s="138">
        <v>1.0760783378482837</v>
      </c>
      <c r="V19" s="138">
        <v>1.0760390106188671</v>
      </c>
      <c r="W19" s="225">
        <v>1.0791575380439684</v>
      </c>
      <c r="X19" s="29"/>
      <c r="Y19" s="225">
        <v>1.079172271</v>
      </c>
      <c r="Z19" s="91"/>
      <c r="AA19" s="91"/>
    </row>
    <row r="20" spans="1:27">
      <c r="A20" s="15"/>
      <c r="B20" s="300"/>
      <c r="C20" s="98">
        <v>6</v>
      </c>
      <c r="D20" s="99" t="s">
        <v>144</v>
      </c>
      <c r="E20" s="400"/>
      <c r="F20" s="29"/>
      <c r="G20" s="138">
        <v>1.0817237587088393</v>
      </c>
      <c r="H20" s="138">
        <v>1.0817237587088393</v>
      </c>
      <c r="I20" s="138">
        <v>1.0817237587088393</v>
      </c>
      <c r="J20" s="138">
        <v>1.0817237587088393</v>
      </c>
      <c r="K20" s="138">
        <v>1.0817237587088393</v>
      </c>
      <c r="L20" s="138">
        <v>1.0817237587088393</v>
      </c>
      <c r="M20" s="138">
        <v>1.0767941226979461</v>
      </c>
      <c r="N20" s="138">
        <v>1.0767941226979461</v>
      </c>
      <c r="O20" s="29"/>
      <c r="P20" s="138">
        <v>1.0767941226979461</v>
      </c>
      <c r="Q20" s="138">
        <v>1.0710928235838431</v>
      </c>
      <c r="R20" s="138">
        <v>1.071099196605285</v>
      </c>
      <c r="S20" s="138">
        <v>1.067915659388986</v>
      </c>
      <c r="T20" s="138">
        <v>1.0679299736846177</v>
      </c>
      <c r="U20" s="138">
        <v>1.0675895241245954</v>
      </c>
      <c r="V20" s="138">
        <v>1.0675618007345877</v>
      </c>
      <c r="W20" s="225">
        <v>1.0690508467768913</v>
      </c>
      <c r="X20" s="29"/>
      <c r="Y20" s="225">
        <v>1.0690631429999999</v>
      </c>
      <c r="Z20" s="91"/>
      <c r="AA20" s="91"/>
    </row>
    <row r="21" spans="1:27">
      <c r="A21" s="15"/>
      <c r="B21" s="300"/>
      <c r="C21" s="98">
        <v>7</v>
      </c>
      <c r="D21" s="99" t="s">
        <v>145</v>
      </c>
      <c r="E21" s="400"/>
      <c r="F21" s="29"/>
      <c r="G21" s="138">
        <v>1.0867587611282226</v>
      </c>
      <c r="H21" s="138">
        <v>1.0867587611282226</v>
      </c>
      <c r="I21" s="138">
        <v>1.0867587611282226</v>
      </c>
      <c r="J21" s="138">
        <v>1.0867587611282226</v>
      </c>
      <c r="K21" s="138">
        <v>1.0867587611282226</v>
      </c>
      <c r="L21" s="138">
        <v>1.0867587611282226</v>
      </c>
      <c r="M21" s="138">
        <v>1.0916466768035786</v>
      </c>
      <c r="N21" s="138">
        <v>1.0916466768035786</v>
      </c>
      <c r="O21" s="29"/>
      <c r="P21" s="138">
        <v>1.0916466768035786</v>
      </c>
      <c r="Q21" s="138">
        <v>1.0916466768035786</v>
      </c>
      <c r="R21" s="138">
        <v>1.0916562803436576</v>
      </c>
      <c r="S21" s="138">
        <v>1.089990558113566</v>
      </c>
      <c r="T21" s="138">
        <v>1.0900260398378245</v>
      </c>
      <c r="U21" s="138">
        <v>1.0817565992005873</v>
      </c>
      <c r="V21" s="138">
        <v>1.0817215490070475</v>
      </c>
      <c r="W21" s="225">
        <v>1.0817215490070475</v>
      </c>
      <c r="X21" s="29"/>
      <c r="Y21" s="225">
        <v>1.0817117009999999</v>
      </c>
      <c r="Z21" s="91"/>
      <c r="AA21" s="91"/>
    </row>
    <row r="22" spans="1:27">
      <c r="A22" s="15"/>
      <c r="B22" s="300"/>
      <c r="C22" s="98">
        <v>8</v>
      </c>
      <c r="D22" s="99" t="s">
        <v>146</v>
      </c>
      <c r="E22" s="400"/>
      <c r="F22" s="29"/>
      <c r="G22" s="138">
        <v>1.0680311055811802</v>
      </c>
      <c r="H22" s="138">
        <v>1.0680311055811802</v>
      </c>
      <c r="I22" s="138">
        <v>1.0680311055811802</v>
      </c>
      <c r="J22" s="138">
        <v>1.0680311055811802</v>
      </c>
      <c r="K22" s="138">
        <v>1.0680311055811802</v>
      </c>
      <c r="L22" s="138">
        <v>1.0680311055811802</v>
      </c>
      <c r="M22" s="138">
        <v>1.0688564565692973</v>
      </c>
      <c r="N22" s="138">
        <v>1.0688564565692973</v>
      </c>
      <c r="O22" s="29"/>
      <c r="P22" s="138">
        <v>1.0688564565692973</v>
      </c>
      <c r="Q22" s="138">
        <v>1.0688564565692973</v>
      </c>
      <c r="R22" s="138">
        <v>1.0736224158915013</v>
      </c>
      <c r="S22" s="138">
        <v>1.0736224158915013</v>
      </c>
      <c r="T22" s="138">
        <v>1.077406104697348</v>
      </c>
      <c r="U22" s="138">
        <v>1.077406104697348</v>
      </c>
      <c r="V22" s="138">
        <v>1.0752006015161224</v>
      </c>
      <c r="W22" s="225">
        <v>1.0752006015161224</v>
      </c>
      <c r="X22" s="29"/>
      <c r="Y22" s="225">
        <v>1.0752132299999999</v>
      </c>
      <c r="Z22" s="91"/>
      <c r="AA22" s="91"/>
    </row>
    <row r="23" spans="1:27">
      <c r="A23" s="15"/>
      <c r="B23" s="300"/>
      <c r="C23" s="98">
        <v>9</v>
      </c>
      <c r="D23" s="99" t="s">
        <v>147</v>
      </c>
      <c r="E23" s="400"/>
      <c r="F23" s="29"/>
      <c r="G23" s="138">
        <v>1.080351670843245</v>
      </c>
      <c r="H23" s="138">
        <v>1.080351670843245</v>
      </c>
      <c r="I23" s="138">
        <v>1.080351670843245</v>
      </c>
      <c r="J23" s="138">
        <v>1.080351670843245</v>
      </c>
      <c r="K23" s="138">
        <v>1.080351670843245</v>
      </c>
      <c r="L23" s="138">
        <v>1.080351670843245</v>
      </c>
      <c r="M23" s="138">
        <v>1.0756369005925197</v>
      </c>
      <c r="N23" s="138">
        <v>1.0756369005925197</v>
      </c>
      <c r="O23" s="29"/>
      <c r="P23" s="138">
        <v>1.0756369005925197</v>
      </c>
      <c r="Q23" s="138">
        <v>1.0774114382334907</v>
      </c>
      <c r="R23" s="138">
        <v>1.0774220296989658</v>
      </c>
      <c r="S23" s="138">
        <v>1.0798658355307653</v>
      </c>
      <c r="T23" s="138">
        <v>1.0799176512113269</v>
      </c>
      <c r="U23" s="138">
        <v>1.0786400560561302</v>
      </c>
      <c r="V23" s="138">
        <v>1.0786276808924873</v>
      </c>
      <c r="W23" s="225">
        <v>1.084666546557933</v>
      </c>
      <c r="X23" s="29"/>
      <c r="Y23" s="225">
        <v>1.084654851</v>
      </c>
      <c r="Z23" s="91"/>
      <c r="AA23" s="91"/>
    </row>
    <row r="24" spans="1:27">
      <c r="A24" s="15"/>
      <c r="B24" s="300"/>
      <c r="C24" s="98">
        <v>10</v>
      </c>
      <c r="D24" s="99" t="s">
        <v>148</v>
      </c>
      <c r="E24" s="400"/>
      <c r="F24" s="29"/>
      <c r="G24" s="138">
        <v>1.0742758754173296</v>
      </c>
      <c r="H24" s="138">
        <v>1.0742758754173296</v>
      </c>
      <c r="I24" s="138">
        <v>1.0742758754173296</v>
      </c>
      <c r="J24" s="138">
        <v>1.0742758754173296</v>
      </c>
      <c r="K24" s="138">
        <v>1.0742758754173296</v>
      </c>
      <c r="L24" s="138">
        <v>1.0742758754173296</v>
      </c>
      <c r="M24" s="138">
        <v>1.0694000273489142</v>
      </c>
      <c r="N24" s="138">
        <v>1.0694000273489142</v>
      </c>
      <c r="O24" s="29"/>
      <c r="P24" s="138">
        <v>1.0694000273489142</v>
      </c>
      <c r="Q24" s="138">
        <v>1.0694000273489142</v>
      </c>
      <c r="R24" s="138">
        <v>1.0694035133458974</v>
      </c>
      <c r="S24" s="138">
        <v>1.0654293985275314</v>
      </c>
      <c r="T24" s="138">
        <v>1.0654306319967486</v>
      </c>
      <c r="U24" s="138">
        <v>1.0654306319967486</v>
      </c>
      <c r="V24" s="138">
        <v>1.0654287528540021</v>
      </c>
      <c r="W24" s="225">
        <v>1.0767909211680142</v>
      </c>
      <c r="X24" s="29"/>
      <c r="Y24" s="225">
        <v>1.0767989060000001</v>
      </c>
      <c r="Z24" s="91"/>
      <c r="AA24" s="91"/>
    </row>
    <row r="25" spans="1:27">
      <c r="A25" s="15"/>
      <c r="B25" s="300"/>
      <c r="C25" s="98">
        <v>11</v>
      </c>
      <c r="D25" s="99" t="s">
        <v>149</v>
      </c>
      <c r="E25" s="400"/>
      <c r="F25" s="29"/>
      <c r="G25" s="138">
        <v>1.0565426394469863</v>
      </c>
      <c r="H25" s="138">
        <v>1.0565426394469863</v>
      </c>
      <c r="I25" s="138">
        <v>1.0565426394469863</v>
      </c>
      <c r="J25" s="138">
        <v>1.0565426394469863</v>
      </c>
      <c r="K25" s="138">
        <v>1.0565426394469863</v>
      </c>
      <c r="L25" s="138">
        <v>1.0565426394469863</v>
      </c>
      <c r="M25" s="138">
        <v>1.0565426394469863</v>
      </c>
      <c r="N25" s="138">
        <v>1.0565426394469863</v>
      </c>
      <c r="O25" s="29"/>
      <c r="P25" s="138">
        <v>1.0565426394469863</v>
      </c>
      <c r="Q25" s="138">
        <v>1.0623768777468365</v>
      </c>
      <c r="R25" s="138">
        <v>1.0623787320838187</v>
      </c>
      <c r="S25" s="138">
        <v>1.0623787320838187</v>
      </c>
      <c r="T25" s="138">
        <v>1.0623836213497835</v>
      </c>
      <c r="U25" s="138">
        <v>1.0591084594872873</v>
      </c>
      <c r="V25" s="138">
        <v>1.0591076095358136</v>
      </c>
      <c r="W25" s="225">
        <v>1.0591076095358136</v>
      </c>
      <c r="X25" s="29"/>
      <c r="Y25" s="225">
        <v>1.059107595</v>
      </c>
      <c r="Z25" s="91"/>
      <c r="AA25" s="91"/>
    </row>
    <row r="26" spans="1:27">
      <c r="A26" s="15"/>
      <c r="B26" s="300"/>
      <c r="C26" s="98">
        <v>12</v>
      </c>
      <c r="D26" s="99" t="s">
        <v>150</v>
      </c>
      <c r="E26" s="400"/>
      <c r="F26" s="29"/>
      <c r="G26" s="138">
        <v>1.0956985955193892</v>
      </c>
      <c r="H26" s="138">
        <v>1.0956985955193892</v>
      </c>
      <c r="I26" s="138">
        <v>1.0956985955193892</v>
      </c>
      <c r="J26" s="138">
        <v>1.0956985955193892</v>
      </c>
      <c r="K26" s="138">
        <v>1.0956985955193892</v>
      </c>
      <c r="L26" s="138">
        <v>1.0956985955193892</v>
      </c>
      <c r="M26" s="138">
        <v>1.0864431465467139</v>
      </c>
      <c r="N26" s="138">
        <v>1.0864431465467139</v>
      </c>
      <c r="O26" s="29"/>
      <c r="P26" s="138">
        <v>1.0864431465467139</v>
      </c>
      <c r="Q26" s="138">
        <v>1.0860200708513319</v>
      </c>
      <c r="R26" s="138">
        <v>1.0860375000329994</v>
      </c>
      <c r="S26" s="138">
        <v>1.0921967722355264</v>
      </c>
      <c r="T26" s="138">
        <v>1.0922365269077137</v>
      </c>
      <c r="U26" s="138">
        <v>1.0932719860530218</v>
      </c>
      <c r="V26" s="138">
        <v>1.0932177423775433</v>
      </c>
      <c r="W26" s="225">
        <v>1.097123042698974</v>
      </c>
      <c r="X26" s="29"/>
      <c r="Y26" s="225">
        <v>1.0971291080000001</v>
      </c>
      <c r="Z26" s="91"/>
      <c r="AA26" s="91"/>
    </row>
    <row r="27" spans="1:27">
      <c r="A27" s="15"/>
      <c r="B27" s="300"/>
      <c r="C27" s="98">
        <v>13</v>
      </c>
      <c r="D27" s="99" t="s">
        <v>151</v>
      </c>
      <c r="E27" s="400"/>
      <c r="F27" s="29"/>
      <c r="G27" s="138">
        <v>1.0883900439389949</v>
      </c>
      <c r="H27" s="138">
        <v>1.0883900439389949</v>
      </c>
      <c r="I27" s="138">
        <v>1.0883900439389949</v>
      </c>
      <c r="J27" s="138">
        <v>1.0883900439389949</v>
      </c>
      <c r="K27" s="138">
        <v>1.0883900439389949</v>
      </c>
      <c r="L27" s="138">
        <v>1.0883900439389949</v>
      </c>
      <c r="M27" s="138">
        <v>1.0979948305226443</v>
      </c>
      <c r="N27" s="138">
        <v>1.0979948305226443</v>
      </c>
      <c r="O27" s="29"/>
      <c r="P27" s="138">
        <v>1.0979948305226443</v>
      </c>
      <c r="Q27" s="138">
        <v>1.0974462547602135</v>
      </c>
      <c r="R27" s="138">
        <v>1.0974718912332098</v>
      </c>
      <c r="S27" s="138">
        <v>1.0982205595017869</v>
      </c>
      <c r="T27" s="138">
        <v>1.0982692248952142</v>
      </c>
      <c r="U27" s="138">
        <v>1.0992149951515648</v>
      </c>
      <c r="V27" s="138">
        <v>1.099143943244675</v>
      </c>
      <c r="W27" s="225">
        <v>1.1054630618610095</v>
      </c>
      <c r="X27" s="29"/>
      <c r="Y27" s="225">
        <v>1.1054853060000001</v>
      </c>
      <c r="Z27" s="91"/>
      <c r="AA27" s="91"/>
    </row>
    <row r="28" spans="1:27">
      <c r="A28" s="15"/>
      <c r="B28" s="300"/>
      <c r="C28" s="98">
        <v>14</v>
      </c>
      <c r="D28" s="99" t="s">
        <v>152</v>
      </c>
      <c r="E28" s="400"/>
      <c r="F28" s="29"/>
      <c r="G28" s="138">
        <v>1.088775515935106</v>
      </c>
      <c r="H28" s="138">
        <v>1.088775515935106</v>
      </c>
      <c r="I28" s="138">
        <v>1.088775515935106</v>
      </c>
      <c r="J28" s="138">
        <v>1.088775515935106</v>
      </c>
      <c r="K28" s="138">
        <v>1.088775515935106</v>
      </c>
      <c r="L28" s="138">
        <v>1.088775515935106</v>
      </c>
      <c r="M28" s="138">
        <v>1.092418300179536</v>
      </c>
      <c r="N28" s="138">
        <v>1.092418300179536</v>
      </c>
      <c r="O28" s="29"/>
      <c r="P28" s="138">
        <v>1.092418300179536</v>
      </c>
      <c r="Q28" s="138">
        <v>1.092418300179536</v>
      </c>
      <c r="R28" s="138">
        <v>1.0872876840112828</v>
      </c>
      <c r="S28" s="138">
        <v>1.0872876840112828</v>
      </c>
      <c r="T28" s="138">
        <v>1.0964643498830797</v>
      </c>
      <c r="U28" s="138">
        <v>1.0964643498830797</v>
      </c>
      <c r="V28" s="138">
        <v>1.1033124404987553</v>
      </c>
      <c r="W28" s="225">
        <v>1.1033124404987553</v>
      </c>
      <c r="X28" s="29"/>
      <c r="Y28" s="225">
        <v>1.103309962</v>
      </c>
      <c r="Z28" s="91"/>
      <c r="AA28" s="91"/>
    </row>
    <row r="29" spans="1:27">
      <c r="A29" s="15"/>
      <c r="B29" s="394" t="s">
        <v>342</v>
      </c>
      <c r="C29" s="98">
        <v>1</v>
      </c>
      <c r="D29" s="99" t="s">
        <v>138</v>
      </c>
      <c r="E29" s="400"/>
      <c r="F29" s="29"/>
      <c r="G29" s="138">
        <v>1.0929819558782343</v>
      </c>
      <c r="H29" s="138">
        <v>1.0929819558782343</v>
      </c>
      <c r="I29" s="138">
        <v>1.0929819558782343</v>
      </c>
      <c r="J29" s="138">
        <v>1.0929819558782343</v>
      </c>
      <c r="K29" s="138">
        <v>1.0929819558782343</v>
      </c>
      <c r="L29" s="138">
        <v>1.0929819558782343</v>
      </c>
      <c r="M29" s="138">
        <v>1.0814814628367599</v>
      </c>
      <c r="N29" s="138">
        <v>1.0814814628367599</v>
      </c>
      <c r="O29" s="29"/>
      <c r="P29" s="138">
        <v>1.0814814628367599</v>
      </c>
      <c r="Q29" s="138">
        <v>1.0862979473417027</v>
      </c>
      <c r="R29" s="138">
        <v>1.086176033127406</v>
      </c>
      <c r="S29" s="138">
        <v>1.0849110833782238</v>
      </c>
      <c r="T29" s="138">
        <v>1.0848508233828325</v>
      </c>
      <c r="U29" s="138">
        <v>1.0833441013572565</v>
      </c>
      <c r="V29" s="138">
        <v>1.0833575087965104</v>
      </c>
      <c r="W29" s="225">
        <v>1.0871075085797932</v>
      </c>
      <c r="X29" s="29"/>
      <c r="Y29" s="225">
        <v>1.0875196229999999</v>
      </c>
      <c r="Z29" s="91"/>
      <c r="AA29" s="91"/>
    </row>
    <row r="30" spans="1:27">
      <c r="A30" s="15"/>
      <c r="B30" s="394"/>
      <c r="C30" s="98">
        <v>2</v>
      </c>
      <c r="D30" s="99" t="s">
        <v>140</v>
      </c>
      <c r="E30" s="400"/>
      <c r="F30" s="29"/>
      <c r="G30" s="138">
        <v>1.0702269441411798</v>
      </c>
      <c r="H30" s="138">
        <v>1.0702269441411798</v>
      </c>
      <c r="I30" s="138">
        <v>1.0702269441411798</v>
      </c>
      <c r="J30" s="138">
        <v>1.0702269441411798</v>
      </c>
      <c r="K30" s="138">
        <v>1.0702269441411798</v>
      </c>
      <c r="L30" s="138">
        <v>1.0702269441411798</v>
      </c>
      <c r="M30" s="138">
        <v>1.0702269441411798</v>
      </c>
      <c r="N30" s="138">
        <v>1.0702269441411798</v>
      </c>
      <c r="O30" s="29"/>
      <c r="P30" s="138">
        <v>1.0702269441411798</v>
      </c>
      <c r="Q30" s="138">
        <v>1.0673651173302494</v>
      </c>
      <c r="R30" s="138">
        <v>1.0673385915884153</v>
      </c>
      <c r="S30" s="138">
        <v>1.0673385915884153</v>
      </c>
      <c r="T30" s="138">
        <v>1.0673244213509145</v>
      </c>
      <c r="U30" s="138">
        <v>1.0661481805009931</v>
      </c>
      <c r="V30" s="138">
        <v>1.066131162322463</v>
      </c>
      <c r="W30" s="225">
        <v>1.066131162322463</v>
      </c>
      <c r="X30" s="29"/>
      <c r="Y30" s="225">
        <v>1.0662425680000001</v>
      </c>
      <c r="Z30" s="91"/>
      <c r="AA30" s="91"/>
    </row>
    <row r="31" spans="1:27">
      <c r="A31" s="15"/>
      <c r="B31" s="394"/>
      <c r="C31" s="98">
        <v>3</v>
      </c>
      <c r="D31" s="99" t="s">
        <v>141</v>
      </c>
      <c r="E31" s="400"/>
      <c r="F31" s="29"/>
      <c r="G31" s="138">
        <v>1.0794702750020808</v>
      </c>
      <c r="H31" s="138">
        <v>1.0794702750020808</v>
      </c>
      <c r="I31" s="138">
        <v>1.0794702750020808</v>
      </c>
      <c r="J31" s="138">
        <v>1.0794702750020808</v>
      </c>
      <c r="K31" s="138">
        <v>1.0794702750020808</v>
      </c>
      <c r="L31" s="138">
        <v>1.0794702750020808</v>
      </c>
      <c r="M31" s="138">
        <v>1.0806862799422217</v>
      </c>
      <c r="N31" s="138">
        <v>1.0806862799422217</v>
      </c>
      <c r="O31" s="29"/>
      <c r="P31" s="138">
        <v>1.0806862799422217</v>
      </c>
      <c r="Q31" s="138">
        <v>1.0792718084943291</v>
      </c>
      <c r="R31" s="138">
        <v>1.0791302963588514</v>
      </c>
      <c r="S31" s="138">
        <v>1.0775445345864723</v>
      </c>
      <c r="T31" s="138">
        <v>1.0774334280571309</v>
      </c>
      <c r="U31" s="138">
        <v>1.0775463030038692</v>
      </c>
      <c r="V31" s="138">
        <v>1.077576334849796</v>
      </c>
      <c r="W31" s="225">
        <v>1.0855292496768039</v>
      </c>
      <c r="X31" s="29"/>
      <c r="Y31" s="225">
        <v>1.0860808870000001</v>
      </c>
      <c r="Z31" s="91"/>
      <c r="AA31" s="91"/>
    </row>
    <row r="32" spans="1:27">
      <c r="A32" s="15"/>
      <c r="B32" s="394"/>
      <c r="C32" s="98">
        <v>4</v>
      </c>
      <c r="D32" s="99" t="s">
        <v>142</v>
      </c>
      <c r="E32" s="400"/>
      <c r="F32" s="29"/>
      <c r="G32" s="138">
        <v>1.0918650447973948</v>
      </c>
      <c r="H32" s="138">
        <v>1.0918650447973948</v>
      </c>
      <c r="I32" s="138">
        <v>1.0918650447973948</v>
      </c>
      <c r="J32" s="138">
        <v>1.0918650447973948</v>
      </c>
      <c r="K32" s="138">
        <v>1.0918650447973948</v>
      </c>
      <c r="L32" s="138">
        <v>1.0918650447973948</v>
      </c>
      <c r="M32" s="138">
        <v>1.0992619858752828</v>
      </c>
      <c r="N32" s="138">
        <v>1.0992619858752828</v>
      </c>
      <c r="O32" s="29"/>
      <c r="P32" s="138">
        <v>1.0992619858752828</v>
      </c>
      <c r="Q32" s="138">
        <v>1.101077853329788</v>
      </c>
      <c r="R32" s="138">
        <v>1.100933384402605</v>
      </c>
      <c r="S32" s="138">
        <v>1.1074675182084446</v>
      </c>
      <c r="T32" s="138">
        <v>1.1073255443478454</v>
      </c>
      <c r="U32" s="138">
        <v>1.1033488660249229</v>
      </c>
      <c r="V32" s="138">
        <v>1.1032925725217808</v>
      </c>
      <c r="W32" s="225">
        <v>1.1113656241596015</v>
      </c>
      <c r="X32" s="29"/>
      <c r="Y32" s="225">
        <v>1.1120558949999999</v>
      </c>
      <c r="Z32" s="91"/>
      <c r="AA32" s="91"/>
    </row>
    <row r="33" spans="1:27">
      <c r="A33" s="15"/>
      <c r="B33" s="394"/>
      <c r="C33" s="98">
        <v>5</v>
      </c>
      <c r="D33" s="99" t="s">
        <v>143</v>
      </c>
      <c r="E33" s="400"/>
      <c r="F33" s="29"/>
      <c r="G33" s="138">
        <v>1.0718136626355232</v>
      </c>
      <c r="H33" s="138">
        <v>1.0718136626355232</v>
      </c>
      <c r="I33" s="138">
        <v>1.0718136626355232</v>
      </c>
      <c r="J33" s="138">
        <v>1.0718136626355232</v>
      </c>
      <c r="K33" s="138">
        <v>1.0718136626355232</v>
      </c>
      <c r="L33" s="138">
        <v>1.0718136626355232</v>
      </c>
      <c r="M33" s="138">
        <v>1.0695373162573705</v>
      </c>
      <c r="N33" s="138">
        <v>1.0695373162573705</v>
      </c>
      <c r="O33" s="29"/>
      <c r="P33" s="138">
        <v>1.0695373162573705</v>
      </c>
      <c r="Q33" s="138">
        <v>1.0695373162573705</v>
      </c>
      <c r="R33" s="138">
        <v>1.0694935607140168</v>
      </c>
      <c r="S33" s="138">
        <v>1.0747661653287264</v>
      </c>
      <c r="T33" s="138">
        <v>1.0747338083640094</v>
      </c>
      <c r="U33" s="138">
        <v>1.0747338083640094</v>
      </c>
      <c r="V33" s="138">
        <v>1.0747036109078327</v>
      </c>
      <c r="W33" s="225">
        <v>1.0777990015449401</v>
      </c>
      <c r="X33" s="29"/>
      <c r="Y33" s="225">
        <v>1.078036851</v>
      </c>
      <c r="Z33" s="91"/>
      <c r="AA33" s="91"/>
    </row>
    <row r="34" spans="1:27">
      <c r="A34" s="15"/>
      <c r="B34" s="394"/>
      <c r="C34" s="98">
        <v>6</v>
      </c>
      <c r="D34" s="99" t="s">
        <v>144</v>
      </c>
      <c r="E34" s="400"/>
      <c r="F34" s="29"/>
      <c r="G34" s="138">
        <v>1.0795324874413401</v>
      </c>
      <c r="H34" s="138">
        <v>1.0795324874413401</v>
      </c>
      <c r="I34" s="138">
        <v>1.0795324874413401</v>
      </c>
      <c r="J34" s="138">
        <v>1.0795324874413401</v>
      </c>
      <c r="K34" s="138">
        <v>1.0795324874413401</v>
      </c>
      <c r="L34" s="138">
        <v>1.0795324874413401</v>
      </c>
      <c r="M34" s="138">
        <v>1.0752001682715286</v>
      </c>
      <c r="N34" s="138">
        <v>1.0752001682715286</v>
      </c>
      <c r="O34" s="29"/>
      <c r="P34" s="138">
        <v>1.0752001682715286</v>
      </c>
      <c r="Q34" s="138">
        <v>1.0700483553578828</v>
      </c>
      <c r="R34" s="138">
        <v>1.0700092036052256</v>
      </c>
      <c r="S34" s="138">
        <v>1.0670771715792171</v>
      </c>
      <c r="T34" s="138">
        <v>1.0670602529065194</v>
      </c>
      <c r="U34" s="138">
        <v>1.0665768999235643</v>
      </c>
      <c r="V34" s="138">
        <v>1.0665558930269585</v>
      </c>
      <c r="W34" s="225">
        <v>1.0679382624056522</v>
      </c>
      <c r="X34" s="29"/>
      <c r="Y34" s="225">
        <v>1.0681374159999999</v>
      </c>
      <c r="Z34" s="91"/>
      <c r="AA34" s="91"/>
    </row>
    <row r="35" spans="1:27">
      <c r="A35" s="15"/>
      <c r="B35" s="394"/>
      <c r="C35" s="98">
        <v>7</v>
      </c>
      <c r="D35" s="99" t="s">
        <v>145</v>
      </c>
      <c r="E35" s="400"/>
      <c r="F35" s="29"/>
      <c r="G35" s="138">
        <v>1.085452733436888</v>
      </c>
      <c r="H35" s="138">
        <v>1.085452733436888</v>
      </c>
      <c r="I35" s="138">
        <v>1.085452733436888</v>
      </c>
      <c r="J35" s="138">
        <v>1.085452733436888</v>
      </c>
      <c r="K35" s="138">
        <v>1.085452733436888</v>
      </c>
      <c r="L35" s="138">
        <v>1.085452733436888</v>
      </c>
      <c r="M35" s="138">
        <v>1.090168180084981</v>
      </c>
      <c r="N35" s="138">
        <v>1.090168180084981</v>
      </c>
      <c r="O35" s="29"/>
      <c r="P35" s="138">
        <v>1.090168180084981</v>
      </c>
      <c r="Q35" s="138">
        <v>1.090168180084981</v>
      </c>
      <c r="R35" s="138">
        <v>1.0901114729358925</v>
      </c>
      <c r="S35" s="138">
        <v>1.0877931386948556</v>
      </c>
      <c r="T35" s="138">
        <v>1.0877232184882555</v>
      </c>
      <c r="U35" s="138">
        <v>1.0801287256807237</v>
      </c>
      <c r="V35" s="138">
        <v>1.0801039085948869</v>
      </c>
      <c r="W35" s="225">
        <v>1.0801039085948869</v>
      </c>
      <c r="X35" s="29"/>
      <c r="Y35" s="225">
        <v>1.0803313729999999</v>
      </c>
      <c r="Z35" s="91"/>
      <c r="AA35" s="91"/>
    </row>
    <row r="36" spans="1:27">
      <c r="A36" s="15"/>
      <c r="B36" s="394"/>
      <c r="C36" s="98">
        <v>8</v>
      </c>
      <c r="D36" s="99" t="s">
        <v>146</v>
      </c>
      <c r="E36" s="400"/>
      <c r="F36" s="29"/>
      <c r="G36" s="138">
        <v>1.0674066698772735</v>
      </c>
      <c r="H36" s="138">
        <v>1.0674066698772735</v>
      </c>
      <c r="I36" s="138">
        <v>1.0674066698772735</v>
      </c>
      <c r="J36" s="138">
        <v>1.0674066698772735</v>
      </c>
      <c r="K36" s="138">
        <v>1.0674066698772735</v>
      </c>
      <c r="L36" s="138">
        <v>1.0674066698772735</v>
      </c>
      <c r="M36" s="138">
        <v>1.0682684966881959</v>
      </c>
      <c r="N36" s="138">
        <v>1.0682684966881959</v>
      </c>
      <c r="O36" s="29"/>
      <c r="P36" s="138">
        <v>1.0682684966881959</v>
      </c>
      <c r="Q36" s="138">
        <v>1.0682684966881959</v>
      </c>
      <c r="R36" s="138">
        <v>1.0726239973978122</v>
      </c>
      <c r="S36" s="138">
        <v>1.0726239973978122</v>
      </c>
      <c r="T36" s="138">
        <v>1.0761993198070865</v>
      </c>
      <c r="U36" s="138">
        <v>1.0761993198070865</v>
      </c>
      <c r="V36" s="138">
        <v>1.0742638006468059</v>
      </c>
      <c r="W36" s="225">
        <v>1.0742638006468059</v>
      </c>
      <c r="X36" s="29"/>
      <c r="Y36" s="225">
        <v>1.0744369069999999</v>
      </c>
      <c r="Z36" s="91"/>
      <c r="AA36" s="91"/>
    </row>
    <row r="37" spans="1:27">
      <c r="A37" s="15"/>
      <c r="B37" s="394"/>
      <c r="C37" s="98">
        <v>9</v>
      </c>
      <c r="D37" s="99" t="s">
        <v>147</v>
      </c>
      <c r="E37" s="400"/>
      <c r="F37" s="29"/>
      <c r="G37" s="138">
        <v>1.0774654762193439</v>
      </c>
      <c r="H37" s="138">
        <v>1.0774654762193439</v>
      </c>
      <c r="I37" s="138">
        <v>1.0774654762193439</v>
      </c>
      <c r="J37" s="138">
        <v>1.0774654762193439</v>
      </c>
      <c r="K37" s="138">
        <v>1.0774654762193439</v>
      </c>
      <c r="L37" s="138">
        <v>1.0774654762193439</v>
      </c>
      <c r="M37" s="138">
        <v>1.0738360384983456</v>
      </c>
      <c r="N37" s="138">
        <v>1.0738360384983456</v>
      </c>
      <c r="O37" s="29"/>
      <c r="P37" s="138">
        <v>1.0738360384983456</v>
      </c>
      <c r="Q37" s="138">
        <v>1.0749970312119093</v>
      </c>
      <c r="R37" s="138">
        <v>1.0748937452388276</v>
      </c>
      <c r="S37" s="138">
        <v>1.0772508512545704</v>
      </c>
      <c r="T37" s="138">
        <v>1.0771808652862276</v>
      </c>
      <c r="U37" s="138">
        <v>1.0761698787013338</v>
      </c>
      <c r="V37" s="138">
        <v>1.0761805902669486</v>
      </c>
      <c r="W37" s="225">
        <v>1.0817884939635833</v>
      </c>
      <c r="X37" s="29"/>
      <c r="Y37" s="225">
        <v>1.0822185010000001</v>
      </c>
      <c r="Z37" s="91"/>
      <c r="AA37" s="91"/>
    </row>
    <row r="38" spans="1:27">
      <c r="A38" s="15"/>
      <c r="B38" s="394"/>
      <c r="C38" s="98">
        <v>10</v>
      </c>
      <c r="D38" s="99" t="s">
        <v>148</v>
      </c>
      <c r="E38" s="400"/>
      <c r="F38" s="29"/>
      <c r="G38" s="138">
        <v>1.0733996094318452</v>
      </c>
      <c r="H38" s="138">
        <v>1.0733996094318452</v>
      </c>
      <c r="I38" s="138">
        <v>1.0733996094318452</v>
      </c>
      <c r="J38" s="138">
        <v>1.0733996094318452</v>
      </c>
      <c r="K38" s="138">
        <v>1.0733996094318452</v>
      </c>
      <c r="L38" s="138">
        <v>1.0733996094318452</v>
      </c>
      <c r="M38" s="138">
        <v>1.0689063256170588</v>
      </c>
      <c r="N38" s="138">
        <v>1.0689063256170588</v>
      </c>
      <c r="O38" s="29"/>
      <c r="P38" s="138">
        <v>1.0689063256170588</v>
      </c>
      <c r="Q38" s="138">
        <v>1.0689063256170588</v>
      </c>
      <c r="R38" s="138">
        <v>1.0688855498479561</v>
      </c>
      <c r="S38" s="138">
        <v>1.0655429324585941</v>
      </c>
      <c r="T38" s="138">
        <v>1.0655481946707537</v>
      </c>
      <c r="U38" s="138">
        <v>1.0655481946707537</v>
      </c>
      <c r="V38" s="138">
        <v>1.0655449219615913</v>
      </c>
      <c r="W38" s="225">
        <v>1.0768242907521903</v>
      </c>
      <c r="X38" s="29"/>
      <c r="Y38" s="225">
        <v>1.076845831</v>
      </c>
      <c r="Z38" s="91"/>
      <c r="AA38" s="91"/>
    </row>
    <row r="39" spans="1:27">
      <c r="A39" s="15"/>
      <c r="B39" s="394"/>
      <c r="C39" s="98">
        <v>11</v>
      </c>
      <c r="D39" s="99" t="s">
        <v>149</v>
      </c>
      <c r="E39" s="400"/>
      <c r="F39" s="29"/>
      <c r="G39" s="138">
        <v>1.0564421023082484</v>
      </c>
      <c r="H39" s="138">
        <v>1.0564421023082484</v>
      </c>
      <c r="I39" s="138">
        <v>1.0564421023082484</v>
      </c>
      <c r="J39" s="138">
        <v>1.0564421023082484</v>
      </c>
      <c r="K39" s="138">
        <v>1.0564421023082484</v>
      </c>
      <c r="L39" s="138">
        <v>1.0564421023082484</v>
      </c>
      <c r="M39" s="138">
        <v>1.0564421023082484</v>
      </c>
      <c r="N39" s="138">
        <v>1.0564421023082484</v>
      </c>
      <c r="O39" s="29"/>
      <c r="P39" s="138">
        <v>1.0564421023082484</v>
      </c>
      <c r="Q39" s="138">
        <v>1.0623041562481781</v>
      </c>
      <c r="R39" s="138">
        <v>1.0622972759370308</v>
      </c>
      <c r="S39" s="138">
        <v>1.0622972759370308</v>
      </c>
      <c r="T39" s="138">
        <v>1.0622948436434854</v>
      </c>
      <c r="U39" s="138">
        <v>1.0590791996550259</v>
      </c>
      <c r="V39" s="138">
        <v>1.0590774473782516</v>
      </c>
      <c r="W39" s="225">
        <v>1.0590774473782516</v>
      </c>
      <c r="X39" s="29"/>
      <c r="Y39" s="225">
        <v>1.0590817159999999</v>
      </c>
      <c r="Z39" s="91"/>
      <c r="AA39" s="91"/>
    </row>
    <row r="40" spans="1:27">
      <c r="A40" s="15"/>
      <c r="B40" s="394"/>
      <c r="C40" s="98">
        <v>12</v>
      </c>
      <c r="D40" s="99" t="s">
        <v>150</v>
      </c>
      <c r="E40" s="400"/>
      <c r="F40" s="29"/>
      <c r="G40" s="138">
        <v>1.093046755459234</v>
      </c>
      <c r="H40" s="138">
        <v>1.093046755459234</v>
      </c>
      <c r="I40" s="138">
        <v>1.093046755459234</v>
      </c>
      <c r="J40" s="138">
        <v>1.093046755459234</v>
      </c>
      <c r="K40" s="138">
        <v>1.093046755459234</v>
      </c>
      <c r="L40" s="138">
        <v>1.093046755459234</v>
      </c>
      <c r="M40" s="138">
        <v>1.0844223757094351</v>
      </c>
      <c r="N40" s="138">
        <v>1.0844223757094351</v>
      </c>
      <c r="O40" s="29"/>
      <c r="P40" s="138">
        <v>1.0844223757094351</v>
      </c>
      <c r="Q40" s="138">
        <v>1.0840810256610449</v>
      </c>
      <c r="R40" s="138">
        <v>1.0840014833163434</v>
      </c>
      <c r="S40" s="138">
        <v>1.089729151712139</v>
      </c>
      <c r="T40" s="138">
        <v>1.0896568330775738</v>
      </c>
      <c r="U40" s="138">
        <v>1.0908901430158633</v>
      </c>
      <c r="V40" s="138">
        <v>1.090853813393611</v>
      </c>
      <c r="W40" s="225">
        <v>1.0943597840369708</v>
      </c>
      <c r="X40" s="29"/>
      <c r="Y40" s="225">
        <v>1.0947827990000001</v>
      </c>
      <c r="Z40" s="91"/>
      <c r="AA40" s="91"/>
    </row>
    <row r="41" spans="1:27">
      <c r="A41" s="15"/>
      <c r="B41" s="394"/>
      <c r="C41" s="98">
        <v>13</v>
      </c>
      <c r="D41" s="99" t="s">
        <v>151</v>
      </c>
      <c r="E41" s="400"/>
      <c r="F41" s="29"/>
      <c r="G41" s="138">
        <v>1.0858319620011085</v>
      </c>
      <c r="H41" s="138">
        <v>1.0858319620011085</v>
      </c>
      <c r="I41" s="138">
        <v>1.0858319620011085</v>
      </c>
      <c r="J41" s="138">
        <v>1.0858319620011085</v>
      </c>
      <c r="K41" s="138">
        <v>1.0858319620011085</v>
      </c>
      <c r="L41" s="138">
        <v>1.0858319620011085</v>
      </c>
      <c r="M41" s="138">
        <v>1.094694427799904</v>
      </c>
      <c r="N41" s="138">
        <v>1.094694427799904</v>
      </c>
      <c r="O41" s="29"/>
      <c r="P41" s="138">
        <v>1.094694427799904</v>
      </c>
      <c r="Q41" s="138">
        <v>1.0944636969101207</v>
      </c>
      <c r="R41" s="138">
        <v>1.0943447054059863</v>
      </c>
      <c r="S41" s="138">
        <v>1.0949350854172193</v>
      </c>
      <c r="T41" s="138">
        <v>1.0948303212449852</v>
      </c>
      <c r="U41" s="138">
        <v>1.095790721417468</v>
      </c>
      <c r="V41" s="138">
        <v>1.0957378979020587</v>
      </c>
      <c r="W41" s="225">
        <v>1.1017640335058234</v>
      </c>
      <c r="X41" s="29"/>
      <c r="Y41" s="225">
        <v>1.1023213439999999</v>
      </c>
      <c r="Z41" s="91"/>
      <c r="AA41" s="91"/>
    </row>
    <row r="42" spans="1:27">
      <c r="A42" s="15"/>
      <c r="B42" s="395"/>
      <c r="C42" s="98">
        <v>14</v>
      </c>
      <c r="D42" s="99" t="s">
        <v>152</v>
      </c>
      <c r="E42" s="400"/>
      <c r="F42" s="29"/>
      <c r="G42" s="138">
        <v>1.0890162916795407</v>
      </c>
      <c r="H42" s="138">
        <v>1.0890162916795407</v>
      </c>
      <c r="I42" s="138">
        <v>1.0890162916795407</v>
      </c>
      <c r="J42" s="138">
        <v>1.0890162916795407</v>
      </c>
      <c r="K42" s="138">
        <v>1.0890162916795407</v>
      </c>
      <c r="L42" s="138">
        <v>1.0890162916795407</v>
      </c>
      <c r="M42" s="138">
        <v>1.0929376143819718</v>
      </c>
      <c r="N42" s="138">
        <v>1.0929376143819718</v>
      </c>
      <c r="O42" s="29"/>
      <c r="P42" s="138">
        <v>1.0929376143819718</v>
      </c>
      <c r="Q42" s="138">
        <v>1.0929376143819718</v>
      </c>
      <c r="R42" s="138">
        <v>1.088056236726862</v>
      </c>
      <c r="S42" s="138">
        <v>1.088056236726862</v>
      </c>
      <c r="T42" s="138">
        <v>1.0976703486960437</v>
      </c>
      <c r="U42" s="138">
        <v>1.0976703486960437</v>
      </c>
      <c r="V42" s="138">
        <v>1.1045464548906672</v>
      </c>
      <c r="W42" s="225">
        <v>1.1045464548906672</v>
      </c>
      <c r="X42" s="29"/>
      <c r="Y42" s="225">
        <v>1.104369819</v>
      </c>
      <c r="Z42" s="91"/>
      <c r="AA42" s="91"/>
    </row>
    <row r="43" spans="1:27" s="15" customFormat="1">
      <c r="B43" s="92"/>
      <c r="C43" s="95"/>
      <c r="D43" s="96"/>
      <c r="E43" s="97"/>
    </row>
    <row r="44" spans="1:27" s="15" customFormat="1">
      <c r="B44" s="92"/>
      <c r="C44" s="95"/>
      <c r="D44" s="96"/>
      <c r="E44" s="97"/>
    </row>
    <row r="45" spans="1:27" s="15" customFormat="1"/>
    <row r="46" spans="1:27" s="15" customFormat="1">
      <c r="B46" s="102"/>
    </row>
    <row r="47" spans="1:27" s="15" customFormat="1" hidden="1">
      <c r="B47" s="102"/>
    </row>
  </sheetData>
  <mergeCells count="13">
    <mergeCell ref="R7:V7"/>
    <mergeCell ref="W7:AB7"/>
    <mergeCell ref="G9:N9"/>
    <mergeCell ref="G10:N10"/>
    <mergeCell ref="B3:H3"/>
    <mergeCell ref="M7:Q7"/>
    <mergeCell ref="B9:B14"/>
    <mergeCell ref="B15:B28"/>
    <mergeCell ref="B29:B42"/>
    <mergeCell ref="D9:D14"/>
    <mergeCell ref="C9:C14"/>
    <mergeCell ref="E9:E10"/>
    <mergeCell ref="E15:E42"/>
  </mergeCells>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U159"/>
  <sheetViews>
    <sheetView topLeftCell="D34" zoomScale="80" zoomScaleNormal="80" workbookViewId="0">
      <selection activeCell="I64" sqref="I64:I65"/>
    </sheetView>
  </sheetViews>
  <sheetFormatPr defaultColWidth="0" defaultRowHeight="12.6" zeroHeight="1"/>
  <cols>
    <col min="1" max="1" width="8.7265625" customWidth="1"/>
    <col min="2" max="2" width="17.453125" customWidth="1"/>
    <col min="3" max="3" width="15.1796875" customWidth="1"/>
    <col min="4" max="4" width="31.453125" customWidth="1"/>
    <col min="5" max="5" width="26.1796875" customWidth="1"/>
    <col min="6" max="6" width="13.6328125" customWidth="1"/>
    <col min="7" max="7" width="17.1796875" customWidth="1"/>
    <col min="8" max="8" width="14.453125" customWidth="1"/>
    <col min="9" max="9" width="15.453125" customWidth="1"/>
    <col min="10" max="10" width="14.453125" customWidth="1"/>
    <col min="11" max="11" width="15.1796875" customWidth="1"/>
    <col min="12" max="12" width="14.453125" customWidth="1"/>
    <col min="13" max="13" width="15.1796875" customWidth="1"/>
    <col min="14" max="14" width="17.6328125" bestFit="1" customWidth="1"/>
    <col min="15" max="16" width="15.6328125" customWidth="1"/>
    <col min="17" max="17" width="14.6328125" bestFit="1" customWidth="1"/>
    <col min="18" max="18" width="14.6328125" customWidth="1"/>
    <col min="19" max="19" width="12.453125" customWidth="1"/>
    <col min="20" max="20" width="16.1796875" customWidth="1"/>
    <col min="21" max="21" width="15.453125" customWidth="1"/>
    <col min="22" max="22" width="8.7265625" customWidth="1"/>
    <col min="23" max="1321" width="0" hidden="1" customWidth="1"/>
    <col min="1322" max="16384" width="8.7265625" hidden="1"/>
  </cols>
  <sheetData>
    <row r="1" spans="1:25" ht="17.100000000000001" customHeight="1">
      <c r="A1" s="2"/>
      <c r="B1" s="155"/>
      <c r="C1" s="155"/>
      <c r="D1" s="155"/>
      <c r="E1" s="155"/>
      <c r="F1" s="155"/>
      <c r="G1" s="155"/>
      <c r="H1" s="155"/>
      <c r="I1" s="155"/>
      <c r="J1" s="155"/>
      <c r="K1" s="155"/>
      <c r="L1" s="155"/>
      <c r="M1" s="155"/>
      <c r="N1" s="155"/>
      <c r="O1" s="155"/>
      <c r="P1" s="155"/>
      <c r="Q1" s="155"/>
      <c r="R1" s="155"/>
      <c r="S1" s="155"/>
      <c r="T1" s="155"/>
      <c r="U1" s="155"/>
      <c r="V1" s="155"/>
      <c r="W1" s="171"/>
      <c r="X1" s="171"/>
      <c r="Y1" s="171"/>
    </row>
    <row r="2" spans="1:25" ht="19.2" customHeight="1">
      <c r="A2" s="2"/>
      <c r="B2" s="41" t="s">
        <v>262</v>
      </c>
      <c r="C2" s="41"/>
      <c r="D2" s="41"/>
      <c r="E2" s="41"/>
      <c r="F2" s="41"/>
      <c r="G2" s="2"/>
      <c r="H2" s="2"/>
      <c r="I2" s="2"/>
      <c r="J2" s="2"/>
      <c r="K2" s="2"/>
      <c r="L2" s="2"/>
      <c r="M2" s="2"/>
      <c r="N2" s="2"/>
      <c r="O2" s="2"/>
      <c r="P2" s="155"/>
      <c r="Q2" s="155"/>
      <c r="R2" s="155"/>
      <c r="S2" s="155"/>
      <c r="T2" s="155"/>
      <c r="U2" s="155"/>
      <c r="V2" s="155"/>
      <c r="W2" s="171"/>
      <c r="X2" s="171"/>
      <c r="Y2" s="171"/>
    </row>
    <row r="3" spans="1:25" ht="29.25" customHeight="1">
      <c r="A3" s="2"/>
      <c r="B3" s="403" t="s">
        <v>263</v>
      </c>
      <c r="C3" s="403"/>
      <c r="D3" s="403"/>
      <c r="E3" s="403"/>
      <c r="F3" s="403"/>
      <c r="G3" s="403"/>
      <c r="H3" s="403"/>
      <c r="I3" s="403"/>
      <c r="J3" s="403"/>
      <c r="K3" s="403"/>
      <c r="L3" s="403"/>
      <c r="M3" s="403"/>
      <c r="N3" s="403"/>
      <c r="O3" s="403"/>
      <c r="P3" s="156"/>
      <c r="Q3" s="156"/>
      <c r="R3" s="156"/>
      <c r="S3" s="156"/>
      <c r="T3" s="155"/>
      <c r="U3" s="155"/>
      <c r="V3" s="155"/>
      <c r="W3" s="171"/>
      <c r="X3" s="171"/>
      <c r="Y3" s="171"/>
    </row>
    <row r="4" spans="1:25" s="4" customFormat="1" ht="21" customHeight="1">
      <c r="A4" s="57"/>
      <c r="B4" s="57"/>
      <c r="C4" s="57"/>
      <c r="D4" s="57"/>
      <c r="E4" s="57"/>
      <c r="F4" s="57"/>
      <c r="G4" s="57"/>
      <c r="H4" s="57"/>
      <c r="I4" s="57"/>
      <c r="J4" s="57"/>
      <c r="K4" s="57"/>
      <c r="L4" s="57"/>
      <c r="M4" s="57"/>
      <c r="N4" s="57"/>
      <c r="O4" s="57"/>
      <c r="P4" s="57"/>
      <c r="Q4" s="57"/>
      <c r="R4" s="57"/>
      <c r="S4" s="57"/>
      <c r="T4" s="57"/>
      <c r="U4" s="57"/>
      <c r="V4" s="57"/>
    </row>
    <row r="5" spans="1:25" s="90" customFormat="1" ht="28.2" customHeight="1">
      <c r="A5" s="88"/>
      <c r="B5" s="89" t="s">
        <v>264</v>
      </c>
      <c r="C5" s="89"/>
      <c r="D5" s="88"/>
      <c r="E5" s="88"/>
      <c r="F5" s="88"/>
      <c r="G5" s="88"/>
      <c r="H5" s="88"/>
      <c r="I5" s="88"/>
      <c r="J5" s="88"/>
      <c r="K5" s="88"/>
      <c r="L5" s="88"/>
      <c r="M5" s="88"/>
      <c r="N5" s="88"/>
      <c r="O5" s="88"/>
      <c r="P5" s="88"/>
      <c r="Q5" s="88"/>
      <c r="R5" s="88"/>
      <c r="S5" s="88"/>
      <c r="T5" s="88"/>
      <c r="U5" s="88"/>
      <c r="V5" s="88"/>
    </row>
    <row r="6" spans="1:25" s="4" customFormat="1" ht="22.2" customHeight="1">
      <c r="A6" s="57"/>
      <c r="B6" s="57"/>
      <c r="C6" s="57"/>
      <c r="D6" s="57"/>
      <c r="E6" s="57"/>
      <c r="F6" s="57"/>
      <c r="G6" s="57"/>
      <c r="H6" s="57"/>
      <c r="I6" s="57"/>
      <c r="J6" s="57"/>
      <c r="K6" s="57"/>
      <c r="L6" s="57"/>
      <c r="M6" s="57"/>
      <c r="N6" s="57"/>
      <c r="O6" s="57"/>
      <c r="P6" s="57"/>
      <c r="Q6" s="57"/>
      <c r="R6" s="57"/>
      <c r="S6" s="57"/>
      <c r="T6" s="57"/>
      <c r="U6" s="57"/>
      <c r="V6" s="57"/>
    </row>
    <row r="7" spans="1:25" s="90" customFormat="1" ht="18" customHeight="1">
      <c r="A7" s="193"/>
      <c r="B7" s="194" t="s">
        <v>265</v>
      </c>
      <c r="C7" s="193"/>
      <c r="D7" s="193"/>
      <c r="E7" s="193"/>
      <c r="F7" s="193"/>
      <c r="G7" s="193"/>
      <c r="H7" s="193"/>
      <c r="I7" s="193"/>
      <c r="J7" s="193"/>
      <c r="K7" s="193"/>
      <c r="L7" s="193"/>
      <c r="M7" s="193"/>
      <c r="N7" s="193"/>
      <c r="O7" s="193"/>
      <c r="P7" s="193"/>
      <c r="Q7" s="193"/>
      <c r="R7" s="193"/>
      <c r="S7" s="193"/>
      <c r="T7" s="193"/>
      <c r="U7" s="193"/>
      <c r="V7" s="193"/>
    </row>
    <row r="8" spans="1:25" s="90" customFormat="1" ht="21" customHeight="1">
      <c r="A8" s="161"/>
      <c r="B8" s="162" t="s">
        <v>266</v>
      </c>
      <c r="C8" s="163"/>
      <c r="D8" s="161"/>
      <c r="E8" s="161"/>
      <c r="F8" s="161"/>
      <c r="G8" s="161"/>
      <c r="H8" s="161"/>
      <c r="I8" s="161"/>
      <c r="J8" s="161"/>
      <c r="K8" s="161"/>
      <c r="L8" s="161"/>
      <c r="M8" s="161"/>
      <c r="N8" s="161"/>
      <c r="O8" s="161"/>
      <c r="P8" s="161"/>
      <c r="Q8" s="161"/>
      <c r="R8" s="161"/>
      <c r="S8" s="161"/>
      <c r="T8" s="161"/>
      <c r="U8" s="161"/>
      <c r="V8" s="161"/>
    </row>
    <row r="9" spans="1:25" s="4" customFormat="1" ht="22.2" customHeight="1">
      <c r="A9" s="205"/>
      <c r="B9" s="162" t="s">
        <v>267</v>
      </c>
      <c r="C9" s="205"/>
      <c r="D9" s="205"/>
      <c r="E9" s="205"/>
      <c r="F9" s="205"/>
      <c r="G9" s="205"/>
      <c r="H9" s="205"/>
      <c r="I9" s="205"/>
      <c r="J9" s="205"/>
      <c r="K9" s="205"/>
      <c r="L9" s="205"/>
      <c r="M9" s="205"/>
      <c r="N9" s="205"/>
      <c r="O9" s="205"/>
      <c r="P9" s="205"/>
      <c r="Q9" s="205"/>
      <c r="R9" s="205"/>
      <c r="S9" s="205"/>
      <c r="T9" s="205"/>
      <c r="U9" s="205"/>
      <c r="V9" s="205"/>
    </row>
    <row r="10" spans="1:25" s="4" customFormat="1" ht="22.2" customHeight="1"/>
    <row r="11" spans="1:25" s="4" customFormat="1" ht="40.200000000000003" customHeight="1">
      <c r="B11" s="164" t="s">
        <v>268</v>
      </c>
      <c r="C11" s="165" t="s">
        <v>126</v>
      </c>
      <c r="D11" s="165" t="s">
        <v>269</v>
      </c>
    </row>
    <row r="12" spans="1:25" s="4" customFormat="1" ht="22.2" customHeight="1">
      <c r="B12" s="185">
        <v>7</v>
      </c>
      <c r="C12" s="185" t="s">
        <v>270</v>
      </c>
      <c r="D12" s="201">
        <v>8117254</v>
      </c>
    </row>
    <row r="13" spans="1:25" s="4" customFormat="1" ht="22.2" customHeight="1"/>
    <row r="14" spans="1:25" s="4" customFormat="1" ht="22.2" customHeight="1">
      <c r="B14" s="164" t="s">
        <v>271</v>
      </c>
    </row>
    <row r="15" spans="1:25" s="4" customFormat="1" ht="22.2" customHeight="1">
      <c r="B15" s="206">
        <v>0.1</v>
      </c>
    </row>
    <row r="16" spans="1:25" s="4" customFormat="1" ht="21" customHeight="1"/>
    <row r="17" spans="1:22" s="90" customFormat="1" ht="19.5" customHeight="1">
      <c r="A17" s="193"/>
      <c r="B17" s="207" t="s">
        <v>272</v>
      </c>
      <c r="C17" s="207"/>
      <c r="D17" s="193"/>
      <c r="E17" s="193"/>
      <c r="F17" s="193"/>
      <c r="G17" s="193"/>
      <c r="H17" s="193"/>
      <c r="I17" s="193"/>
      <c r="J17" s="193"/>
      <c r="K17" s="193"/>
      <c r="L17" s="193"/>
      <c r="M17" s="193"/>
      <c r="N17" s="193"/>
      <c r="O17" s="193"/>
      <c r="P17" s="193"/>
      <c r="Q17" s="193"/>
      <c r="R17" s="193"/>
      <c r="S17" s="193"/>
      <c r="T17" s="193"/>
      <c r="U17" s="193"/>
      <c r="V17" s="193"/>
    </row>
    <row r="18" spans="1:22" s="90" customFormat="1" ht="24.75" customHeight="1">
      <c r="A18" s="161"/>
      <c r="B18" s="162" t="s">
        <v>273</v>
      </c>
      <c r="C18" s="163"/>
      <c r="D18" s="161"/>
      <c r="E18" s="161"/>
      <c r="F18" s="161"/>
      <c r="G18" s="161"/>
      <c r="H18" s="161"/>
      <c r="I18" s="161"/>
      <c r="J18" s="161"/>
      <c r="K18" s="161"/>
      <c r="L18" s="161"/>
      <c r="M18" s="161"/>
      <c r="N18" s="161"/>
      <c r="O18" s="161"/>
      <c r="P18" s="161"/>
      <c r="Q18" s="161"/>
      <c r="R18" s="161"/>
      <c r="S18" s="161"/>
      <c r="T18" s="161"/>
      <c r="U18" s="161"/>
      <c r="V18" s="161"/>
    </row>
    <row r="19" spans="1:22" s="90" customFormat="1" ht="27" customHeight="1">
      <c r="A19" s="161"/>
      <c r="B19" s="162" t="s">
        <v>274</v>
      </c>
      <c r="C19" s="163"/>
      <c r="D19" s="161"/>
      <c r="E19" s="161"/>
      <c r="F19" s="161"/>
      <c r="G19" s="161"/>
      <c r="H19" s="161"/>
      <c r="I19" s="161"/>
      <c r="J19" s="161"/>
      <c r="K19" s="161"/>
      <c r="L19" s="161"/>
      <c r="M19" s="161"/>
      <c r="N19" s="161"/>
      <c r="O19" s="161"/>
      <c r="P19" s="161"/>
      <c r="Q19" s="161"/>
      <c r="R19" s="161"/>
      <c r="S19" s="161"/>
      <c r="T19" s="161"/>
      <c r="U19" s="161"/>
      <c r="V19" s="161"/>
    </row>
    <row r="20" spans="1:22" s="4" customFormat="1" ht="17.100000000000001" customHeight="1"/>
    <row r="21" spans="1:22" s="4" customFormat="1" ht="50.25" customHeight="1">
      <c r="B21" s="164" t="s">
        <v>268</v>
      </c>
      <c r="C21" s="165" t="s">
        <v>126</v>
      </c>
      <c r="D21" s="165" t="s">
        <v>269</v>
      </c>
      <c r="E21" s="165" t="s">
        <v>275</v>
      </c>
    </row>
    <row r="22" spans="1:22" s="4" customFormat="1" ht="17.100000000000001" customHeight="1">
      <c r="B22" s="203">
        <v>6</v>
      </c>
      <c r="C22" s="203" t="s">
        <v>276</v>
      </c>
      <c r="D22" s="203"/>
      <c r="E22" s="204" t="str">
        <f>IF(D22="","",D22/4)</f>
        <v/>
      </c>
    </row>
    <row r="23" spans="1:22" s="4" customFormat="1" ht="17.100000000000001" customHeight="1">
      <c r="B23" s="185">
        <v>7</v>
      </c>
      <c r="C23" s="185" t="s">
        <v>270</v>
      </c>
      <c r="D23" s="202">
        <f>IF(B23=$B$12,$D$12,D22*(1+$B$15))</f>
        <v>8117254</v>
      </c>
      <c r="E23" s="202">
        <f t="shared" ref="E23:E29" si="0">IF(D23="","",D23/4)</f>
        <v>2029313.5</v>
      </c>
    </row>
    <row r="24" spans="1:22" s="4" customFormat="1" ht="17.100000000000001" customHeight="1">
      <c r="B24" s="185">
        <v>8</v>
      </c>
      <c r="C24" s="185" t="s">
        <v>277</v>
      </c>
      <c r="D24" s="202">
        <f t="shared" ref="D24:D29" si="1">IF(B24=$B$12,$D$12,D23*(1+$B$15))</f>
        <v>8928979.4000000004</v>
      </c>
      <c r="E24" s="202">
        <f t="shared" si="0"/>
        <v>2232244.85</v>
      </c>
    </row>
    <row r="25" spans="1:22" s="4" customFormat="1" ht="17.100000000000001" customHeight="1">
      <c r="B25" s="185">
        <v>9</v>
      </c>
      <c r="C25" s="185" t="s">
        <v>131</v>
      </c>
      <c r="D25" s="202">
        <f t="shared" si="1"/>
        <v>9821877.3400000017</v>
      </c>
      <c r="E25" s="202">
        <f t="shared" si="0"/>
        <v>2455469.3350000004</v>
      </c>
    </row>
    <row r="26" spans="1:22" s="4" customFormat="1" ht="17.100000000000001" customHeight="1">
      <c r="B26" s="185">
        <v>10</v>
      </c>
      <c r="C26" s="185" t="s">
        <v>132</v>
      </c>
      <c r="D26" s="202">
        <f t="shared" si="1"/>
        <v>10804065.074000003</v>
      </c>
      <c r="E26" s="202">
        <f t="shared" si="0"/>
        <v>2701016.2685000007</v>
      </c>
    </row>
    <row r="27" spans="1:22" s="4" customFormat="1" ht="17.100000000000001" customHeight="1">
      <c r="B27" s="185">
        <v>11</v>
      </c>
      <c r="C27" s="185" t="s">
        <v>133</v>
      </c>
      <c r="D27" s="202">
        <f t="shared" si="1"/>
        <v>11884471.581400003</v>
      </c>
      <c r="E27" s="202">
        <f t="shared" si="0"/>
        <v>2971117.8953500008</v>
      </c>
    </row>
    <row r="28" spans="1:22" s="4" customFormat="1" ht="17.100000000000001" customHeight="1">
      <c r="B28" s="185">
        <v>12</v>
      </c>
      <c r="C28" s="185" t="s">
        <v>134</v>
      </c>
      <c r="D28" s="202">
        <f t="shared" si="1"/>
        <v>13072918.739540005</v>
      </c>
      <c r="E28" s="202">
        <f t="shared" si="0"/>
        <v>3268229.6848850013</v>
      </c>
    </row>
    <row r="29" spans="1:22" s="4" customFormat="1" ht="17.100000000000001" customHeight="1">
      <c r="B29" s="185">
        <v>13</v>
      </c>
      <c r="C29" s="185" t="s">
        <v>135</v>
      </c>
      <c r="D29" s="202">
        <f t="shared" si="1"/>
        <v>14380210.613494007</v>
      </c>
      <c r="E29" s="202">
        <f t="shared" si="0"/>
        <v>3595052.6533735017</v>
      </c>
    </row>
    <row r="30" spans="1:22" s="4" customFormat="1" ht="17.100000000000001" customHeight="1"/>
    <row r="31" spans="1:22" s="4" customFormat="1" ht="17.100000000000001" customHeight="1"/>
    <row r="32" spans="1:22" s="4" customFormat="1" ht="17.100000000000001" customHeight="1"/>
    <row r="33" spans="1:22" s="90" customFormat="1" ht="25.5" customHeight="1">
      <c r="A33" s="88"/>
      <c r="B33" s="89" t="s">
        <v>278</v>
      </c>
      <c r="C33" s="89"/>
      <c r="D33" s="88"/>
      <c r="E33" s="88"/>
      <c r="F33" s="88"/>
      <c r="G33" s="88"/>
      <c r="H33" s="88"/>
      <c r="I33" s="88"/>
      <c r="J33" s="88"/>
      <c r="K33" s="88"/>
      <c r="L33" s="88"/>
      <c r="M33" s="88"/>
      <c r="N33" s="88"/>
      <c r="O33" s="88"/>
      <c r="P33" s="88"/>
      <c r="Q33" s="88"/>
      <c r="R33" s="88"/>
      <c r="S33" s="88"/>
      <c r="T33" s="88"/>
      <c r="U33" s="88"/>
      <c r="V33" s="88"/>
    </row>
    <row r="34" spans="1:22" s="90" customFormat="1" ht="42.75" customHeight="1">
      <c r="A34" s="161"/>
      <c r="B34" s="162" t="s">
        <v>279</v>
      </c>
      <c r="C34" s="163"/>
      <c r="D34" s="161"/>
      <c r="E34" s="161"/>
      <c r="F34" s="161"/>
      <c r="G34" s="161"/>
      <c r="H34" s="161"/>
      <c r="I34" s="161"/>
      <c r="J34" s="161"/>
      <c r="K34" s="161"/>
      <c r="L34" s="161"/>
      <c r="M34" s="161"/>
      <c r="N34" s="161"/>
      <c r="O34" s="161"/>
      <c r="P34" s="161"/>
      <c r="Q34" s="161"/>
      <c r="R34" s="161"/>
      <c r="S34" s="161"/>
      <c r="T34" s="161"/>
      <c r="U34" s="161"/>
      <c r="V34" s="161"/>
    </row>
    <row r="35" spans="1:22" s="90" customFormat="1" ht="22.2" customHeight="1">
      <c r="A35" s="161"/>
      <c r="B35" s="162" t="s">
        <v>280</v>
      </c>
      <c r="C35" s="163"/>
      <c r="D35" s="161"/>
      <c r="E35" s="161"/>
      <c r="F35" s="161"/>
      <c r="G35" s="161"/>
      <c r="H35" s="161"/>
      <c r="I35" s="161"/>
      <c r="J35" s="161"/>
      <c r="K35" s="161"/>
      <c r="L35" s="161"/>
      <c r="M35" s="161"/>
      <c r="N35" s="161"/>
      <c r="O35" s="161"/>
      <c r="P35" s="161"/>
      <c r="Q35" s="161"/>
      <c r="R35" s="161"/>
      <c r="S35" s="161"/>
      <c r="T35" s="161"/>
      <c r="U35" s="161"/>
      <c r="V35" s="161"/>
    </row>
    <row r="36" spans="1:22"/>
    <row r="37" spans="1:22" ht="67.349999999999994" customHeight="1">
      <c r="B37" s="164" t="s">
        <v>268</v>
      </c>
      <c r="C37" s="165" t="s">
        <v>126</v>
      </c>
      <c r="D37" s="165" t="s">
        <v>281</v>
      </c>
      <c r="E37" s="165" t="s">
        <v>282</v>
      </c>
      <c r="F37" s="166" t="s">
        <v>283</v>
      </c>
      <c r="G37" s="167" t="s">
        <v>284</v>
      </c>
      <c r="H37" s="165" t="s">
        <v>285</v>
      </c>
      <c r="I37" s="165" t="s">
        <v>286</v>
      </c>
      <c r="J37" s="165" t="s">
        <v>287</v>
      </c>
      <c r="K37" s="165" t="s">
        <v>288</v>
      </c>
    </row>
    <row r="38" spans="1:22" ht="15.75" customHeight="1">
      <c r="B38" s="185">
        <v>6</v>
      </c>
      <c r="C38" s="185" t="s">
        <v>276</v>
      </c>
      <c r="D38" s="185" t="s">
        <v>289</v>
      </c>
      <c r="E38" s="91" t="s">
        <v>290</v>
      </c>
      <c r="F38" s="168">
        <v>284128916</v>
      </c>
      <c r="G38" s="168">
        <v>68043095</v>
      </c>
      <c r="H38" s="214">
        <f>SUMIF($B$22:$B$29,B38,$E$22:$E$29)</f>
        <v>0</v>
      </c>
      <c r="I38" s="168">
        <v>0</v>
      </c>
      <c r="J38" s="91" t="s">
        <v>291</v>
      </c>
      <c r="K38" s="91" t="s">
        <v>292</v>
      </c>
    </row>
    <row r="39" spans="1:22">
      <c r="B39" s="185">
        <v>6</v>
      </c>
      <c r="C39" s="185" t="s">
        <v>276</v>
      </c>
      <c r="D39" s="185" t="s">
        <v>293</v>
      </c>
      <c r="E39" s="91" t="s">
        <v>294</v>
      </c>
      <c r="F39" s="168">
        <v>336650457</v>
      </c>
      <c r="G39" s="168">
        <v>66434179</v>
      </c>
      <c r="H39" s="214">
        <f t="shared" ref="H39:H69" si="2">SUMIF($B$22:$B$29,B39,$E$22:$E$29)</f>
        <v>0</v>
      </c>
      <c r="I39" s="168">
        <v>0</v>
      </c>
      <c r="J39" s="91" t="s">
        <v>291</v>
      </c>
      <c r="K39" s="91" t="s">
        <v>292</v>
      </c>
    </row>
    <row r="40" spans="1:22">
      <c r="B40" s="185">
        <v>6</v>
      </c>
      <c r="C40" s="185" t="s">
        <v>276</v>
      </c>
      <c r="D40" s="185" t="s">
        <v>295</v>
      </c>
      <c r="E40" s="91" t="s">
        <v>296</v>
      </c>
      <c r="F40" s="168">
        <v>263719607</v>
      </c>
      <c r="G40" s="168">
        <v>75616418</v>
      </c>
      <c r="H40" s="214">
        <f t="shared" si="2"/>
        <v>0</v>
      </c>
      <c r="I40" s="168">
        <v>0</v>
      </c>
      <c r="J40" s="91" t="s">
        <v>297</v>
      </c>
      <c r="K40" s="91" t="s">
        <v>292</v>
      </c>
    </row>
    <row r="41" spans="1:22">
      <c r="B41" s="185">
        <v>6</v>
      </c>
      <c r="C41" s="185" t="s">
        <v>276</v>
      </c>
      <c r="D41" s="185" t="s">
        <v>298</v>
      </c>
      <c r="E41" s="91" t="s">
        <v>299</v>
      </c>
      <c r="F41" s="168">
        <v>218652465</v>
      </c>
      <c r="G41" s="168">
        <v>78992633</v>
      </c>
      <c r="H41" s="214">
        <f t="shared" si="2"/>
        <v>0</v>
      </c>
      <c r="I41" s="168">
        <v>0</v>
      </c>
      <c r="J41" s="91" t="s">
        <v>297</v>
      </c>
      <c r="K41" s="91" t="s">
        <v>292</v>
      </c>
    </row>
    <row r="42" spans="1:22">
      <c r="B42" s="185">
        <v>7</v>
      </c>
      <c r="C42" s="185" t="s">
        <v>270</v>
      </c>
      <c r="D42" s="185" t="s">
        <v>289</v>
      </c>
      <c r="E42" s="91" t="s">
        <v>290</v>
      </c>
      <c r="F42" s="168">
        <v>317031811</v>
      </c>
      <c r="G42" s="168">
        <v>67196932</v>
      </c>
      <c r="H42" s="214">
        <f t="shared" si="2"/>
        <v>2029313.5</v>
      </c>
      <c r="I42" s="168">
        <v>0</v>
      </c>
      <c r="J42" s="91" t="s">
        <v>297</v>
      </c>
      <c r="K42" s="91" t="s">
        <v>300</v>
      </c>
    </row>
    <row r="43" spans="1:22">
      <c r="B43" s="185">
        <v>7</v>
      </c>
      <c r="C43" s="185" t="s">
        <v>270</v>
      </c>
      <c r="D43" s="185" t="s">
        <v>293</v>
      </c>
      <c r="E43" s="91" t="s">
        <v>294</v>
      </c>
      <c r="F43" s="168">
        <v>403937380</v>
      </c>
      <c r="G43" s="168">
        <v>65223232</v>
      </c>
      <c r="H43" s="214">
        <f t="shared" si="2"/>
        <v>2029313.5</v>
      </c>
      <c r="I43" s="168">
        <v>0</v>
      </c>
      <c r="J43" s="91" t="s">
        <v>297</v>
      </c>
      <c r="K43" s="91" t="s">
        <v>300</v>
      </c>
    </row>
    <row r="44" spans="1:22">
      <c r="B44" s="185">
        <v>7</v>
      </c>
      <c r="C44" s="185" t="s">
        <v>270</v>
      </c>
      <c r="D44" s="185" t="s">
        <v>295</v>
      </c>
      <c r="E44" s="91" t="s">
        <v>296</v>
      </c>
      <c r="F44" s="168">
        <v>305953122.12</v>
      </c>
      <c r="G44" s="168">
        <v>76952244</v>
      </c>
      <c r="H44" s="214">
        <f t="shared" si="2"/>
        <v>2029313.5</v>
      </c>
      <c r="I44" s="168">
        <v>0</v>
      </c>
      <c r="J44" s="91" t="s">
        <v>301</v>
      </c>
      <c r="K44" s="91" t="s">
        <v>300</v>
      </c>
    </row>
    <row r="45" spans="1:22">
      <c r="B45" s="185">
        <v>7</v>
      </c>
      <c r="C45" s="185" t="s">
        <v>270</v>
      </c>
      <c r="D45" s="185" t="s">
        <v>298</v>
      </c>
      <c r="E45" s="91" t="s">
        <v>299</v>
      </c>
      <c r="F45" s="168">
        <v>252277845</v>
      </c>
      <c r="G45" s="168">
        <v>78055804</v>
      </c>
      <c r="H45" s="214">
        <f t="shared" si="2"/>
        <v>2029313.5</v>
      </c>
      <c r="I45" s="168">
        <v>0</v>
      </c>
      <c r="J45" s="91" t="s">
        <v>301</v>
      </c>
      <c r="K45" s="91" t="s">
        <v>300</v>
      </c>
    </row>
    <row r="46" spans="1:22">
      <c r="B46" s="185">
        <v>8</v>
      </c>
      <c r="C46" s="185" t="s">
        <v>277</v>
      </c>
      <c r="D46" s="185" t="s">
        <v>289</v>
      </c>
      <c r="E46" s="91" t="s">
        <v>290</v>
      </c>
      <c r="F46" s="168">
        <v>370345733</v>
      </c>
      <c r="G46" s="168">
        <v>65511193</v>
      </c>
      <c r="H46" s="214">
        <f t="shared" si="2"/>
        <v>2232244.85</v>
      </c>
      <c r="I46" s="168">
        <v>0</v>
      </c>
      <c r="J46" s="91" t="s">
        <v>301</v>
      </c>
      <c r="K46" s="91" t="s">
        <v>302</v>
      </c>
    </row>
    <row r="47" spans="1:22">
      <c r="B47" s="185">
        <v>8</v>
      </c>
      <c r="C47" s="185" t="s">
        <v>277</v>
      </c>
      <c r="D47" s="185" t="s">
        <v>293</v>
      </c>
      <c r="E47" s="91" t="s">
        <v>294</v>
      </c>
      <c r="F47" s="168">
        <v>408397207</v>
      </c>
      <c r="G47" s="168">
        <v>64302061</v>
      </c>
      <c r="H47" s="214">
        <f t="shared" si="2"/>
        <v>2232244.85</v>
      </c>
      <c r="I47" s="168">
        <v>0</v>
      </c>
      <c r="J47" s="91" t="s">
        <v>301</v>
      </c>
      <c r="K47" s="91" t="s">
        <v>302</v>
      </c>
    </row>
    <row r="48" spans="1:22">
      <c r="B48" s="185">
        <v>8</v>
      </c>
      <c r="C48" s="185" t="s">
        <v>277</v>
      </c>
      <c r="D48" s="185" t="s">
        <v>295</v>
      </c>
      <c r="E48" s="91" t="s">
        <v>296</v>
      </c>
      <c r="F48" s="168">
        <v>328300299</v>
      </c>
      <c r="G48" s="168">
        <v>76503263</v>
      </c>
      <c r="H48" s="214">
        <f t="shared" si="2"/>
        <v>2232244.85</v>
      </c>
      <c r="I48" s="168">
        <v>0</v>
      </c>
      <c r="J48" s="91" t="s">
        <v>303</v>
      </c>
      <c r="K48" s="91" t="s">
        <v>302</v>
      </c>
    </row>
    <row r="49" spans="2:11">
      <c r="B49" s="185">
        <v>8</v>
      </c>
      <c r="C49" s="185" t="s">
        <v>277</v>
      </c>
      <c r="D49" s="185" t="s">
        <v>298</v>
      </c>
      <c r="E49" s="91" t="s">
        <v>299</v>
      </c>
      <c r="F49" s="168">
        <v>279798492</v>
      </c>
      <c r="G49" s="168">
        <v>79341513</v>
      </c>
      <c r="H49" s="214">
        <f t="shared" si="2"/>
        <v>2232244.85</v>
      </c>
      <c r="I49" s="168">
        <v>0</v>
      </c>
      <c r="J49" s="91" t="s">
        <v>303</v>
      </c>
      <c r="K49" s="91" t="s">
        <v>302</v>
      </c>
    </row>
    <row r="50" spans="2:11">
      <c r="B50" s="185">
        <v>9</v>
      </c>
      <c r="C50" s="185" t="s">
        <v>131</v>
      </c>
      <c r="D50" s="185" t="s">
        <v>289</v>
      </c>
      <c r="E50" s="91" t="s">
        <v>290</v>
      </c>
      <c r="F50" s="168">
        <v>388513117</v>
      </c>
      <c r="G50" s="168">
        <v>64872088</v>
      </c>
      <c r="H50" s="214">
        <f t="shared" si="2"/>
        <v>2455469.3350000004</v>
      </c>
      <c r="I50" s="168">
        <v>0</v>
      </c>
      <c r="J50" s="91" t="s">
        <v>303</v>
      </c>
      <c r="K50" s="91" t="s">
        <v>304</v>
      </c>
    </row>
    <row r="51" spans="2:11">
      <c r="B51" s="185">
        <v>9</v>
      </c>
      <c r="C51" s="185" t="s">
        <v>131</v>
      </c>
      <c r="D51" s="185" t="s">
        <v>293</v>
      </c>
      <c r="E51" s="91" t="s">
        <v>294</v>
      </c>
      <c r="F51" s="168">
        <v>437946915</v>
      </c>
      <c r="G51" s="168">
        <v>64281744</v>
      </c>
      <c r="H51" s="214">
        <f t="shared" si="2"/>
        <v>2455469.3350000004</v>
      </c>
      <c r="I51" s="168">
        <v>0</v>
      </c>
      <c r="J51" s="91" t="s">
        <v>303</v>
      </c>
      <c r="K51" s="91" t="s">
        <v>304</v>
      </c>
    </row>
    <row r="52" spans="2:11">
      <c r="B52" s="185">
        <v>9</v>
      </c>
      <c r="C52" s="185" t="s">
        <v>131</v>
      </c>
      <c r="D52" s="185" t="s">
        <v>295</v>
      </c>
      <c r="E52" s="91" t="s">
        <v>296</v>
      </c>
      <c r="F52" s="168">
        <v>345349321</v>
      </c>
      <c r="G52" s="168">
        <v>71851516</v>
      </c>
      <c r="H52" s="214">
        <f t="shared" si="2"/>
        <v>2455469.3350000004</v>
      </c>
      <c r="I52" s="168">
        <v>0</v>
      </c>
      <c r="J52" s="91" t="s">
        <v>305</v>
      </c>
      <c r="K52" s="91" t="s">
        <v>304</v>
      </c>
    </row>
    <row r="53" spans="2:11">
      <c r="B53" s="185">
        <v>9</v>
      </c>
      <c r="C53" s="185" t="s">
        <v>131</v>
      </c>
      <c r="D53" s="185" t="s">
        <v>298</v>
      </c>
      <c r="E53" s="91" t="s">
        <v>299</v>
      </c>
      <c r="F53" s="168">
        <v>292475632</v>
      </c>
      <c r="G53" s="168">
        <v>74227469</v>
      </c>
      <c r="H53" s="214">
        <f t="shared" si="2"/>
        <v>2455469.3350000004</v>
      </c>
      <c r="I53" s="168">
        <v>0</v>
      </c>
      <c r="J53" s="91" t="s">
        <v>305</v>
      </c>
      <c r="K53" s="91" t="s">
        <v>304</v>
      </c>
    </row>
    <row r="54" spans="2:11">
      <c r="B54" s="185">
        <v>10</v>
      </c>
      <c r="C54" s="185" t="s">
        <v>132</v>
      </c>
      <c r="D54" s="185" t="s">
        <v>289</v>
      </c>
      <c r="E54" s="91" t="s">
        <v>290</v>
      </c>
      <c r="F54" s="168">
        <v>411065384</v>
      </c>
      <c r="G54" s="168">
        <v>64431133</v>
      </c>
      <c r="H54" s="214">
        <f t="shared" si="2"/>
        <v>2701016.2685000007</v>
      </c>
      <c r="I54" s="168">
        <v>2253545.6880000001</v>
      </c>
      <c r="J54" s="91" t="s">
        <v>305</v>
      </c>
      <c r="K54" s="91" t="s">
        <v>306</v>
      </c>
    </row>
    <row r="55" spans="2:11">
      <c r="B55" s="185">
        <v>10</v>
      </c>
      <c r="C55" s="185" t="s">
        <v>132</v>
      </c>
      <c r="D55" s="185" t="s">
        <v>293</v>
      </c>
      <c r="E55" s="91" t="s">
        <v>294</v>
      </c>
      <c r="F55" s="168">
        <v>436369071</v>
      </c>
      <c r="G55" s="168">
        <v>63176820</v>
      </c>
      <c r="H55" s="214">
        <f t="shared" si="2"/>
        <v>2701016.2685000007</v>
      </c>
      <c r="I55" s="168">
        <v>2176850.696</v>
      </c>
      <c r="J55" s="91" t="s">
        <v>305</v>
      </c>
      <c r="K55" s="91" t="s">
        <v>306</v>
      </c>
    </row>
    <row r="56" spans="2:11">
      <c r="B56" s="185">
        <v>10</v>
      </c>
      <c r="C56" s="185" t="s">
        <v>132</v>
      </c>
      <c r="D56" s="185" t="s">
        <v>295</v>
      </c>
      <c r="E56" s="91" t="s">
        <v>296</v>
      </c>
      <c r="F56" s="168">
        <v>352212095</v>
      </c>
      <c r="G56" s="168">
        <v>74631055</v>
      </c>
      <c r="H56" s="214">
        <f t="shared" si="2"/>
        <v>2701016.2685000007</v>
      </c>
      <c r="I56" s="168">
        <v>2076932.987</v>
      </c>
      <c r="J56" s="91" t="s">
        <v>307</v>
      </c>
      <c r="K56" s="91" t="s">
        <v>306</v>
      </c>
    </row>
    <row r="57" spans="2:11">
      <c r="B57" s="185">
        <v>10</v>
      </c>
      <c r="C57" s="185" t="s">
        <v>132</v>
      </c>
      <c r="D57" s="185" t="s">
        <v>298</v>
      </c>
      <c r="E57" s="91" t="s">
        <v>299</v>
      </c>
      <c r="F57" s="168">
        <v>311292548</v>
      </c>
      <c r="G57" s="168">
        <v>73027013</v>
      </c>
      <c r="H57" s="214">
        <f t="shared" si="2"/>
        <v>2701016.2685000007</v>
      </c>
      <c r="I57" s="168">
        <v>2229268.0180000002</v>
      </c>
      <c r="J57" s="91" t="s">
        <v>307</v>
      </c>
      <c r="K57" s="91" t="s">
        <v>306</v>
      </c>
    </row>
    <row r="58" spans="2:11">
      <c r="B58" s="185">
        <v>11</v>
      </c>
      <c r="C58" s="185" t="s">
        <v>133</v>
      </c>
      <c r="D58" s="185" t="s">
        <v>289</v>
      </c>
      <c r="E58" s="91" t="s">
        <v>290</v>
      </c>
      <c r="F58" s="168">
        <v>490957439</v>
      </c>
      <c r="G58" s="168">
        <v>55167169</v>
      </c>
      <c r="H58" s="214">
        <f t="shared" si="2"/>
        <v>2971117.8953500008</v>
      </c>
      <c r="I58" s="168">
        <v>1936850.652</v>
      </c>
      <c r="J58" s="91" t="s">
        <v>307</v>
      </c>
      <c r="K58" s="91" t="s">
        <v>308</v>
      </c>
    </row>
    <row r="59" spans="2:11">
      <c r="B59" s="185">
        <v>11</v>
      </c>
      <c r="C59" s="185" t="s">
        <v>133</v>
      </c>
      <c r="D59" s="185" t="s">
        <v>293</v>
      </c>
      <c r="E59" s="91" t="s">
        <v>294</v>
      </c>
      <c r="F59" s="168">
        <v>469149403</v>
      </c>
      <c r="G59" s="168">
        <v>58960505</v>
      </c>
      <c r="H59" s="214">
        <f t="shared" si="2"/>
        <v>2971117.8953500008</v>
      </c>
      <c r="I59" s="168">
        <v>2180616.59</v>
      </c>
      <c r="J59" s="91" t="s">
        <v>307</v>
      </c>
      <c r="K59" s="91" t="s">
        <v>308</v>
      </c>
    </row>
    <row r="60" spans="2:11">
      <c r="B60" s="185">
        <v>11</v>
      </c>
      <c r="C60" s="185" t="s">
        <v>133</v>
      </c>
      <c r="D60" s="185" t="s">
        <v>295</v>
      </c>
      <c r="E60" s="91" t="s">
        <v>296</v>
      </c>
      <c r="F60" s="168">
        <v>361651072.5</v>
      </c>
      <c r="G60" s="168">
        <v>71309298.599999994</v>
      </c>
      <c r="H60" s="214">
        <f t="shared" si="2"/>
        <v>2971117.8953500008</v>
      </c>
      <c r="I60" s="168">
        <v>2316780.5</v>
      </c>
      <c r="J60" s="91" t="s">
        <v>309</v>
      </c>
      <c r="K60" s="91" t="s">
        <v>308</v>
      </c>
    </row>
    <row r="61" spans="2:11">
      <c r="B61" s="185">
        <v>11</v>
      </c>
      <c r="C61" s="185" t="s">
        <v>133</v>
      </c>
      <c r="D61" s="185" t="s">
        <v>298</v>
      </c>
      <c r="E61" s="91" t="s">
        <v>299</v>
      </c>
      <c r="F61" s="168">
        <v>280454492.06999999</v>
      </c>
      <c r="G61" s="168">
        <v>72021705</v>
      </c>
      <c r="H61" s="214">
        <f t="shared" si="2"/>
        <v>2971117.8953500008</v>
      </c>
      <c r="I61" s="168">
        <v>2364558.9219999998</v>
      </c>
      <c r="J61" s="91" t="s">
        <v>309</v>
      </c>
      <c r="K61" s="91" t="s">
        <v>308</v>
      </c>
    </row>
    <row r="62" spans="2:11">
      <c r="B62" s="185">
        <v>12</v>
      </c>
      <c r="C62" s="185" t="s">
        <v>134</v>
      </c>
      <c r="D62" s="185" t="s">
        <v>289</v>
      </c>
      <c r="E62" s="91" t="s">
        <v>290</v>
      </c>
      <c r="F62" s="168">
        <v>333434592.30000001</v>
      </c>
      <c r="G62" s="168">
        <v>62455280</v>
      </c>
      <c r="H62" s="214">
        <f t="shared" si="2"/>
        <v>3268229.6848850013</v>
      </c>
      <c r="I62" s="168">
        <v>2433172</v>
      </c>
      <c r="J62" s="91" t="s">
        <v>309</v>
      </c>
      <c r="K62" s="91" t="s">
        <v>310</v>
      </c>
    </row>
    <row r="63" spans="2:11">
      <c r="B63" s="185">
        <v>12</v>
      </c>
      <c r="C63" s="185" t="s">
        <v>134</v>
      </c>
      <c r="D63" s="185" t="s">
        <v>293</v>
      </c>
      <c r="E63" s="91" t="s">
        <v>294</v>
      </c>
      <c r="F63" s="168">
        <v>381226694.56</v>
      </c>
      <c r="G63" s="168">
        <v>59426897.457000002</v>
      </c>
      <c r="H63" s="214">
        <f t="shared" si="2"/>
        <v>3268229.6848850013</v>
      </c>
      <c r="I63" s="168">
        <v>2525349.9449999998</v>
      </c>
      <c r="J63" s="91" t="s">
        <v>309</v>
      </c>
      <c r="K63" s="91" t="s">
        <v>310</v>
      </c>
    </row>
    <row r="64" spans="2:11">
      <c r="B64" s="185">
        <v>12</v>
      </c>
      <c r="C64" s="185" t="s">
        <v>134</v>
      </c>
      <c r="D64" s="185" t="s">
        <v>295</v>
      </c>
      <c r="E64" s="91" t="s">
        <v>296</v>
      </c>
      <c r="F64" s="269">
        <v>311497612</v>
      </c>
      <c r="G64" s="269">
        <v>71731853</v>
      </c>
      <c r="H64" s="214">
        <f t="shared" si="2"/>
        <v>3268229.6848850013</v>
      </c>
      <c r="I64" s="270">
        <v>2470101</v>
      </c>
      <c r="J64" s="91" t="s">
        <v>311</v>
      </c>
      <c r="K64" s="91" t="s">
        <v>310</v>
      </c>
    </row>
    <row r="65" spans="1:22">
      <c r="B65" s="185">
        <v>12</v>
      </c>
      <c r="C65" s="185" t="s">
        <v>134</v>
      </c>
      <c r="D65" s="185" t="s">
        <v>298</v>
      </c>
      <c r="E65" s="91" t="s">
        <v>299</v>
      </c>
      <c r="F65" s="269">
        <v>245013993</v>
      </c>
      <c r="G65" s="269">
        <v>72226059</v>
      </c>
      <c r="H65" s="214">
        <f t="shared" si="2"/>
        <v>3268229.6848850013</v>
      </c>
      <c r="I65" s="270">
        <v>2438769</v>
      </c>
      <c r="J65" s="91" t="s">
        <v>311</v>
      </c>
      <c r="K65" s="91" t="s">
        <v>310</v>
      </c>
    </row>
    <row r="66" spans="1:22">
      <c r="B66" s="185">
        <v>13</v>
      </c>
      <c r="C66" s="185" t="s">
        <v>135</v>
      </c>
      <c r="D66" s="185" t="s">
        <v>289</v>
      </c>
      <c r="E66" s="91" t="s">
        <v>290</v>
      </c>
      <c r="F66" s="168"/>
      <c r="G66" s="168"/>
      <c r="H66" s="214">
        <f t="shared" si="2"/>
        <v>3595052.6533735017</v>
      </c>
      <c r="I66" s="168"/>
      <c r="J66" s="91" t="s">
        <v>311</v>
      </c>
      <c r="K66" s="91" t="s">
        <v>312</v>
      </c>
    </row>
    <row r="67" spans="1:22">
      <c r="B67" s="185">
        <v>13</v>
      </c>
      <c r="C67" s="185" t="s">
        <v>135</v>
      </c>
      <c r="D67" s="185" t="s">
        <v>293</v>
      </c>
      <c r="E67" s="91" t="s">
        <v>294</v>
      </c>
      <c r="F67" s="168"/>
      <c r="G67" s="168"/>
      <c r="H67" s="214">
        <f t="shared" si="2"/>
        <v>3595052.6533735017</v>
      </c>
      <c r="I67" s="168"/>
      <c r="J67" s="91" t="s">
        <v>311</v>
      </c>
      <c r="K67" s="91" t="s">
        <v>312</v>
      </c>
    </row>
    <row r="68" spans="1:22">
      <c r="B68" s="185">
        <v>13</v>
      </c>
      <c r="C68" s="185" t="s">
        <v>135</v>
      </c>
      <c r="D68" s="185" t="s">
        <v>295</v>
      </c>
      <c r="E68" s="91" t="s">
        <v>296</v>
      </c>
      <c r="F68" s="168"/>
      <c r="G68" s="168"/>
      <c r="H68" s="214">
        <f t="shared" si="2"/>
        <v>3595052.6533735017</v>
      </c>
      <c r="I68" s="168"/>
      <c r="J68" s="91" t="s">
        <v>291</v>
      </c>
      <c r="K68" s="91" t="s">
        <v>312</v>
      </c>
    </row>
    <row r="69" spans="1:22">
      <c r="B69" s="185">
        <v>13</v>
      </c>
      <c r="C69" s="185" t="s">
        <v>135</v>
      </c>
      <c r="D69" s="185" t="s">
        <v>298</v>
      </c>
      <c r="E69" s="91" t="s">
        <v>299</v>
      </c>
      <c r="F69" s="168"/>
      <c r="G69" s="168"/>
      <c r="H69" s="214">
        <f t="shared" si="2"/>
        <v>3595052.6533735017</v>
      </c>
      <c r="I69" s="168"/>
      <c r="J69" s="91" t="s">
        <v>291</v>
      </c>
      <c r="K69" s="91" t="s">
        <v>312</v>
      </c>
    </row>
    <row r="70" spans="1:22"/>
    <row r="71" spans="1:22"/>
    <row r="72" spans="1:22"/>
    <row r="73" spans="1:22" s="90" customFormat="1" ht="18" customHeight="1">
      <c r="A73" s="88"/>
      <c r="B73" s="89" t="s">
        <v>313</v>
      </c>
      <c r="C73" s="88"/>
      <c r="D73" s="88"/>
      <c r="E73" s="88"/>
      <c r="F73" s="88"/>
      <c r="G73" s="88"/>
      <c r="H73" s="88"/>
      <c r="I73" s="88"/>
      <c r="J73" s="88"/>
      <c r="K73" s="88"/>
      <c r="L73" s="88"/>
      <c r="M73" s="88"/>
      <c r="N73" s="88"/>
      <c r="O73" s="88"/>
      <c r="P73" s="88"/>
      <c r="Q73" s="88"/>
      <c r="R73" s="88"/>
      <c r="S73" s="88"/>
      <c r="T73" s="88"/>
      <c r="U73" s="88"/>
      <c r="V73" s="88"/>
    </row>
    <row r="74" spans="1:22" s="90" customFormat="1" ht="20.100000000000001" customHeight="1">
      <c r="A74" s="161"/>
      <c r="B74" s="162" t="s">
        <v>314</v>
      </c>
      <c r="C74" s="163"/>
      <c r="D74" s="161"/>
      <c r="E74" s="161"/>
      <c r="F74" s="161"/>
      <c r="G74" s="161"/>
      <c r="H74" s="161"/>
      <c r="I74" s="161"/>
      <c r="J74" s="161"/>
      <c r="K74" s="161"/>
      <c r="L74" s="161"/>
      <c r="M74" s="161"/>
      <c r="N74" s="161"/>
      <c r="O74" s="161"/>
      <c r="P74" s="161"/>
      <c r="Q74" s="161"/>
      <c r="R74" s="161"/>
      <c r="S74" s="161"/>
      <c r="T74" s="161"/>
      <c r="U74" s="161"/>
      <c r="V74" s="161"/>
    </row>
    <row r="75" spans="1:22"/>
    <row r="76" spans="1:22"/>
    <row r="77" spans="1:22" ht="60.75" customHeight="1">
      <c r="B77" s="182" t="s">
        <v>315</v>
      </c>
      <c r="C77" s="165" t="s">
        <v>126</v>
      </c>
      <c r="D77" s="183" t="s">
        <v>316</v>
      </c>
      <c r="E77" s="183" t="s">
        <v>317</v>
      </c>
    </row>
    <row r="78" spans="1:22">
      <c r="B78" s="185">
        <v>6</v>
      </c>
      <c r="C78" s="185" t="s">
        <v>276</v>
      </c>
      <c r="D78" s="196">
        <v>1.6</v>
      </c>
      <c r="E78" s="198">
        <v>100</v>
      </c>
    </row>
    <row r="79" spans="1:22">
      <c r="B79" s="185">
        <v>7</v>
      </c>
      <c r="C79" s="185" t="s">
        <v>270</v>
      </c>
      <c r="D79" s="196">
        <v>1.2</v>
      </c>
      <c r="E79" s="199">
        <f>E78*(1+D79/100)</f>
        <v>101.2</v>
      </c>
    </row>
    <row r="80" spans="1:22">
      <c r="B80" s="185">
        <v>8</v>
      </c>
      <c r="C80" s="185" t="s">
        <v>277</v>
      </c>
      <c r="D80" s="197">
        <v>2.5</v>
      </c>
      <c r="E80" s="199">
        <f t="shared" ref="E80:E85" si="3">E79*(1+D80/100)</f>
        <v>103.72999999999999</v>
      </c>
    </row>
    <row r="81" spans="1:22">
      <c r="B81" s="185">
        <v>9</v>
      </c>
      <c r="C81" s="185" t="s">
        <v>131</v>
      </c>
      <c r="D81" s="197">
        <v>4.0999999999999996</v>
      </c>
      <c r="E81" s="199">
        <f t="shared" si="3"/>
        <v>107.98292999999998</v>
      </c>
    </row>
    <row r="82" spans="1:22">
      <c r="B82" s="185">
        <v>10</v>
      </c>
      <c r="C82" s="185" t="s">
        <v>132</v>
      </c>
      <c r="D82" s="196">
        <v>2.7</v>
      </c>
      <c r="E82" s="199">
        <f t="shared" si="3"/>
        <v>110.89846910999997</v>
      </c>
    </row>
    <row r="83" spans="1:22">
      <c r="B83" s="185">
        <v>11</v>
      </c>
      <c r="C83" s="185" t="s">
        <v>133</v>
      </c>
      <c r="D83" s="196">
        <v>2.2000000000000002</v>
      </c>
      <c r="E83" s="199">
        <f t="shared" si="3"/>
        <v>113.33823543041997</v>
      </c>
    </row>
    <row r="84" spans="1:22">
      <c r="B84" s="185">
        <v>12</v>
      </c>
      <c r="C84" s="185" t="s">
        <v>134</v>
      </c>
      <c r="D84" s="196">
        <v>1.2</v>
      </c>
      <c r="E84" s="199">
        <f t="shared" si="3"/>
        <v>114.69829425558501</v>
      </c>
    </row>
    <row r="85" spans="1:22">
      <c r="B85" s="185">
        <v>13</v>
      </c>
      <c r="C85" s="185" t="s">
        <v>135</v>
      </c>
      <c r="D85" s="196">
        <v>7.5</v>
      </c>
      <c r="E85" s="199">
        <f t="shared" si="3"/>
        <v>123.30066632475388</v>
      </c>
    </row>
    <row r="86" spans="1:22"/>
    <row r="87" spans="1:22"/>
    <row r="88" spans="1:22"/>
    <row r="89" spans="1:22" s="90" customFormat="1" ht="18" customHeight="1">
      <c r="A89" s="88"/>
      <c r="B89" s="89" t="s">
        <v>318</v>
      </c>
      <c r="C89" s="88"/>
      <c r="D89" s="88"/>
      <c r="E89" s="88"/>
      <c r="F89" s="88"/>
      <c r="G89" s="88"/>
      <c r="H89" s="88"/>
      <c r="I89" s="88"/>
      <c r="J89" s="88"/>
      <c r="K89" s="88"/>
      <c r="L89" s="88"/>
      <c r="M89" s="88"/>
      <c r="N89" s="88"/>
      <c r="O89" s="88"/>
      <c r="P89" s="88"/>
      <c r="Q89" s="88"/>
      <c r="R89" s="88"/>
      <c r="S89" s="88"/>
      <c r="T89" s="88"/>
      <c r="U89" s="88"/>
      <c r="V89" s="88"/>
    </row>
    <row r="90" spans="1:22"/>
    <row r="91" spans="1:22"/>
    <row r="92" spans="1:22" s="90" customFormat="1" ht="18" customHeight="1">
      <c r="A92" s="193"/>
      <c r="B92" s="194" t="s">
        <v>319</v>
      </c>
      <c r="C92" s="193"/>
      <c r="D92" s="193"/>
      <c r="E92" s="193"/>
      <c r="F92" s="193"/>
      <c r="G92" s="193"/>
      <c r="H92" s="193"/>
      <c r="I92" s="193"/>
      <c r="J92" s="193"/>
      <c r="K92" s="193"/>
      <c r="L92" s="193"/>
      <c r="M92" s="193"/>
      <c r="N92" s="193"/>
      <c r="O92" s="193"/>
      <c r="P92" s="193"/>
      <c r="Q92" s="193"/>
      <c r="R92" s="193"/>
      <c r="S92" s="193"/>
      <c r="T92" s="193"/>
      <c r="U92" s="193"/>
      <c r="V92" s="193"/>
    </row>
    <row r="93" spans="1:22" s="90" customFormat="1" ht="15" customHeight="1">
      <c r="A93" s="161"/>
      <c r="B93" s="162" t="s">
        <v>320</v>
      </c>
      <c r="C93" s="163"/>
      <c r="D93" s="161"/>
      <c r="E93" s="161"/>
      <c r="F93" s="161"/>
      <c r="G93" s="161"/>
      <c r="H93" s="161"/>
      <c r="I93" s="161"/>
      <c r="J93" s="161"/>
      <c r="K93" s="161"/>
      <c r="L93" s="161"/>
      <c r="M93" s="161"/>
      <c r="N93" s="161"/>
      <c r="O93" s="161"/>
      <c r="P93" s="161"/>
      <c r="Q93" s="161"/>
      <c r="R93" s="161"/>
      <c r="S93" s="161"/>
      <c r="T93" s="161"/>
      <c r="U93" s="161"/>
      <c r="V93" s="161"/>
    </row>
    <row r="94" spans="1:22"/>
    <row r="95" spans="1:22"/>
    <row r="96" spans="1:22" ht="22.8">
      <c r="B96" s="157"/>
      <c r="C96" s="157" t="s">
        <v>321</v>
      </c>
      <c r="D96" s="34" t="s">
        <v>88</v>
      </c>
      <c r="E96" s="34" t="s">
        <v>89</v>
      </c>
      <c r="F96" s="35" t="s">
        <v>90</v>
      </c>
      <c r="G96" s="34" t="s">
        <v>91</v>
      </c>
      <c r="H96" s="34" t="s">
        <v>92</v>
      </c>
      <c r="I96" s="159"/>
      <c r="J96" s="34" t="s">
        <v>93</v>
      </c>
      <c r="K96" s="30" t="s">
        <v>94</v>
      </c>
      <c r="L96" s="30" t="s">
        <v>95</v>
      </c>
      <c r="M96" s="36" t="s">
        <v>96</v>
      </c>
      <c r="N96" s="30" t="s">
        <v>97</v>
      </c>
      <c r="O96" s="30" t="s">
        <v>98</v>
      </c>
      <c r="P96" s="30" t="s">
        <v>99</v>
      </c>
      <c r="Q96" s="30" t="s">
        <v>100</v>
      </c>
      <c r="R96" s="159"/>
      <c r="S96" s="30" t="s">
        <v>101</v>
      </c>
      <c r="T96" s="30" t="s">
        <v>102</v>
      </c>
      <c r="U96" s="30" t="s">
        <v>103</v>
      </c>
    </row>
    <row r="97" spans="1:22" ht="22.8">
      <c r="B97" s="157"/>
      <c r="C97" s="157" t="s">
        <v>321</v>
      </c>
      <c r="D97" s="34" t="s">
        <v>88</v>
      </c>
      <c r="E97" s="34" t="s">
        <v>89</v>
      </c>
      <c r="F97" s="35" t="s">
        <v>90</v>
      </c>
      <c r="G97" s="34" t="s">
        <v>91</v>
      </c>
      <c r="H97" s="34" t="s">
        <v>92</v>
      </c>
      <c r="I97" s="159"/>
      <c r="J97" s="34" t="s">
        <v>93</v>
      </c>
      <c r="K97" s="30" t="s">
        <v>94</v>
      </c>
      <c r="L97" s="30" t="s">
        <v>95</v>
      </c>
      <c r="M97" s="36" t="s">
        <v>96</v>
      </c>
      <c r="N97" s="30" t="s">
        <v>97</v>
      </c>
      <c r="O97" s="30" t="s">
        <v>98</v>
      </c>
      <c r="P97" s="30" t="s">
        <v>99</v>
      </c>
      <c r="Q97" s="30" t="s">
        <v>100</v>
      </c>
      <c r="R97" s="159"/>
      <c r="S97" s="30" t="s">
        <v>104</v>
      </c>
      <c r="T97" s="30" t="s">
        <v>105</v>
      </c>
      <c r="U97" s="30" t="s">
        <v>103</v>
      </c>
    </row>
    <row r="98" spans="1:22" ht="22.8">
      <c r="B98" s="157" t="s">
        <v>322</v>
      </c>
      <c r="C98" s="157"/>
      <c r="D98" s="158" t="s">
        <v>292</v>
      </c>
      <c r="E98" s="157" t="s">
        <v>297</v>
      </c>
      <c r="F98" s="157" t="s">
        <v>300</v>
      </c>
      <c r="G98" s="157" t="s">
        <v>301</v>
      </c>
      <c r="H98" s="157" t="s">
        <v>302</v>
      </c>
      <c r="I98" s="159"/>
      <c r="J98" s="157" t="s">
        <v>302</v>
      </c>
      <c r="K98" s="157" t="s">
        <v>303</v>
      </c>
      <c r="L98" s="157" t="s">
        <v>304</v>
      </c>
      <c r="M98" s="157" t="s">
        <v>305</v>
      </c>
      <c r="N98" s="157" t="s">
        <v>306</v>
      </c>
      <c r="O98" s="157" t="s">
        <v>307</v>
      </c>
      <c r="P98" s="157" t="s">
        <v>308</v>
      </c>
      <c r="Q98" s="157" t="s">
        <v>309</v>
      </c>
      <c r="R98" s="159"/>
      <c r="S98" s="157" t="s">
        <v>310</v>
      </c>
      <c r="T98" s="157" t="s">
        <v>311</v>
      </c>
      <c r="U98" s="157" t="s">
        <v>312</v>
      </c>
    </row>
    <row r="99" spans="1:22">
      <c r="B99" s="160">
        <v>6</v>
      </c>
      <c r="C99" s="160"/>
      <c r="D99" s="186">
        <f>IF('3f WHD'!K$13&lt;&gt;"",SUMIFS($F$38:$F$69,$K$38:$K$69,"="&amp;D$98,$B$38:$B$69,"="&amp;$B99)+SUMIFS($F$38:$F$69,$J$38:$J$69,"="&amp;D$98,$B$38:$B$69,"="&amp;$B99),"")</f>
        <v>1103151445</v>
      </c>
      <c r="E99" s="186">
        <f>IF('3f WHD'!L$13&lt;&gt;"",SUMIFS($F$38:$F$69,$K$38:$K$69,"="&amp;E$98,$B$38:$B$69,"="&amp;$B99)+SUMIFS($F$38:$F$69,$J$38:$J$69,"="&amp;E$98,$B$38:$B$69,"="&amp;$B99),"")</f>
        <v>482372072</v>
      </c>
      <c r="F99" s="186">
        <f>IF('3f WHD'!M$13&lt;&gt;"",SUMIFS($F$38:$F$69,$K$38:$K$69,"="&amp;F$98,$B$38:$B$69,"="&amp;$B99)+SUMIFS($F$38:$F$69,$J$38:$J$69,"="&amp;F$98,$B$38:$B$69,"="&amp;$B99),"")</f>
        <v>0</v>
      </c>
      <c r="G99" s="186">
        <f>IF('3f WHD'!N$13&lt;&gt;"",SUMIFS($F$38:$F$69,$K$38:$K$69,"="&amp;G$98,$B$38:$B$69,"="&amp;$B99)+SUMIFS($F$38:$F$69,$J$38:$J$69,"="&amp;G$98,$B$38:$B$69,"="&amp;$B99),"")</f>
        <v>0</v>
      </c>
      <c r="H99" s="186">
        <f>IF('3f WHD'!O$13&lt;&gt;"",SUMIFS($F$38:$F$69,$K$38:$K$69,"="&amp;H$98,$B$38:$B$69,"="&amp;$B99)+SUMIFS($F$38:$F$69,$J$38:$J$69,"="&amp;H$98,$B$38:$B$69,"="&amp;$B99),"")</f>
        <v>0</v>
      </c>
      <c r="I99" s="170"/>
      <c r="J99" s="186">
        <f>IF('3f WHD'!Q$13&lt;&gt;"",SUMIFS($F$38:$F$69,$K$38:$K$69,"="&amp;J$98,$B$38:$B$69,"="&amp;$B99)+SUMIFS($F$38:$F$69,$J$38:$J$69,"="&amp;J$98,$B$38:$B$69,"="&amp;$B99),"")</f>
        <v>0</v>
      </c>
      <c r="K99" s="186">
        <f>IF('3f WHD'!R$13&lt;&gt;"",SUMIFS($F$38:$F$69,$K$38:$K$69,"="&amp;K$98,$B$38:$B$69,"="&amp;$B99)+SUMIFS($F$38:$F$69,$J$38:$J$69,"="&amp;K$98,$B$38:$B$69,"="&amp;$B99),"")</f>
        <v>0</v>
      </c>
      <c r="L99" s="186">
        <f>IF('3f WHD'!S$13&lt;&gt;"",SUMIFS($F$38:$F$69,$K$38:$K$69,"="&amp;L$98,$B$38:$B$69,"="&amp;$B99)+SUMIFS($F$38:$F$69,$J$38:$J$69,"="&amp;L$98,$B$38:$B$69,"="&amp;$B99),"")</f>
        <v>0</v>
      </c>
      <c r="M99" s="186">
        <f>IF('3f WHD'!T$13&lt;&gt;"",SUMIFS($F$38:$F$69,$K$38:$K$69,"="&amp;M$98,$B$38:$B$69,"="&amp;$B99)+SUMIFS($F$38:$F$69,$J$38:$J$69,"="&amp;M$98,$B$38:$B$69,"="&amp;$B99),"")</f>
        <v>0</v>
      </c>
      <c r="N99" s="186">
        <f>IF('3f WHD'!U$13&lt;&gt;"",SUMIFS($F$38:$F$69,$K$38:$K$69,"="&amp;N$98,$B$38:$B$69,"="&amp;$B99)+SUMIFS($F$38:$F$69,$J$38:$J$69,"="&amp;N$98,$B$38:$B$69,"="&amp;$B99),"")</f>
        <v>0</v>
      </c>
      <c r="O99" s="186">
        <f>IF('3f WHD'!V$13&lt;&gt;"",SUMIFS($F$38:$F$69,$K$38:$K$69,"="&amp;O$98,$B$38:$B$69,"="&amp;$B99)+SUMIFS($F$38:$F$69,$J$38:$J$69,"="&amp;O$98,$B$38:$B$69,"="&amp;$B99),"")</f>
        <v>0</v>
      </c>
      <c r="P99" s="186">
        <f>IF('3f WHD'!W$13&lt;&gt;"",SUMIFS($F$38:$F$69,$K$38:$K$69,"="&amp;P$98,$B$38:$B$69,"="&amp;$B99)+SUMIFS($F$38:$F$69,$J$38:$J$69,"="&amp;P$98,$B$38:$B$69,"="&amp;$B99),"")</f>
        <v>0</v>
      </c>
      <c r="Q99" s="186">
        <f>IF('3f WHD'!X$13&lt;&gt;"",SUMIFS($F$38:$F$69,$K$38:$K$69,"="&amp;Q$98,$B$38:$B$69,"="&amp;$B99)+SUMIFS($F$38:$F$69,$J$38:$J$69,"="&amp;Q$98,$B$38:$B$69,"="&amp;$B99),"")</f>
        <v>0</v>
      </c>
      <c r="R99" s="170"/>
      <c r="S99" s="186">
        <f>IF('3f WHD'!Z$13&lt;&gt;"",SUMIFS($F$38:$F$69,$K$38:$K$69,"="&amp;S$98,$B$38:$B$69,"="&amp;$B99)+SUMIFS($F$38:$F$69,$J$38:$J$69,"="&amp;S$98,$B$38:$B$69,"="&amp;$B99),"")</f>
        <v>0</v>
      </c>
      <c r="T99" s="186" t="str">
        <f>IF('3f WHD'!AA$13&lt;&gt;"",SUMIFS($F$38:$F$69,$K$38:$K$69,"="&amp;T$98,$B$38:$B$69,"="&amp;$B99)+SUMIFS($F$38:$F$69,$J$38:$J$69,"="&amp;T$98,$B$38:$B$69,"="&amp;$B99),"")</f>
        <v/>
      </c>
      <c r="U99" s="186" t="str">
        <f>IF('3f WHD'!AB$13&lt;&gt;"",SUMIFS($F$38:$F$69,$K$38:$K$69,"="&amp;U$98,$B$38:$B$69,"="&amp;$B99)+SUMIFS($F$38:$F$69,$J$38:$J$69,"="&amp;U$98,$B$38:$B$69,"="&amp;$B99),"")</f>
        <v/>
      </c>
    </row>
    <row r="100" spans="1:22">
      <c r="B100" s="160">
        <v>7</v>
      </c>
      <c r="C100" s="160"/>
      <c r="D100" s="186">
        <f>IF('3f WHD'!K$13&lt;&gt;"",SUMIFS($F$38:$F$69,$K$38:$K$69,"="&amp;D$98,$B$38:$B$69,"="&amp;$B100)+SUMIFS($F$38:$F$69,$J$38:$J$69,"="&amp;D$98,$B$38:$B$69,"="&amp;$B100),"")</f>
        <v>0</v>
      </c>
      <c r="E100" s="186">
        <f>IF('3f WHD'!L$13&lt;&gt;"",SUMIFS($F$38:$F$69,$K$38:$K$69,"="&amp;E$98,$B$38:$B$69,"="&amp;$B100)+SUMIFS($F$38:$F$69,$J$38:$J$69,"="&amp;E$98,$B$38:$B$69,"="&amp;$B100),"")</f>
        <v>720969191</v>
      </c>
      <c r="F100" s="186">
        <f>IF('3f WHD'!M$13&lt;&gt;"",SUMIFS($F$38:$F$69,$K$38:$K$69,"="&amp;F$98,$B$38:$B$69,"="&amp;$B100)+SUMIFS($F$38:$F$69,$J$38:$J$69,"="&amp;F$98,$B$38:$B$69,"="&amp;$B100),"")</f>
        <v>1279200158.1199999</v>
      </c>
      <c r="G100" s="186">
        <f>IF('3f WHD'!N$13&lt;&gt;"",SUMIFS($F$38:$F$69,$K$38:$K$69,"="&amp;G$98,$B$38:$B$69,"="&amp;$B100)+SUMIFS($F$38:$F$69,$J$38:$J$69,"="&amp;G$98,$B$38:$B$69,"="&amp;$B100),"")</f>
        <v>558230967.12</v>
      </c>
      <c r="H100" s="186">
        <f>IF('3f WHD'!O$13&lt;&gt;"",SUMIFS($F$38:$F$69,$K$38:$K$69,"="&amp;H$98,$B$38:$B$69,"="&amp;$B100)+SUMIFS($F$38:$F$69,$J$38:$J$69,"="&amp;H$98,$B$38:$B$69,"="&amp;$B100),"")</f>
        <v>0</v>
      </c>
      <c r="I100" s="170"/>
      <c r="J100" s="186">
        <f>IF('3f WHD'!Q$13&lt;&gt;"",SUMIFS($F$38:$F$69,$K$38:$K$69,"="&amp;J$98,$B$38:$B$69,"="&amp;$B100)+SUMIFS($F$38:$F$69,$J$38:$J$69,"="&amp;J$98,$B$38:$B$69,"="&amp;$B100),"")</f>
        <v>0</v>
      </c>
      <c r="K100" s="186">
        <f>IF('3f WHD'!R$13&lt;&gt;"",SUMIFS($F$38:$F$69,$K$38:$K$69,"="&amp;K$98,$B$38:$B$69,"="&amp;$B100)+SUMIFS($F$38:$F$69,$J$38:$J$69,"="&amp;K$98,$B$38:$B$69,"="&amp;$B100),"")</f>
        <v>0</v>
      </c>
      <c r="L100" s="186">
        <f>IF('3f WHD'!S$13&lt;&gt;"",SUMIFS($F$38:$F$69,$K$38:$K$69,"="&amp;L$98,$B$38:$B$69,"="&amp;$B100)+SUMIFS($F$38:$F$69,$J$38:$J$69,"="&amp;L$98,$B$38:$B$69,"="&amp;$B100),"")</f>
        <v>0</v>
      </c>
      <c r="M100" s="186">
        <f>IF('3f WHD'!T$13&lt;&gt;"",SUMIFS($F$38:$F$69,$K$38:$K$69,"="&amp;M$98,$B$38:$B$69,"="&amp;$B100)+SUMIFS($F$38:$F$69,$J$38:$J$69,"="&amp;M$98,$B$38:$B$69,"="&amp;$B100),"")</f>
        <v>0</v>
      </c>
      <c r="N100" s="186">
        <f>IF('3f WHD'!U$13&lt;&gt;"",SUMIFS($F$38:$F$69,$K$38:$K$69,"="&amp;N$98,$B$38:$B$69,"="&amp;$B100)+SUMIFS($F$38:$F$69,$J$38:$J$69,"="&amp;N$98,$B$38:$B$69,"="&amp;$B100),"")</f>
        <v>0</v>
      </c>
      <c r="O100" s="186">
        <f>IF('3f WHD'!V$13&lt;&gt;"",SUMIFS($F$38:$F$69,$K$38:$K$69,"="&amp;O$98,$B$38:$B$69,"="&amp;$B100)+SUMIFS($F$38:$F$69,$J$38:$J$69,"="&amp;O$98,$B$38:$B$69,"="&amp;$B100),"")</f>
        <v>0</v>
      </c>
      <c r="P100" s="186">
        <f>IF('3f WHD'!W$13&lt;&gt;"",SUMIFS($F$38:$F$69,$K$38:$K$69,"="&amp;P$98,$B$38:$B$69,"="&amp;$B100)+SUMIFS($F$38:$F$69,$J$38:$J$69,"="&amp;P$98,$B$38:$B$69,"="&amp;$B100),"")</f>
        <v>0</v>
      </c>
      <c r="Q100" s="186">
        <f>IF('3f WHD'!X$13&lt;&gt;"",SUMIFS($F$38:$F$69,$K$38:$K$69,"="&amp;Q$98,$B$38:$B$69,"="&amp;$B100)+SUMIFS($F$38:$F$69,$J$38:$J$69,"="&amp;Q$98,$B$38:$B$69,"="&amp;$B100),"")</f>
        <v>0</v>
      </c>
      <c r="R100" s="170"/>
      <c r="S100" s="186">
        <f>IF('3f WHD'!Z$13&lt;&gt;"",SUMIFS($F$38:$F$69,$K$38:$K$69,"="&amp;S$98,$B$38:$B$69,"="&amp;$B100)+SUMIFS($F$38:$F$69,$J$38:$J$69,"="&amp;S$98,$B$38:$B$69,"="&amp;$B100),"")</f>
        <v>0</v>
      </c>
      <c r="T100" s="186" t="str">
        <f>IF('3f WHD'!AA$13&lt;&gt;"",SUMIFS($F$38:$F$69,$K$38:$K$69,"="&amp;T$98,$B$38:$B$69,"="&amp;$B100)+SUMIFS($F$38:$F$69,$J$38:$J$69,"="&amp;T$98,$B$38:$B$69,"="&amp;$B100),"")</f>
        <v/>
      </c>
      <c r="U100" s="186" t="str">
        <f>IF('3f WHD'!AB$13&lt;&gt;"",SUMIFS($F$38:$F$69,$K$38:$K$69,"="&amp;U$98,$B$38:$B$69,"="&amp;$B100)+SUMIFS($F$38:$F$69,$J$38:$J$69,"="&amp;U$98,$B$38:$B$69,"="&amp;$B100),"")</f>
        <v/>
      </c>
    </row>
    <row r="101" spans="1:22">
      <c r="B101" s="160">
        <v>8</v>
      </c>
      <c r="C101" s="160"/>
      <c r="D101" s="186">
        <f>IF('3f WHD'!K$13&lt;&gt;"",SUMIFS($F$38:$F$69,$K$38:$K$69,"="&amp;D$98,$B$38:$B$69,"="&amp;$B101)+SUMIFS($F$38:$F$69,$J$38:$J$69,"="&amp;D$98,$B$38:$B$69,"="&amp;$B101),"")</f>
        <v>0</v>
      </c>
      <c r="E101" s="186">
        <f>IF('3f WHD'!L$13&lt;&gt;"",SUMIFS($F$38:$F$69,$K$38:$K$69,"="&amp;E$98,$B$38:$B$69,"="&amp;$B101)+SUMIFS($F$38:$F$69,$J$38:$J$69,"="&amp;E$98,$B$38:$B$69,"="&amp;$B101),"")</f>
        <v>0</v>
      </c>
      <c r="F101" s="186">
        <f>IF('3f WHD'!M$13&lt;&gt;"",SUMIFS($F$38:$F$69,$K$38:$K$69,"="&amp;F$98,$B$38:$B$69,"="&amp;$B101)+SUMIFS($F$38:$F$69,$J$38:$J$69,"="&amp;F$98,$B$38:$B$69,"="&amp;$B101),"")</f>
        <v>0</v>
      </c>
      <c r="G101" s="186">
        <f>IF('3f WHD'!N$13&lt;&gt;"",SUMIFS($F$38:$F$69,$K$38:$K$69,"="&amp;G$98,$B$38:$B$69,"="&amp;$B101)+SUMIFS($F$38:$F$69,$J$38:$J$69,"="&amp;G$98,$B$38:$B$69,"="&amp;$B101),"")</f>
        <v>778742940</v>
      </c>
      <c r="H101" s="186">
        <f>IF('3f WHD'!O$13&lt;&gt;"",SUMIFS($F$38:$F$69,$K$38:$K$69,"="&amp;H$98,$B$38:$B$69,"="&amp;$B101)+SUMIFS($F$38:$F$69,$J$38:$J$69,"="&amp;H$98,$B$38:$B$69,"="&amp;$B101),"")</f>
        <v>1386841731</v>
      </c>
      <c r="I101" s="170"/>
      <c r="J101" s="186">
        <f>IF('3f WHD'!Q$13&lt;&gt;"",SUMIFS($F$38:$F$69,$K$38:$K$69,"="&amp;J$98,$B$38:$B$69,"="&amp;$B101)+SUMIFS($F$38:$F$69,$J$38:$J$69,"="&amp;J$98,$B$38:$B$69,"="&amp;$B101),"")</f>
        <v>1386841731</v>
      </c>
      <c r="K101" s="186">
        <f>IF('3f WHD'!R$13&lt;&gt;"",SUMIFS($F$38:$F$69,$K$38:$K$69,"="&amp;K$98,$B$38:$B$69,"="&amp;$B101)+SUMIFS($F$38:$F$69,$J$38:$J$69,"="&amp;K$98,$B$38:$B$69,"="&amp;$B101),"")</f>
        <v>608098791</v>
      </c>
      <c r="L101" s="186">
        <f>IF('3f WHD'!S$13&lt;&gt;"",SUMIFS($F$38:$F$69,$K$38:$K$69,"="&amp;L$98,$B$38:$B$69,"="&amp;$B101)+SUMIFS($F$38:$F$69,$J$38:$J$69,"="&amp;L$98,$B$38:$B$69,"="&amp;$B101),"")</f>
        <v>0</v>
      </c>
      <c r="M101" s="186">
        <f>IF('3f WHD'!T$13&lt;&gt;"",SUMIFS($F$38:$F$69,$K$38:$K$69,"="&amp;M$98,$B$38:$B$69,"="&amp;$B101)+SUMIFS($F$38:$F$69,$J$38:$J$69,"="&amp;M$98,$B$38:$B$69,"="&amp;$B101),"")</f>
        <v>0</v>
      </c>
      <c r="N101" s="186">
        <f>IF('3f WHD'!U$13&lt;&gt;"",SUMIFS($F$38:$F$69,$K$38:$K$69,"="&amp;N$98,$B$38:$B$69,"="&amp;$B101)+SUMIFS($F$38:$F$69,$J$38:$J$69,"="&amp;N$98,$B$38:$B$69,"="&amp;$B101),"")</f>
        <v>0</v>
      </c>
      <c r="O101" s="186">
        <f>IF('3f WHD'!V$13&lt;&gt;"",SUMIFS($F$38:$F$69,$K$38:$K$69,"="&amp;O$98,$B$38:$B$69,"="&amp;$B101)+SUMIFS($F$38:$F$69,$J$38:$J$69,"="&amp;O$98,$B$38:$B$69,"="&amp;$B101),"")</f>
        <v>0</v>
      </c>
      <c r="P101" s="186">
        <f>IF('3f WHD'!W$13&lt;&gt;"",SUMIFS($F$38:$F$69,$K$38:$K$69,"="&amp;P$98,$B$38:$B$69,"="&amp;$B101)+SUMIFS($F$38:$F$69,$J$38:$J$69,"="&amp;P$98,$B$38:$B$69,"="&amp;$B101),"")</f>
        <v>0</v>
      </c>
      <c r="Q101" s="186">
        <f>IF('3f WHD'!X$13&lt;&gt;"",SUMIFS($F$38:$F$69,$K$38:$K$69,"="&amp;Q$98,$B$38:$B$69,"="&amp;$B101)+SUMIFS($F$38:$F$69,$J$38:$J$69,"="&amp;Q$98,$B$38:$B$69,"="&amp;$B101),"")</f>
        <v>0</v>
      </c>
      <c r="R101" s="170"/>
      <c r="S101" s="186">
        <f>IF('3f WHD'!Z$13&lt;&gt;"",SUMIFS($F$38:$F$69,$K$38:$K$69,"="&amp;S$98,$B$38:$B$69,"="&amp;$B101)+SUMIFS($F$38:$F$69,$J$38:$J$69,"="&amp;S$98,$B$38:$B$69,"="&amp;$B101),"")</f>
        <v>0</v>
      </c>
      <c r="T101" s="186" t="str">
        <f>IF('3f WHD'!AA$13&lt;&gt;"",SUMIFS($F$38:$F$69,$K$38:$K$69,"="&amp;T$98,$B$38:$B$69,"="&amp;$B101)+SUMIFS($F$38:$F$69,$J$38:$J$69,"="&amp;T$98,$B$38:$B$69,"="&amp;$B101),"")</f>
        <v/>
      </c>
      <c r="U101" s="186" t="str">
        <f>IF('3f WHD'!AB$13&lt;&gt;"",SUMIFS($F$38:$F$69,$K$38:$K$69,"="&amp;U$98,$B$38:$B$69,"="&amp;$B101)+SUMIFS($F$38:$F$69,$J$38:$J$69,"="&amp;U$98,$B$38:$B$69,"="&amp;$B101),"")</f>
        <v/>
      </c>
    </row>
    <row r="102" spans="1:22">
      <c r="B102" s="160">
        <v>9</v>
      </c>
      <c r="C102" s="160"/>
      <c r="D102" s="186">
        <f>IF('3f WHD'!K$13&lt;&gt;"",SUMIFS($F$38:$F$69,$K$38:$K$69,"="&amp;D$98,$B$38:$B$69,"="&amp;$B102)+SUMIFS($F$38:$F$69,$J$38:$J$69,"="&amp;D$98,$B$38:$B$69,"="&amp;$B102),"")</f>
        <v>0</v>
      </c>
      <c r="E102" s="186">
        <f>IF('3f WHD'!L$13&lt;&gt;"",SUMIFS($F$38:$F$69,$K$38:$K$69,"="&amp;E$98,$B$38:$B$69,"="&amp;$B102)+SUMIFS($F$38:$F$69,$J$38:$J$69,"="&amp;E$98,$B$38:$B$69,"="&amp;$B102),"")</f>
        <v>0</v>
      </c>
      <c r="F102" s="186">
        <f>IF('3f WHD'!M$13&lt;&gt;"",SUMIFS($F$38:$F$69,$K$38:$K$69,"="&amp;F$98,$B$38:$B$69,"="&amp;$B102)+SUMIFS($F$38:$F$69,$J$38:$J$69,"="&amp;F$98,$B$38:$B$69,"="&amp;$B102),"")</f>
        <v>0</v>
      </c>
      <c r="G102" s="186">
        <f>IF('3f WHD'!N$13&lt;&gt;"",SUMIFS($F$38:$F$69,$K$38:$K$69,"="&amp;G$98,$B$38:$B$69,"="&amp;$B102)+SUMIFS($F$38:$F$69,$J$38:$J$69,"="&amp;G$98,$B$38:$B$69,"="&amp;$B102),"")</f>
        <v>0</v>
      </c>
      <c r="H102" s="186">
        <f>IF('3f WHD'!O$13&lt;&gt;"",SUMIFS($F$38:$F$69,$K$38:$K$69,"="&amp;H$98,$B$38:$B$69,"="&amp;$B102)+SUMIFS($F$38:$F$69,$J$38:$J$69,"="&amp;H$98,$B$38:$B$69,"="&amp;$B102),"")</f>
        <v>0</v>
      </c>
      <c r="I102" s="170"/>
      <c r="J102" s="186">
        <f>IF('3f WHD'!Q$13&lt;&gt;"",SUMIFS($F$38:$F$69,$K$38:$K$69,"="&amp;J$98,$B$38:$B$69,"="&amp;$B102)+SUMIFS($F$38:$F$69,$J$38:$J$69,"="&amp;J$98,$B$38:$B$69,"="&amp;$B102),"")</f>
        <v>0</v>
      </c>
      <c r="K102" s="186">
        <f>IF('3f WHD'!R$13&lt;&gt;"",SUMIFS($F$38:$F$69,$K$38:$K$69,"="&amp;K$98,$B$38:$B$69,"="&amp;$B102)+SUMIFS($F$38:$F$69,$J$38:$J$69,"="&amp;K$98,$B$38:$B$69,"="&amp;$B102),"")</f>
        <v>826460032</v>
      </c>
      <c r="L102" s="186">
        <f>IF('3f WHD'!S$13&lt;&gt;"",SUMIFS($F$38:$F$69,$K$38:$K$69,"="&amp;L$98,$B$38:$B$69,"="&amp;$B102)+SUMIFS($F$38:$F$69,$J$38:$J$69,"="&amp;L$98,$B$38:$B$69,"="&amp;$B102),"")</f>
        <v>1464284985</v>
      </c>
      <c r="M102" s="186">
        <f>IF('3f WHD'!T$13&lt;&gt;"",SUMIFS($F$38:$F$69,$K$38:$K$69,"="&amp;M$98,$B$38:$B$69,"="&amp;$B102)+SUMIFS($F$38:$F$69,$J$38:$J$69,"="&amp;M$98,$B$38:$B$69,"="&amp;$B102),"")</f>
        <v>637824953</v>
      </c>
      <c r="N102" s="186">
        <f>IF('3f WHD'!U$13&lt;&gt;"",SUMIFS($F$38:$F$69,$K$38:$K$69,"="&amp;N$98,$B$38:$B$69,"="&amp;$B102)+SUMIFS($F$38:$F$69,$J$38:$J$69,"="&amp;N$98,$B$38:$B$69,"="&amp;$B102),"")</f>
        <v>0</v>
      </c>
      <c r="O102" s="186">
        <f>IF('3f WHD'!V$13&lt;&gt;"",SUMIFS($F$38:$F$69,$K$38:$K$69,"="&amp;O$98,$B$38:$B$69,"="&amp;$B102)+SUMIFS($F$38:$F$69,$J$38:$J$69,"="&amp;O$98,$B$38:$B$69,"="&amp;$B102),"")</f>
        <v>0</v>
      </c>
      <c r="P102" s="186">
        <f>IF('3f WHD'!W$13&lt;&gt;"",SUMIFS($F$38:$F$69,$K$38:$K$69,"="&amp;P$98,$B$38:$B$69,"="&amp;$B102)+SUMIFS($F$38:$F$69,$J$38:$J$69,"="&amp;P$98,$B$38:$B$69,"="&amp;$B102),"")</f>
        <v>0</v>
      </c>
      <c r="Q102" s="186">
        <f>IF('3f WHD'!X$13&lt;&gt;"",SUMIFS($F$38:$F$69,$K$38:$K$69,"="&amp;Q$98,$B$38:$B$69,"="&amp;$B102)+SUMIFS($F$38:$F$69,$J$38:$J$69,"="&amp;Q$98,$B$38:$B$69,"="&amp;$B102),"")</f>
        <v>0</v>
      </c>
      <c r="R102" s="170"/>
      <c r="S102" s="186">
        <f>IF('3f WHD'!Z$13&lt;&gt;"",SUMIFS($F$38:$F$69,$K$38:$K$69,"="&amp;S$98,$B$38:$B$69,"="&amp;$B102)+SUMIFS($F$38:$F$69,$J$38:$J$69,"="&amp;S$98,$B$38:$B$69,"="&amp;$B102),"")</f>
        <v>0</v>
      </c>
      <c r="T102" s="186" t="str">
        <f>IF('3f WHD'!AA$13&lt;&gt;"",SUMIFS($F$38:$F$69,$K$38:$K$69,"="&amp;T$98,$B$38:$B$69,"="&amp;$B102)+SUMIFS($F$38:$F$69,$J$38:$J$69,"="&amp;T$98,$B$38:$B$69,"="&amp;$B102),"")</f>
        <v/>
      </c>
      <c r="U102" s="186" t="str">
        <f>IF('3f WHD'!AB$13&lt;&gt;"",SUMIFS($F$38:$F$69,$K$38:$K$69,"="&amp;U$98,$B$38:$B$69,"="&amp;$B102)+SUMIFS($F$38:$F$69,$J$38:$J$69,"="&amp;U$98,$B$38:$B$69,"="&amp;$B102),"")</f>
        <v/>
      </c>
    </row>
    <row r="103" spans="1:22">
      <c r="B103" s="160">
        <v>10</v>
      </c>
      <c r="C103" s="160"/>
      <c r="D103" s="186">
        <f>IF('3f WHD'!K$13&lt;&gt;"",SUMIFS($F$38:$F$69,$K$38:$K$69,"="&amp;D$98,$B$38:$B$69,"="&amp;$B103)+SUMIFS($F$38:$F$69,$J$38:$J$69,"="&amp;D$98,$B$38:$B$69,"="&amp;$B103),"")</f>
        <v>0</v>
      </c>
      <c r="E103" s="186">
        <f>IF('3f WHD'!L$13&lt;&gt;"",SUMIFS($F$38:$F$69,$K$38:$K$69,"="&amp;E$98,$B$38:$B$69,"="&amp;$B103)+SUMIFS($F$38:$F$69,$J$38:$J$69,"="&amp;E$98,$B$38:$B$69,"="&amp;$B103),"")</f>
        <v>0</v>
      </c>
      <c r="F103" s="186">
        <f>IF('3f WHD'!M$13&lt;&gt;"",SUMIFS($F$38:$F$69,$K$38:$K$69,"="&amp;F$98,$B$38:$B$69,"="&amp;$B103)+SUMIFS($F$38:$F$69,$J$38:$J$69,"="&amp;F$98,$B$38:$B$69,"="&amp;$B103),"")</f>
        <v>0</v>
      </c>
      <c r="G103" s="186">
        <f>IF('3f WHD'!N$13&lt;&gt;"",SUMIFS($F$38:$F$69,$K$38:$K$69,"="&amp;G$98,$B$38:$B$69,"="&amp;$B103)+SUMIFS($F$38:$F$69,$J$38:$J$69,"="&amp;G$98,$B$38:$B$69,"="&amp;$B103),"")</f>
        <v>0</v>
      </c>
      <c r="H103" s="186">
        <f>IF('3f WHD'!O$13&lt;&gt;"",SUMIFS($F$38:$F$69,$K$38:$K$69,"="&amp;H$98,$B$38:$B$69,"="&amp;$B103)+SUMIFS($F$38:$F$69,$J$38:$J$69,"="&amp;H$98,$B$38:$B$69,"="&amp;$B103),"")</f>
        <v>0</v>
      </c>
      <c r="I103" s="170"/>
      <c r="J103" s="186">
        <f>IF('3f WHD'!Q$13&lt;&gt;"",SUMIFS($F$38:$F$69,$K$38:$K$69,"="&amp;J$98,$B$38:$B$69,"="&amp;$B103)+SUMIFS($F$38:$F$69,$J$38:$J$69,"="&amp;J$98,$B$38:$B$69,"="&amp;$B103),"")</f>
        <v>0</v>
      </c>
      <c r="K103" s="186">
        <f>IF('3f WHD'!R$13&lt;&gt;"",SUMIFS($F$38:$F$69,$K$38:$K$69,"="&amp;K$98,$B$38:$B$69,"="&amp;$B103)+SUMIFS($F$38:$F$69,$J$38:$J$69,"="&amp;K$98,$B$38:$B$69,"="&amp;$B103),"")</f>
        <v>0</v>
      </c>
      <c r="L103" s="186">
        <f>IF('3f WHD'!S$13&lt;&gt;"",SUMIFS($F$38:$F$69,$K$38:$K$69,"="&amp;L$98,$B$38:$B$69,"="&amp;$B103)+SUMIFS($F$38:$F$69,$J$38:$J$69,"="&amp;L$98,$B$38:$B$69,"="&amp;$B103),"")</f>
        <v>0</v>
      </c>
      <c r="M103" s="186">
        <f>IF('3f WHD'!T$13&lt;&gt;"",SUMIFS($F$38:$F$69,$K$38:$K$69,"="&amp;M$98,$B$38:$B$69,"="&amp;$B103)+SUMIFS($F$38:$F$69,$J$38:$J$69,"="&amp;M$98,$B$38:$B$69,"="&amp;$B103),"")</f>
        <v>847434455</v>
      </c>
      <c r="N103" s="186">
        <f>IF('3f WHD'!U$13&lt;&gt;"",SUMIFS($F$38:$F$69,$K$38:$K$69,"="&amp;N$98,$B$38:$B$69,"="&amp;$B103)+SUMIFS($F$38:$F$69,$J$38:$J$69,"="&amp;N$98,$B$38:$B$69,"="&amp;$B103),"")</f>
        <v>1510939098</v>
      </c>
      <c r="O103" s="186">
        <f>IF('3f WHD'!V$13&lt;&gt;"",SUMIFS($F$38:$F$69,$K$38:$K$69,"="&amp;O$98,$B$38:$B$69,"="&amp;$B103)+SUMIFS($F$38:$F$69,$J$38:$J$69,"="&amp;O$98,$B$38:$B$69,"="&amp;$B103),"")</f>
        <v>663504643</v>
      </c>
      <c r="P103" s="186">
        <f>IF('3f WHD'!W$13&lt;&gt;"",SUMIFS($F$38:$F$69,$K$38:$K$69,"="&amp;P$98,$B$38:$B$69,"="&amp;$B103)+SUMIFS($F$38:$F$69,$J$38:$J$69,"="&amp;P$98,$B$38:$B$69,"="&amp;$B103),"")</f>
        <v>0</v>
      </c>
      <c r="Q103" s="186">
        <f>IF('3f WHD'!X$13&lt;&gt;"",SUMIFS($F$38:$F$69,$K$38:$K$69,"="&amp;Q$98,$B$38:$B$69,"="&amp;$B103)+SUMIFS($F$38:$F$69,$J$38:$J$69,"="&amp;Q$98,$B$38:$B$69,"="&amp;$B103),"")</f>
        <v>0</v>
      </c>
      <c r="R103" s="170"/>
      <c r="S103" s="186">
        <f>IF('3f WHD'!Z$13&lt;&gt;"",SUMIFS($F$38:$F$69,$K$38:$K$69,"="&amp;S$98,$B$38:$B$69,"="&amp;$B103)+SUMIFS($F$38:$F$69,$J$38:$J$69,"="&amp;S$98,$B$38:$B$69,"="&amp;$B103),"")</f>
        <v>0</v>
      </c>
      <c r="T103" s="186" t="str">
        <f>IF('3f WHD'!AA$13&lt;&gt;"",SUMIFS($F$38:$F$69,$K$38:$K$69,"="&amp;T$98,$B$38:$B$69,"="&amp;$B103)+SUMIFS($F$38:$F$69,$J$38:$J$69,"="&amp;T$98,$B$38:$B$69,"="&amp;$B103),"")</f>
        <v/>
      </c>
      <c r="U103" s="186" t="str">
        <f>IF('3f WHD'!AB$13&lt;&gt;"",SUMIFS($F$38:$F$69,$K$38:$K$69,"="&amp;U$98,$B$38:$B$69,"="&amp;$B103)+SUMIFS($F$38:$F$69,$J$38:$J$69,"="&amp;U$98,$B$38:$B$69,"="&amp;$B103),"")</f>
        <v/>
      </c>
    </row>
    <row r="104" spans="1:22">
      <c r="B104" s="160">
        <v>11</v>
      </c>
      <c r="C104" s="160"/>
      <c r="D104" s="186">
        <f>IF('3f WHD'!K$13&lt;&gt;"",SUMIFS($F$38:$F$69,$K$38:$K$69,"="&amp;D$98,$B$38:$B$69,"="&amp;$B104)+SUMIFS($F$38:$F$69,$J$38:$J$69,"="&amp;D$98,$B$38:$B$69,"="&amp;$B104),"")</f>
        <v>0</v>
      </c>
      <c r="E104" s="186">
        <f>IF('3f WHD'!L$13&lt;&gt;"",SUMIFS($F$38:$F$69,$K$38:$K$69,"="&amp;E$98,$B$38:$B$69,"="&amp;$B104)+SUMIFS($F$38:$F$69,$J$38:$J$69,"="&amp;E$98,$B$38:$B$69,"="&amp;$B104),"")</f>
        <v>0</v>
      </c>
      <c r="F104" s="186">
        <f>IF('3f WHD'!M$13&lt;&gt;"",SUMIFS($F$38:$F$69,$K$38:$K$69,"="&amp;F$98,$B$38:$B$69,"="&amp;$B104)+SUMIFS($F$38:$F$69,$J$38:$J$69,"="&amp;F$98,$B$38:$B$69,"="&amp;$B104),"")</f>
        <v>0</v>
      </c>
      <c r="G104" s="186">
        <f>IF('3f WHD'!N$13&lt;&gt;"",SUMIFS($F$38:$F$69,$K$38:$K$69,"="&amp;G$98,$B$38:$B$69,"="&amp;$B104)+SUMIFS($F$38:$F$69,$J$38:$J$69,"="&amp;G$98,$B$38:$B$69,"="&amp;$B104),"")</f>
        <v>0</v>
      </c>
      <c r="H104" s="186">
        <f>IF('3f WHD'!O$13&lt;&gt;"",SUMIFS($F$38:$F$69,$K$38:$K$69,"="&amp;H$98,$B$38:$B$69,"="&amp;$B104)+SUMIFS($F$38:$F$69,$J$38:$J$69,"="&amp;H$98,$B$38:$B$69,"="&amp;$B104),"")</f>
        <v>0</v>
      </c>
      <c r="I104" s="170"/>
      <c r="J104" s="186">
        <f>IF('3f WHD'!Q$13&lt;&gt;"",SUMIFS($F$38:$F$69,$K$38:$K$69,"="&amp;J$98,$B$38:$B$69,"="&amp;$B104)+SUMIFS($F$38:$F$69,$J$38:$J$69,"="&amp;J$98,$B$38:$B$69,"="&amp;$B104),"")</f>
        <v>0</v>
      </c>
      <c r="K104" s="186">
        <f>IF('3f WHD'!R$13&lt;&gt;"",SUMIFS($F$38:$F$69,$K$38:$K$69,"="&amp;K$98,$B$38:$B$69,"="&amp;$B104)+SUMIFS($F$38:$F$69,$J$38:$J$69,"="&amp;K$98,$B$38:$B$69,"="&amp;$B104),"")</f>
        <v>0</v>
      </c>
      <c r="L104" s="186">
        <f>IF('3f WHD'!S$13&lt;&gt;"",SUMIFS($F$38:$F$69,$K$38:$K$69,"="&amp;L$98,$B$38:$B$69,"="&amp;$B104)+SUMIFS($F$38:$F$69,$J$38:$J$69,"="&amp;L$98,$B$38:$B$69,"="&amp;$B104),"")</f>
        <v>0</v>
      </c>
      <c r="M104" s="186">
        <f>IF('3f WHD'!T$13&lt;&gt;"",SUMIFS($F$38:$F$69,$K$38:$K$69,"="&amp;M$98,$B$38:$B$69,"="&amp;$B104)+SUMIFS($F$38:$F$69,$J$38:$J$69,"="&amp;M$98,$B$38:$B$69,"="&amp;$B104),"")</f>
        <v>0</v>
      </c>
      <c r="N104" s="186">
        <f>IF('3f WHD'!U$13&lt;&gt;"",SUMIFS($F$38:$F$69,$K$38:$K$69,"="&amp;N$98,$B$38:$B$69,"="&amp;$B104)+SUMIFS($F$38:$F$69,$J$38:$J$69,"="&amp;N$98,$B$38:$B$69,"="&amp;$B104),"")</f>
        <v>0</v>
      </c>
      <c r="O104" s="186">
        <f>IF('3f WHD'!V$13&lt;&gt;"",SUMIFS($F$38:$F$69,$K$38:$K$69,"="&amp;O$98,$B$38:$B$69,"="&amp;$B104)+SUMIFS($F$38:$F$69,$J$38:$J$69,"="&amp;O$98,$B$38:$B$69,"="&amp;$B104),"")</f>
        <v>960106842</v>
      </c>
      <c r="P104" s="186">
        <f>IF('3f WHD'!W$13&lt;&gt;"",SUMIFS($F$38:$F$69,$K$38:$K$69,"="&amp;P$98,$B$38:$B$69,"="&amp;$B104)+SUMIFS($F$38:$F$69,$J$38:$J$69,"="&amp;P$98,$B$38:$B$69,"="&amp;$B104),"")</f>
        <v>1602212406.5699999</v>
      </c>
      <c r="Q104" s="186">
        <f>IF('3f WHD'!X$13&lt;&gt;"",SUMIFS($F$38:$F$69,$K$38:$K$69,"="&amp;Q$98,$B$38:$B$69,"="&amp;$B104)+SUMIFS($F$38:$F$69,$J$38:$J$69,"="&amp;Q$98,$B$38:$B$69,"="&amp;$B104),"")</f>
        <v>642105564.56999993</v>
      </c>
      <c r="R104" s="170"/>
      <c r="S104" s="186">
        <f>IF('3f WHD'!Z$13&lt;&gt;"",SUMIFS($F$38:$F$69,$K$38:$K$69,"="&amp;S$98,$B$38:$B$69,"="&amp;$B104)+SUMIFS($F$38:$F$69,$J$38:$J$69,"="&amp;S$98,$B$38:$B$69,"="&amp;$B104),"")</f>
        <v>0</v>
      </c>
      <c r="T104" s="186" t="str">
        <f>IF('3f WHD'!AA$13&lt;&gt;"",SUMIFS($F$38:$F$69,$K$38:$K$69,"="&amp;T$98,$B$38:$B$69,"="&amp;$B104)+SUMIFS($F$38:$F$69,$J$38:$J$69,"="&amp;T$98,$B$38:$B$69,"="&amp;$B104),"")</f>
        <v/>
      </c>
      <c r="U104" s="186" t="str">
        <f>IF('3f WHD'!AB$13&lt;&gt;"",SUMIFS($F$38:$F$69,$K$38:$K$69,"="&amp;U$98,$B$38:$B$69,"="&amp;$B104)+SUMIFS($F$38:$F$69,$J$38:$J$69,"="&amp;U$98,$B$38:$B$69,"="&amp;$B104),"")</f>
        <v/>
      </c>
    </row>
    <row r="105" spans="1:22">
      <c r="B105" s="160">
        <v>12</v>
      </c>
      <c r="C105" s="160"/>
      <c r="D105" s="186">
        <f>IF('3f WHD'!K$13&lt;&gt;"",SUMIFS($F$38:$F$69,$K$38:$K$69,"="&amp;D$98,$B$38:$B$69,"="&amp;$B105)+SUMIFS($F$38:$F$69,$J$38:$J$69,"="&amp;D$98,$B$38:$B$69,"="&amp;$B105),"")</f>
        <v>0</v>
      </c>
      <c r="E105" s="186">
        <f>IF('3f WHD'!L$13&lt;&gt;"",SUMIFS($F$38:$F$69,$K$38:$K$69,"="&amp;E$98,$B$38:$B$69,"="&amp;$B105)+SUMIFS($F$38:$F$69,$J$38:$J$69,"="&amp;E$98,$B$38:$B$69,"="&amp;$B105),"")</f>
        <v>0</v>
      </c>
      <c r="F105" s="186">
        <f>IF('3f WHD'!M$13&lt;&gt;"",SUMIFS($F$38:$F$69,$K$38:$K$69,"="&amp;F$98,$B$38:$B$69,"="&amp;$B105)+SUMIFS($F$38:$F$69,$J$38:$J$69,"="&amp;F$98,$B$38:$B$69,"="&amp;$B105),"")</f>
        <v>0</v>
      </c>
      <c r="G105" s="186">
        <f>IF('3f WHD'!N$13&lt;&gt;"",SUMIFS($F$38:$F$69,$K$38:$K$69,"="&amp;G$98,$B$38:$B$69,"="&amp;$B105)+SUMIFS($F$38:$F$69,$J$38:$J$69,"="&amp;G$98,$B$38:$B$69,"="&amp;$B105),"")</f>
        <v>0</v>
      </c>
      <c r="H105" s="186">
        <f>IF('3f WHD'!O$13&lt;&gt;"",SUMIFS($F$38:$F$69,$K$38:$K$69,"="&amp;H$98,$B$38:$B$69,"="&amp;$B105)+SUMIFS($F$38:$F$69,$J$38:$J$69,"="&amp;H$98,$B$38:$B$69,"="&amp;$B105),"")</f>
        <v>0</v>
      </c>
      <c r="I105" s="170"/>
      <c r="J105" s="186">
        <f>IF('3f WHD'!Q$13&lt;&gt;"",SUMIFS($F$38:$F$69,$K$38:$K$69,"="&amp;J$98,$B$38:$B$69,"="&amp;$B105)+SUMIFS($F$38:$F$69,$J$38:$J$69,"="&amp;J$98,$B$38:$B$69,"="&amp;$B105),"")</f>
        <v>0</v>
      </c>
      <c r="K105" s="186">
        <f>IF('3f WHD'!R$13&lt;&gt;"",SUMIFS($F$38:$F$69,$K$38:$K$69,"="&amp;K$98,$B$38:$B$69,"="&amp;$B105)+SUMIFS($F$38:$F$69,$J$38:$J$69,"="&amp;K$98,$B$38:$B$69,"="&amp;$B105),"")</f>
        <v>0</v>
      </c>
      <c r="L105" s="186">
        <f>IF('3f WHD'!S$13&lt;&gt;"",SUMIFS($F$38:$F$69,$K$38:$K$69,"="&amp;L$98,$B$38:$B$69,"="&amp;$B105)+SUMIFS($F$38:$F$69,$J$38:$J$69,"="&amp;L$98,$B$38:$B$69,"="&amp;$B105),"")</f>
        <v>0</v>
      </c>
      <c r="M105" s="186">
        <f>IF('3f WHD'!T$13&lt;&gt;"",SUMIFS($F$38:$F$69,$K$38:$K$69,"="&amp;M$98,$B$38:$B$69,"="&amp;$B105)+SUMIFS($F$38:$F$69,$J$38:$J$69,"="&amp;M$98,$B$38:$B$69,"="&amp;$B105),"")</f>
        <v>0</v>
      </c>
      <c r="N105" s="186">
        <f>IF('3f WHD'!U$13&lt;&gt;"",SUMIFS($F$38:$F$69,$K$38:$K$69,"="&amp;N$98,$B$38:$B$69,"="&amp;$B105)+SUMIFS($F$38:$F$69,$J$38:$J$69,"="&amp;N$98,$B$38:$B$69,"="&amp;$B105),"")</f>
        <v>0</v>
      </c>
      <c r="O105" s="186">
        <f>IF('3f WHD'!V$13&lt;&gt;"",SUMIFS($F$38:$F$69,$K$38:$K$69,"="&amp;O$98,$B$38:$B$69,"="&amp;$B105)+SUMIFS($F$38:$F$69,$J$38:$J$69,"="&amp;O$98,$B$38:$B$69,"="&amp;$B105),"")</f>
        <v>0</v>
      </c>
      <c r="P105" s="186">
        <f>IF('3f WHD'!W$13&lt;&gt;"",SUMIFS($F$38:$F$69,$K$38:$K$69,"="&amp;P$98,$B$38:$B$69,"="&amp;$B105)+SUMIFS($F$38:$F$69,$J$38:$J$69,"="&amp;P$98,$B$38:$B$69,"="&amp;$B105),"")</f>
        <v>0</v>
      </c>
      <c r="Q105" s="186">
        <f>IF('3f WHD'!X$13&lt;&gt;"",SUMIFS($F$38:$F$69,$K$38:$K$69,"="&amp;Q$98,$B$38:$B$69,"="&amp;$B105)+SUMIFS($F$38:$F$69,$J$38:$J$69,"="&amp;Q$98,$B$38:$B$69,"="&amp;$B105),"")</f>
        <v>714661286.86000001</v>
      </c>
      <c r="R105" s="170"/>
      <c r="S105" s="186">
        <f>IF('3f WHD'!Z$13&lt;&gt;"",SUMIFS($F$38:$F$69,$K$38:$K$69,"="&amp;S$98,$B$38:$B$69,"="&amp;$B105)+SUMIFS($F$38:$F$69,$J$38:$J$69,"="&amp;S$98,$B$38:$B$69,"="&amp;$B105),"")</f>
        <v>1271172891.8600001</v>
      </c>
      <c r="T105" s="186" t="str">
        <f>IF('3f WHD'!AA$13&lt;&gt;"",SUMIFS($F$38:$F$69,$K$38:$K$69,"="&amp;T$98,$B$38:$B$69,"="&amp;$B105)+SUMIFS($F$38:$F$69,$J$38:$J$69,"="&amp;T$98,$B$38:$B$69,"="&amp;$B105),"")</f>
        <v/>
      </c>
      <c r="U105" s="186" t="str">
        <f>IF('3f WHD'!AB$13&lt;&gt;"",SUMIFS($F$38:$F$69,$K$38:$K$69,"="&amp;U$98,$B$38:$B$69,"="&amp;$B105)+SUMIFS($F$38:$F$69,$J$38:$J$69,"="&amp;U$98,$B$38:$B$69,"="&amp;$B105),"")</f>
        <v/>
      </c>
    </row>
    <row r="106" spans="1:22">
      <c r="B106" s="160">
        <v>13</v>
      </c>
      <c r="C106" s="160"/>
      <c r="D106" s="186">
        <f>IF('3f WHD'!K$13&lt;&gt;"",SUMIFS($F$38:$F$69,$K$38:$K$69,"="&amp;D$98,$B$38:$B$69,"="&amp;$B106)+SUMIFS($F$38:$F$69,$J$38:$J$69,"="&amp;D$98,$B$38:$B$69,"="&amp;$B106),"")</f>
        <v>0</v>
      </c>
      <c r="E106" s="186">
        <f>IF('3f WHD'!L$13&lt;&gt;"",SUMIFS($F$38:$F$69,$K$38:$K$69,"="&amp;E$98,$B$38:$B$69,"="&amp;$B106)+SUMIFS($F$38:$F$69,$J$38:$J$69,"="&amp;E$98,$B$38:$B$69,"="&amp;$B106),"")</f>
        <v>0</v>
      </c>
      <c r="F106" s="186">
        <f>IF('3f WHD'!M$13&lt;&gt;"",SUMIFS($F$38:$F$69,$K$38:$K$69,"="&amp;F$98,$B$38:$B$69,"="&amp;$B106)+SUMIFS($F$38:$F$69,$J$38:$J$69,"="&amp;F$98,$B$38:$B$69,"="&amp;$B106),"")</f>
        <v>0</v>
      </c>
      <c r="G106" s="186">
        <f>IF('3f WHD'!N$13&lt;&gt;"",SUMIFS($F$38:$F$69,$K$38:$K$69,"="&amp;G$98,$B$38:$B$69,"="&amp;$B106)+SUMIFS($F$38:$F$69,$J$38:$J$69,"="&amp;G$98,$B$38:$B$69,"="&amp;$B106),"")</f>
        <v>0</v>
      </c>
      <c r="H106" s="186">
        <f>IF('3f WHD'!O$13&lt;&gt;"",SUMIFS($F$38:$F$69,$K$38:$K$69,"="&amp;H$98,$B$38:$B$69,"="&amp;$B106)+SUMIFS($F$38:$F$69,$J$38:$J$69,"="&amp;H$98,$B$38:$B$69,"="&amp;$B106),"")</f>
        <v>0</v>
      </c>
      <c r="I106" s="170"/>
      <c r="J106" s="186">
        <f>IF('3f WHD'!Q$13&lt;&gt;"",SUMIFS($F$38:$F$69,$K$38:$K$69,"="&amp;J$98,$B$38:$B$69,"="&amp;$B106)+SUMIFS($F$38:$F$69,$J$38:$J$69,"="&amp;J$98,$B$38:$B$69,"="&amp;$B106),"")</f>
        <v>0</v>
      </c>
      <c r="K106" s="186">
        <f>IF('3f WHD'!R$13&lt;&gt;"",SUMIFS($F$38:$F$69,$K$38:$K$69,"="&amp;K$98,$B$38:$B$69,"="&amp;$B106)+SUMIFS($F$38:$F$69,$J$38:$J$69,"="&amp;K$98,$B$38:$B$69,"="&amp;$B106),"")</f>
        <v>0</v>
      </c>
      <c r="L106" s="186">
        <f>IF('3f WHD'!S$13&lt;&gt;"",SUMIFS($F$38:$F$69,$K$38:$K$69,"="&amp;L$98,$B$38:$B$69,"="&amp;$B106)+SUMIFS($F$38:$F$69,$J$38:$J$69,"="&amp;L$98,$B$38:$B$69,"="&amp;$B106),"")</f>
        <v>0</v>
      </c>
      <c r="M106" s="186">
        <f>IF('3f WHD'!T$13&lt;&gt;"",SUMIFS($F$38:$F$69,$K$38:$K$69,"="&amp;M$98,$B$38:$B$69,"="&amp;$B106)+SUMIFS($F$38:$F$69,$J$38:$J$69,"="&amp;M$98,$B$38:$B$69,"="&amp;$B106),"")</f>
        <v>0</v>
      </c>
      <c r="N106" s="186">
        <f>IF('3f WHD'!U$13&lt;&gt;"",SUMIFS($F$38:$F$69,$K$38:$K$69,"="&amp;N$98,$B$38:$B$69,"="&amp;$B106)+SUMIFS($F$38:$F$69,$J$38:$J$69,"="&amp;N$98,$B$38:$B$69,"="&amp;$B106),"")</f>
        <v>0</v>
      </c>
      <c r="O106" s="186">
        <f>IF('3f WHD'!V$13&lt;&gt;"",SUMIFS($F$38:$F$69,$K$38:$K$69,"="&amp;O$98,$B$38:$B$69,"="&amp;$B106)+SUMIFS($F$38:$F$69,$J$38:$J$69,"="&amp;O$98,$B$38:$B$69,"="&amp;$B106),"")</f>
        <v>0</v>
      </c>
      <c r="P106" s="186">
        <f>IF('3f WHD'!W$13&lt;&gt;"",SUMIFS($F$38:$F$69,$K$38:$K$69,"="&amp;P$98,$B$38:$B$69,"="&amp;$B106)+SUMIFS($F$38:$F$69,$J$38:$J$69,"="&amp;P$98,$B$38:$B$69,"="&amp;$B106),"")</f>
        <v>0</v>
      </c>
      <c r="Q106" s="186">
        <f>IF('3f WHD'!X$13&lt;&gt;"",SUMIFS($F$38:$F$69,$K$38:$K$69,"="&amp;Q$98,$B$38:$B$69,"="&amp;$B106)+SUMIFS($F$38:$F$69,$J$38:$J$69,"="&amp;Q$98,$B$38:$B$69,"="&amp;$B106),"")</f>
        <v>0</v>
      </c>
      <c r="R106" s="170"/>
      <c r="S106" s="186">
        <f>IF('3f WHD'!Z$13&lt;&gt;"",SUMIFS($F$38:$F$69,$K$38:$K$69,"="&amp;S$98,$B$38:$B$69,"="&amp;$B106)+SUMIFS($F$38:$F$69,$J$38:$J$69,"="&amp;S$98,$B$38:$B$69,"="&amp;$B106),"")</f>
        <v>0</v>
      </c>
      <c r="T106" s="186" t="str">
        <f>IF('3f WHD'!AA$13&lt;&gt;"",SUMIFS($F$38:$F$69,$K$38:$K$69,"="&amp;T$98,$B$38:$B$69,"="&amp;$B106)+SUMIFS($F$38:$F$69,$J$38:$J$69,"="&amp;T$98,$B$38:$B$69,"="&amp;$B106),"")</f>
        <v/>
      </c>
      <c r="U106" s="186" t="str">
        <f>IF('3f WHD'!AB$13&lt;&gt;"",SUMIFS($F$38:$F$69,$K$38:$K$69,"="&amp;U$98,$B$38:$B$69,"="&amp;$B106)+SUMIFS($F$38:$F$69,$J$38:$J$69,"="&amp;U$98,$B$38:$B$69,"="&amp;$B106),"")</f>
        <v/>
      </c>
    </row>
    <row r="107" spans="1:22"/>
    <row r="108" spans="1:22"/>
    <row r="109" spans="1:22" s="90" customFormat="1" ht="18" customHeight="1">
      <c r="A109" s="193"/>
      <c r="B109" s="194" t="s">
        <v>323</v>
      </c>
      <c r="C109" s="193"/>
      <c r="D109" s="193"/>
      <c r="E109" s="193"/>
      <c r="F109" s="193"/>
      <c r="G109" s="193"/>
      <c r="H109" s="193"/>
      <c r="I109" s="193"/>
      <c r="J109" s="193"/>
      <c r="K109" s="193"/>
      <c r="L109" s="193"/>
      <c r="M109" s="193"/>
      <c r="N109" s="193"/>
      <c r="O109" s="193"/>
      <c r="P109" s="193"/>
      <c r="Q109" s="193"/>
      <c r="R109" s="193"/>
      <c r="S109" s="193"/>
      <c r="T109" s="193"/>
      <c r="U109" s="193"/>
      <c r="V109" s="193"/>
    </row>
    <row r="110" spans="1:22" s="90" customFormat="1" ht="15" customHeight="1">
      <c r="A110" s="161"/>
      <c r="B110" s="162" t="s">
        <v>324</v>
      </c>
      <c r="C110" s="163"/>
      <c r="D110" s="161"/>
      <c r="E110" s="161"/>
      <c r="F110" s="161"/>
      <c r="G110" s="161"/>
      <c r="H110" s="161"/>
      <c r="I110" s="161"/>
      <c r="J110" s="161"/>
      <c r="K110" s="161"/>
      <c r="L110" s="161"/>
      <c r="M110" s="161"/>
      <c r="N110" s="161"/>
      <c r="O110" s="161"/>
      <c r="P110" s="161"/>
      <c r="Q110" s="161"/>
      <c r="R110" s="161"/>
      <c r="S110" s="161"/>
      <c r="T110" s="161"/>
      <c r="U110" s="161"/>
      <c r="V110" s="161"/>
    </row>
    <row r="111" spans="1:22" s="90" customFormat="1" ht="18" customHeight="1">
      <c r="B111" s="195"/>
    </row>
    <row r="112" spans="1:22"/>
    <row r="113" spans="1:22" ht="22.8">
      <c r="B113" s="157"/>
      <c r="C113" s="157" t="s">
        <v>321</v>
      </c>
      <c r="D113" s="34" t="s">
        <v>88</v>
      </c>
      <c r="E113" s="34" t="s">
        <v>89</v>
      </c>
      <c r="F113" s="35" t="s">
        <v>90</v>
      </c>
      <c r="G113" s="34" t="s">
        <v>91</v>
      </c>
      <c r="H113" s="34" t="s">
        <v>92</v>
      </c>
      <c r="I113" s="159"/>
      <c r="J113" s="34" t="s">
        <v>93</v>
      </c>
      <c r="K113" s="30" t="s">
        <v>94</v>
      </c>
      <c r="L113" s="30" t="s">
        <v>95</v>
      </c>
      <c r="M113" s="36" t="s">
        <v>96</v>
      </c>
      <c r="N113" s="30" t="s">
        <v>97</v>
      </c>
      <c r="O113" s="30" t="s">
        <v>98</v>
      </c>
      <c r="P113" s="30" t="s">
        <v>99</v>
      </c>
      <c r="Q113" s="30" t="s">
        <v>100</v>
      </c>
      <c r="R113" s="159"/>
      <c r="S113" s="30" t="s">
        <v>101</v>
      </c>
      <c r="T113" s="30" t="s">
        <v>102</v>
      </c>
      <c r="U113" s="30" t="s">
        <v>103</v>
      </c>
    </row>
    <row r="114" spans="1:22" ht="22.8">
      <c r="B114" s="157"/>
      <c r="C114" s="157" t="s">
        <v>321</v>
      </c>
      <c r="D114" s="34" t="s">
        <v>88</v>
      </c>
      <c r="E114" s="34" t="s">
        <v>89</v>
      </c>
      <c r="F114" s="35" t="s">
        <v>90</v>
      </c>
      <c r="G114" s="34" t="s">
        <v>91</v>
      </c>
      <c r="H114" s="34" t="s">
        <v>92</v>
      </c>
      <c r="I114" s="159"/>
      <c r="J114" s="34" t="s">
        <v>93</v>
      </c>
      <c r="K114" s="30" t="s">
        <v>94</v>
      </c>
      <c r="L114" s="30" t="s">
        <v>95</v>
      </c>
      <c r="M114" s="36" t="s">
        <v>96</v>
      </c>
      <c r="N114" s="30" t="s">
        <v>97</v>
      </c>
      <c r="O114" s="30" t="s">
        <v>98</v>
      </c>
      <c r="P114" s="30" t="s">
        <v>99</v>
      </c>
      <c r="Q114" s="30" t="s">
        <v>100</v>
      </c>
      <c r="R114" s="159"/>
      <c r="S114" s="30" t="s">
        <v>104</v>
      </c>
      <c r="T114" s="30" t="s">
        <v>105</v>
      </c>
      <c r="U114" s="30" t="s">
        <v>103</v>
      </c>
    </row>
    <row r="115" spans="1:22" ht="68.400000000000006">
      <c r="B115" s="157" t="s">
        <v>325</v>
      </c>
      <c r="C115" s="187" t="s">
        <v>326</v>
      </c>
      <c r="D115" s="188">
        <v>7</v>
      </c>
      <c r="E115" s="188">
        <v>8</v>
      </c>
      <c r="F115" s="189">
        <v>8</v>
      </c>
      <c r="G115" s="188">
        <v>9</v>
      </c>
      <c r="H115" s="188">
        <v>9</v>
      </c>
      <c r="I115" s="159"/>
      <c r="J115" s="188">
        <v>9</v>
      </c>
      <c r="K115" s="190">
        <v>10</v>
      </c>
      <c r="L115" s="190">
        <v>10</v>
      </c>
      <c r="M115" s="191">
        <v>11</v>
      </c>
      <c r="N115" s="190">
        <v>11</v>
      </c>
      <c r="O115" s="190">
        <v>12</v>
      </c>
      <c r="P115" s="190">
        <v>12</v>
      </c>
      <c r="Q115" s="190">
        <v>13</v>
      </c>
      <c r="R115" s="159"/>
      <c r="S115" s="190">
        <v>13</v>
      </c>
      <c r="T115" s="190">
        <v>14</v>
      </c>
      <c r="U115" s="190">
        <v>14</v>
      </c>
    </row>
    <row r="116" spans="1:22">
      <c r="B116" s="184">
        <v>6</v>
      </c>
      <c r="C116" s="184"/>
      <c r="D116" s="200">
        <f t="shared" ref="D116:H123" si="4">IF(D99="","",IF(D99&lt;&gt;0,SUMIF($B$78:$B$85,D$115,$E$78:$E$85)/SUMIF($B$78:$B$85,$B116,$E$78:$E$85),""))</f>
        <v>1.012</v>
      </c>
      <c r="E116" s="200">
        <f t="shared" si="4"/>
        <v>1.0372999999999999</v>
      </c>
      <c r="F116" s="200" t="str">
        <f t="shared" si="4"/>
        <v/>
      </c>
      <c r="G116" s="200" t="str">
        <f t="shared" si="4"/>
        <v/>
      </c>
      <c r="H116" s="200" t="str">
        <f t="shared" si="4"/>
        <v/>
      </c>
      <c r="I116" s="192"/>
      <c r="J116" s="200" t="str">
        <f t="shared" ref="J116:U116" si="5">IF(J99="","",IF(J99&lt;&gt;0,SUMIF($B$78:$B$85,J$115,$E$78:$E$85)/SUMIF($B$78:$B$85,$B116,$E$78:$E$85),""))</f>
        <v/>
      </c>
      <c r="K116" s="200" t="str">
        <f t="shared" si="5"/>
        <v/>
      </c>
      <c r="L116" s="200" t="str">
        <f t="shared" si="5"/>
        <v/>
      </c>
      <c r="M116" s="200" t="str">
        <f t="shared" si="5"/>
        <v/>
      </c>
      <c r="N116" s="200" t="str">
        <f t="shared" si="5"/>
        <v/>
      </c>
      <c r="O116" s="200" t="str">
        <f t="shared" si="5"/>
        <v/>
      </c>
      <c r="P116" s="200" t="str">
        <f t="shared" si="5"/>
        <v/>
      </c>
      <c r="Q116" s="200" t="str">
        <f t="shared" si="5"/>
        <v/>
      </c>
      <c r="R116" s="192"/>
      <c r="S116" s="200" t="str">
        <f t="shared" si="5"/>
        <v/>
      </c>
      <c r="T116" s="200" t="str">
        <f t="shared" si="5"/>
        <v/>
      </c>
      <c r="U116" s="200" t="str">
        <f t="shared" si="5"/>
        <v/>
      </c>
    </row>
    <row r="117" spans="1:22">
      <c r="B117" s="184">
        <v>7</v>
      </c>
      <c r="C117" s="184"/>
      <c r="D117" s="200" t="str">
        <f t="shared" si="4"/>
        <v/>
      </c>
      <c r="E117" s="200">
        <f t="shared" si="4"/>
        <v>1.0249999999999999</v>
      </c>
      <c r="F117" s="200">
        <f t="shared" si="4"/>
        <v>1.0249999999999999</v>
      </c>
      <c r="G117" s="200">
        <f t="shared" si="4"/>
        <v>1.0670249999999999</v>
      </c>
      <c r="H117" s="200" t="str">
        <f t="shared" si="4"/>
        <v/>
      </c>
      <c r="I117" s="192"/>
      <c r="J117" s="200" t="str">
        <f t="shared" ref="J117:U117" si="6">IF(J100="","",IF(J100&lt;&gt;0,SUMIF($B$78:$B$85,J$115,$E$78:$E$85)/SUMIF($B$78:$B$85,$B117,$E$78:$E$85),""))</f>
        <v/>
      </c>
      <c r="K117" s="200" t="str">
        <f t="shared" si="6"/>
        <v/>
      </c>
      <c r="L117" s="200" t="str">
        <f t="shared" si="6"/>
        <v/>
      </c>
      <c r="M117" s="200" t="str">
        <f t="shared" si="6"/>
        <v/>
      </c>
      <c r="N117" s="200" t="str">
        <f t="shared" si="6"/>
        <v/>
      </c>
      <c r="O117" s="200" t="str">
        <f t="shared" si="6"/>
        <v/>
      </c>
      <c r="P117" s="200" t="str">
        <f t="shared" si="6"/>
        <v/>
      </c>
      <c r="Q117" s="200" t="str">
        <f t="shared" si="6"/>
        <v/>
      </c>
      <c r="R117" s="192"/>
      <c r="S117" s="200" t="str">
        <f t="shared" si="6"/>
        <v/>
      </c>
      <c r="T117" s="200" t="str">
        <f t="shared" si="6"/>
        <v/>
      </c>
      <c r="U117" s="200" t="str">
        <f t="shared" si="6"/>
        <v/>
      </c>
    </row>
    <row r="118" spans="1:22">
      <c r="B118" s="184">
        <v>8</v>
      </c>
      <c r="C118" s="184"/>
      <c r="D118" s="200" t="str">
        <f t="shared" si="4"/>
        <v/>
      </c>
      <c r="E118" s="200" t="str">
        <f t="shared" si="4"/>
        <v/>
      </c>
      <c r="F118" s="200" t="str">
        <f t="shared" si="4"/>
        <v/>
      </c>
      <c r="G118" s="200">
        <f t="shared" si="4"/>
        <v>1.0409999999999999</v>
      </c>
      <c r="H118" s="200">
        <f t="shared" si="4"/>
        <v>1.0409999999999999</v>
      </c>
      <c r="I118" s="192"/>
      <c r="J118" s="200">
        <f t="shared" ref="J118:U118" si="7">IF(J101="","",IF(J101&lt;&gt;0,SUMIF($B$78:$B$85,J$115,$E$78:$E$85)/SUMIF($B$78:$B$85,$B118,$E$78:$E$85),""))</f>
        <v>1.0409999999999999</v>
      </c>
      <c r="K118" s="200">
        <f t="shared" si="7"/>
        <v>1.0691069999999998</v>
      </c>
      <c r="L118" s="200" t="str">
        <f t="shared" si="7"/>
        <v/>
      </c>
      <c r="M118" s="200" t="str">
        <f t="shared" si="7"/>
        <v/>
      </c>
      <c r="N118" s="200" t="str">
        <f t="shared" si="7"/>
        <v/>
      </c>
      <c r="O118" s="200" t="str">
        <f t="shared" si="7"/>
        <v/>
      </c>
      <c r="P118" s="200" t="str">
        <f t="shared" si="7"/>
        <v/>
      </c>
      <c r="Q118" s="200" t="str">
        <f t="shared" si="7"/>
        <v/>
      </c>
      <c r="R118" s="192"/>
      <c r="S118" s="200" t="str">
        <f t="shared" si="7"/>
        <v/>
      </c>
      <c r="T118" s="200" t="str">
        <f t="shared" si="7"/>
        <v/>
      </c>
      <c r="U118" s="200" t="str">
        <f t="shared" si="7"/>
        <v/>
      </c>
    </row>
    <row r="119" spans="1:22">
      <c r="B119" s="184">
        <v>9</v>
      </c>
      <c r="C119" s="184"/>
      <c r="D119" s="200" t="str">
        <f t="shared" si="4"/>
        <v/>
      </c>
      <c r="E119" s="200" t="str">
        <f t="shared" si="4"/>
        <v/>
      </c>
      <c r="F119" s="200" t="str">
        <f t="shared" si="4"/>
        <v/>
      </c>
      <c r="G119" s="200" t="str">
        <f t="shared" si="4"/>
        <v/>
      </c>
      <c r="H119" s="200" t="str">
        <f t="shared" si="4"/>
        <v/>
      </c>
      <c r="I119" s="192"/>
      <c r="J119" s="200" t="str">
        <f t="shared" ref="J119:U119" si="8">IF(J102="","",IF(J102&lt;&gt;0,SUMIF($B$78:$B$85,J$115,$E$78:$E$85)/SUMIF($B$78:$B$85,$B119,$E$78:$E$85),""))</f>
        <v/>
      </c>
      <c r="K119" s="200">
        <f t="shared" si="8"/>
        <v>1.0269999999999999</v>
      </c>
      <c r="L119" s="200">
        <f t="shared" si="8"/>
        <v>1.0269999999999999</v>
      </c>
      <c r="M119" s="200">
        <f t="shared" si="8"/>
        <v>1.0495939999999999</v>
      </c>
      <c r="N119" s="200" t="str">
        <f t="shared" si="8"/>
        <v/>
      </c>
      <c r="O119" s="200" t="str">
        <f t="shared" si="8"/>
        <v/>
      </c>
      <c r="P119" s="200" t="str">
        <f t="shared" si="8"/>
        <v/>
      </c>
      <c r="Q119" s="200" t="str">
        <f t="shared" si="8"/>
        <v/>
      </c>
      <c r="R119" s="192"/>
      <c r="S119" s="200" t="str">
        <f t="shared" si="8"/>
        <v/>
      </c>
      <c r="T119" s="200" t="str">
        <f t="shared" si="8"/>
        <v/>
      </c>
      <c r="U119" s="200" t="str">
        <f t="shared" si="8"/>
        <v/>
      </c>
    </row>
    <row r="120" spans="1:22">
      <c r="B120" s="184">
        <v>10</v>
      </c>
      <c r="C120" s="184"/>
      <c r="D120" s="200" t="str">
        <f t="shared" si="4"/>
        <v/>
      </c>
      <c r="E120" s="200" t="str">
        <f t="shared" si="4"/>
        <v/>
      </c>
      <c r="F120" s="200" t="str">
        <f t="shared" si="4"/>
        <v/>
      </c>
      <c r="G120" s="200" t="str">
        <f t="shared" si="4"/>
        <v/>
      </c>
      <c r="H120" s="200" t="str">
        <f t="shared" si="4"/>
        <v/>
      </c>
      <c r="I120" s="192"/>
      <c r="J120" s="200" t="str">
        <f t="shared" ref="J120:U120" si="9">IF(J103="","",IF(J103&lt;&gt;0,SUMIF($B$78:$B$85,J$115,$E$78:$E$85)/SUMIF($B$78:$B$85,$B120,$E$78:$E$85),""))</f>
        <v/>
      </c>
      <c r="K120" s="200" t="str">
        <f t="shared" si="9"/>
        <v/>
      </c>
      <c r="L120" s="200" t="str">
        <f t="shared" si="9"/>
        <v/>
      </c>
      <c r="M120" s="200">
        <f t="shared" si="9"/>
        <v>1.022</v>
      </c>
      <c r="N120" s="200">
        <f t="shared" si="9"/>
        <v>1.022</v>
      </c>
      <c r="O120" s="200">
        <f t="shared" si="9"/>
        <v>1.0342640000000001</v>
      </c>
      <c r="P120" s="200" t="str">
        <f t="shared" si="9"/>
        <v/>
      </c>
      <c r="Q120" s="200" t="str">
        <f t="shared" si="9"/>
        <v/>
      </c>
      <c r="R120" s="192"/>
      <c r="S120" s="200" t="str">
        <f t="shared" si="9"/>
        <v/>
      </c>
      <c r="T120" s="200" t="str">
        <f t="shared" si="9"/>
        <v/>
      </c>
      <c r="U120" s="200" t="str">
        <f t="shared" si="9"/>
        <v/>
      </c>
    </row>
    <row r="121" spans="1:22">
      <c r="B121" s="184">
        <v>11</v>
      </c>
      <c r="C121" s="184"/>
      <c r="D121" s="200" t="str">
        <f t="shared" si="4"/>
        <v/>
      </c>
      <c r="E121" s="200" t="str">
        <f t="shared" si="4"/>
        <v/>
      </c>
      <c r="F121" s="200" t="str">
        <f t="shared" si="4"/>
        <v/>
      </c>
      <c r="G121" s="200" t="str">
        <f t="shared" si="4"/>
        <v/>
      </c>
      <c r="H121" s="200" t="str">
        <f t="shared" si="4"/>
        <v/>
      </c>
      <c r="I121" s="192"/>
      <c r="J121" s="200" t="str">
        <f t="shared" ref="J121:U121" si="10">IF(J104="","",IF(J104&lt;&gt;0,SUMIF($B$78:$B$85,J$115,$E$78:$E$85)/SUMIF($B$78:$B$85,$B121,$E$78:$E$85),""))</f>
        <v/>
      </c>
      <c r="K121" s="200" t="str">
        <f t="shared" si="10"/>
        <v/>
      </c>
      <c r="L121" s="200" t="str">
        <f t="shared" si="10"/>
        <v/>
      </c>
      <c r="M121" s="200" t="str">
        <f t="shared" si="10"/>
        <v/>
      </c>
      <c r="N121" s="200" t="str">
        <f t="shared" si="10"/>
        <v/>
      </c>
      <c r="O121" s="200">
        <f t="shared" si="10"/>
        <v>1.012</v>
      </c>
      <c r="P121" s="200">
        <f t="shared" si="10"/>
        <v>1.012</v>
      </c>
      <c r="Q121" s="200">
        <f t="shared" si="10"/>
        <v>1.0878999999999999</v>
      </c>
      <c r="R121" s="192"/>
      <c r="S121" s="200" t="str">
        <f t="shared" si="10"/>
        <v/>
      </c>
      <c r="T121" s="200" t="str">
        <f t="shared" si="10"/>
        <v/>
      </c>
      <c r="U121" s="200" t="str">
        <f t="shared" si="10"/>
        <v/>
      </c>
    </row>
    <row r="122" spans="1:22">
      <c r="B122" s="184">
        <v>12</v>
      </c>
      <c r="C122" s="184"/>
      <c r="D122" s="200" t="str">
        <f t="shared" si="4"/>
        <v/>
      </c>
      <c r="E122" s="200" t="str">
        <f t="shared" si="4"/>
        <v/>
      </c>
      <c r="F122" s="200" t="str">
        <f t="shared" si="4"/>
        <v/>
      </c>
      <c r="G122" s="200" t="str">
        <f t="shared" si="4"/>
        <v/>
      </c>
      <c r="H122" s="200" t="str">
        <f t="shared" si="4"/>
        <v/>
      </c>
      <c r="I122" s="192"/>
      <c r="J122" s="200" t="str">
        <f t="shared" ref="J122:U122" si="11">IF(J105="","",IF(J105&lt;&gt;0,SUMIF($B$78:$B$85,J$115,$E$78:$E$85)/SUMIF($B$78:$B$85,$B122,$E$78:$E$85),""))</f>
        <v/>
      </c>
      <c r="K122" s="200" t="str">
        <f t="shared" si="11"/>
        <v/>
      </c>
      <c r="L122" s="200" t="str">
        <f t="shared" si="11"/>
        <v/>
      </c>
      <c r="M122" s="200" t="str">
        <f t="shared" si="11"/>
        <v/>
      </c>
      <c r="N122" s="200" t="str">
        <f t="shared" si="11"/>
        <v/>
      </c>
      <c r="O122" s="200" t="str">
        <f t="shared" si="11"/>
        <v/>
      </c>
      <c r="P122" s="200" t="str">
        <f t="shared" si="11"/>
        <v/>
      </c>
      <c r="Q122" s="200">
        <f t="shared" si="11"/>
        <v>1.075</v>
      </c>
      <c r="R122" s="192"/>
      <c r="S122" s="200">
        <f t="shared" si="11"/>
        <v>1.075</v>
      </c>
      <c r="T122" s="200" t="str">
        <f t="shared" si="11"/>
        <v/>
      </c>
      <c r="U122" s="200" t="str">
        <f t="shared" si="11"/>
        <v/>
      </c>
    </row>
    <row r="123" spans="1:22">
      <c r="B123" s="184">
        <v>13</v>
      </c>
      <c r="C123" s="184"/>
      <c r="D123" s="200" t="str">
        <f t="shared" si="4"/>
        <v/>
      </c>
      <c r="E123" s="200" t="str">
        <f t="shared" si="4"/>
        <v/>
      </c>
      <c r="F123" s="200" t="str">
        <f t="shared" si="4"/>
        <v/>
      </c>
      <c r="G123" s="200" t="str">
        <f t="shared" si="4"/>
        <v/>
      </c>
      <c r="H123" s="200" t="str">
        <f t="shared" si="4"/>
        <v/>
      </c>
      <c r="I123" s="192"/>
      <c r="J123" s="200" t="str">
        <f t="shared" ref="J123:U123" si="12">IF(J106="","",IF(J106&lt;&gt;0,SUMIF($B$78:$B$85,J$115,$E$78:$E$85)/SUMIF($B$78:$B$85,$B123,$E$78:$E$85),""))</f>
        <v/>
      </c>
      <c r="K123" s="200" t="str">
        <f t="shared" si="12"/>
        <v/>
      </c>
      <c r="L123" s="200" t="str">
        <f t="shared" si="12"/>
        <v/>
      </c>
      <c r="M123" s="200" t="str">
        <f t="shared" si="12"/>
        <v/>
      </c>
      <c r="N123" s="200" t="str">
        <f t="shared" si="12"/>
        <v/>
      </c>
      <c r="O123" s="200" t="str">
        <f t="shared" si="12"/>
        <v/>
      </c>
      <c r="P123" s="200" t="str">
        <f t="shared" si="12"/>
        <v/>
      </c>
      <c r="Q123" s="200" t="str">
        <f t="shared" si="12"/>
        <v/>
      </c>
      <c r="R123" s="192"/>
      <c r="S123" s="200" t="str">
        <f t="shared" si="12"/>
        <v/>
      </c>
      <c r="T123" s="200" t="str">
        <f t="shared" si="12"/>
        <v/>
      </c>
      <c r="U123" s="200" t="str">
        <f t="shared" si="12"/>
        <v/>
      </c>
    </row>
    <row r="124" spans="1:22"/>
    <row r="125" spans="1:22"/>
    <row r="126" spans="1:22" s="90" customFormat="1" ht="18" customHeight="1">
      <c r="A126" s="193"/>
      <c r="B126" s="194" t="s">
        <v>327</v>
      </c>
      <c r="C126" s="193"/>
      <c r="D126" s="193"/>
      <c r="E126" s="193"/>
      <c r="F126" s="193"/>
      <c r="G126" s="193"/>
      <c r="H126" s="193"/>
      <c r="I126" s="193"/>
      <c r="J126" s="193"/>
      <c r="K126" s="193"/>
      <c r="L126" s="193"/>
      <c r="M126" s="193"/>
      <c r="N126" s="193"/>
      <c r="O126" s="193"/>
      <c r="P126" s="193"/>
      <c r="Q126" s="193"/>
      <c r="R126" s="193"/>
      <c r="S126" s="193"/>
      <c r="T126" s="193"/>
      <c r="U126" s="193"/>
      <c r="V126" s="193"/>
    </row>
    <row r="127" spans="1:22" s="90" customFormat="1" ht="15" customHeight="1">
      <c r="A127" s="161"/>
      <c r="B127" s="162" t="s">
        <v>328</v>
      </c>
      <c r="C127" s="163"/>
      <c r="D127" s="161"/>
      <c r="E127" s="161"/>
      <c r="F127" s="161"/>
      <c r="G127" s="161"/>
      <c r="H127" s="161"/>
      <c r="I127" s="161"/>
      <c r="J127" s="161"/>
      <c r="K127" s="161"/>
      <c r="L127" s="161"/>
      <c r="M127" s="161"/>
      <c r="N127" s="161"/>
      <c r="O127" s="161"/>
      <c r="P127" s="161"/>
      <c r="Q127" s="161"/>
      <c r="R127" s="161"/>
      <c r="S127" s="161"/>
      <c r="T127" s="161"/>
      <c r="U127" s="161"/>
      <c r="V127" s="161"/>
    </row>
    <row r="128" spans="1:22"/>
    <row r="129" spans="1:22"/>
    <row r="130" spans="1:22" ht="22.8">
      <c r="B130" s="157"/>
      <c r="C130" s="157" t="s">
        <v>321</v>
      </c>
      <c r="D130" s="34" t="s">
        <v>88</v>
      </c>
      <c r="E130" s="34" t="s">
        <v>89</v>
      </c>
      <c r="F130" s="35" t="s">
        <v>90</v>
      </c>
      <c r="G130" s="34" t="s">
        <v>91</v>
      </c>
      <c r="H130" s="34" t="s">
        <v>92</v>
      </c>
      <c r="I130" s="159"/>
      <c r="J130" s="34" t="s">
        <v>93</v>
      </c>
      <c r="K130" s="30" t="s">
        <v>94</v>
      </c>
      <c r="L130" s="30" t="s">
        <v>95</v>
      </c>
      <c r="M130" s="36" t="s">
        <v>96</v>
      </c>
      <c r="N130" s="30" t="s">
        <v>97</v>
      </c>
      <c r="O130" s="30" t="s">
        <v>98</v>
      </c>
      <c r="P130" s="30" t="s">
        <v>99</v>
      </c>
      <c r="Q130" s="30" t="s">
        <v>100</v>
      </c>
      <c r="R130" s="159"/>
      <c r="S130" s="30" t="s">
        <v>101</v>
      </c>
      <c r="T130" s="30" t="s">
        <v>102</v>
      </c>
      <c r="U130" s="30" t="s">
        <v>103</v>
      </c>
    </row>
    <row r="131" spans="1:22" ht="22.8">
      <c r="B131" s="157"/>
      <c r="C131" s="157" t="s">
        <v>321</v>
      </c>
      <c r="D131" s="34" t="s">
        <v>88</v>
      </c>
      <c r="E131" s="34" t="s">
        <v>89</v>
      </c>
      <c r="F131" s="35" t="s">
        <v>90</v>
      </c>
      <c r="G131" s="34" t="s">
        <v>91</v>
      </c>
      <c r="H131" s="34" t="s">
        <v>92</v>
      </c>
      <c r="I131" s="159"/>
      <c r="J131" s="34" t="s">
        <v>93</v>
      </c>
      <c r="K131" s="30" t="s">
        <v>94</v>
      </c>
      <c r="L131" s="30" t="s">
        <v>95</v>
      </c>
      <c r="M131" s="36" t="s">
        <v>96</v>
      </c>
      <c r="N131" s="30" t="s">
        <v>97</v>
      </c>
      <c r="O131" s="30" t="s">
        <v>98</v>
      </c>
      <c r="P131" s="30" t="s">
        <v>99</v>
      </c>
      <c r="Q131" s="30" t="s">
        <v>100</v>
      </c>
      <c r="R131" s="159"/>
      <c r="S131" s="30" t="s">
        <v>104</v>
      </c>
      <c r="T131" s="30" t="s">
        <v>105</v>
      </c>
      <c r="U131" s="30" t="s">
        <v>103</v>
      </c>
    </row>
    <row r="132" spans="1:22" ht="34.200000000000003">
      <c r="B132" s="157" t="s">
        <v>325</v>
      </c>
      <c r="C132" s="157"/>
      <c r="D132" s="158" t="s">
        <v>292</v>
      </c>
      <c r="E132" s="157" t="s">
        <v>297</v>
      </c>
      <c r="F132" s="157" t="s">
        <v>300</v>
      </c>
      <c r="G132" s="157" t="s">
        <v>301</v>
      </c>
      <c r="H132" s="157" t="s">
        <v>302</v>
      </c>
      <c r="I132" s="159"/>
      <c r="J132" s="157" t="s">
        <v>302</v>
      </c>
      <c r="K132" s="157" t="s">
        <v>303</v>
      </c>
      <c r="L132" s="157" t="s">
        <v>304</v>
      </c>
      <c r="M132" s="157" t="s">
        <v>305</v>
      </c>
      <c r="N132" s="157" t="s">
        <v>306</v>
      </c>
      <c r="O132" s="157" t="s">
        <v>307</v>
      </c>
      <c r="P132" s="157" t="s">
        <v>308</v>
      </c>
      <c r="Q132" s="157" t="s">
        <v>309</v>
      </c>
      <c r="R132" s="159"/>
      <c r="S132" s="157" t="s">
        <v>310</v>
      </c>
      <c r="T132" s="157" t="s">
        <v>311</v>
      </c>
      <c r="U132" s="157" t="s">
        <v>312</v>
      </c>
    </row>
    <row r="133" spans="1:22">
      <c r="B133" s="160">
        <v>6</v>
      </c>
      <c r="C133" s="160"/>
      <c r="D133" s="186">
        <f t="shared" ref="D133:D140" si="13">IFERROR(D99*D116,"")</f>
        <v>1116389262.3399999</v>
      </c>
      <c r="E133" s="186">
        <f t="shared" ref="E133:H133" si="14">IFERROR(E99*E116,"")</f>
        <v>500364550.28559995</v>
      </c>
      <c r="F133" s="186" t="str">
        <f t="shared" si="14"/>
        <v/>
      </c>
      <c r="G133" s="186" t="str">
        <f t="shared" si="14"/>
        <v/>
      </c>
      <c r="H133" s="186" t="str">
        <f t="shared" si="14"/>
        <v/>
      </c>
      <c r="I133" s="170"/>
      <c r="J133" s="186" t="str">
        <f t="shared" ref="J133:U133" si="15">IFERROR(J99*J116,"")</f>
        <v/>
      </c>
      <c r="K133" s="186" t="str">
        <f t="shared" si="15"/>
        <v/>
      </c>
      <c r="L133" s="186" t="str">
        <f t="shared" si="15"/>
        <v/>
      </c>
      <c r="M133" s="186" t="str">
        <f t="shared" si="15"/>
        <v/>
      </c>
      <c r="N133" s="186" t="str">
        <f t="shared" si="15"/>
        <v/>
      </c>
      <c r="O133" s="186" t="str">
        <f t="shared" si="15"/>
        <v/>
      </c>
      <c r="P133" s="186" t="str">
        <f t="shared" si="15"/>
        <v/>
      </c>
      <c r="Q133" s="186" t="str">
        <f t="shared" si="15"/>
        <v/>
      </c>
      <c r="R133" s="170"/>
      <c r="S133" s="186" t="str">
        <f t="shared" si="15"/>
        <v/>
      </c>
      <c r="T133" s="186" t="str">
        <f t="shared" si="15"/>
        <v/>
      </c>
      <c r="U133" s="186" t="str">
        <f t="shared" si="15"/>
        <v/>
      </c>
    </row>
    <row r="134" spans="1:22">
      <c r="B134" s="160">
        <v>7</v>
      </c>
      <c r="C134" s="160"/>
      <c r="D134" s="186" t="str">
        <f t="shared" si="13"/>
        <v/>
      </c>
      <c r="E134" s="186">
        <f t="shared" ref="E134:H140" si="16">IFERROR(E100*E117,"")</f>
        <v>738993420.77499998</v>
      </c>
      <c r="F134" s="186">
        <f t="shared" si="16"/>
        <v>1311180162.0729997</v>
      </c>
      <c r="G134" s="186">
        <f t="shared" si="16"/>
        <v>595646397.6912179</v>
      </c>
      <c r="H134" s="186" t="str">
        <f t="shared" si="16"/>
        <v/>
      </c>
      <c r="I134" s="170"/>
      <c r="J134" s="186" t="str">
        <f t="shared" ref="J134:U134" si="17">IFERROR(J100*J117,"")</f>
        <v/>
      </c>
      <c r="K134" s="186" t="str">
        <f t="shared" si="17"/>
        <v/>
      </c>
      <c r="L134" s="186" t="str">
        <f t="shared" si="17"/>
        <v/>
      </c>
      <c r="M134" s="186" t="str">
        <f t="shared" si="17"/>
        <v/>
      </c>
      <c r="N134" s="186" t="str">
        <f t="shared" si="17"/>
        <v/>
      </c>
      <c r="O134" s="186" t="str">
        <f t="shared" si="17"/>
        <v/>
      </c>
      <c r="P134" s="186" t="str">
        <f t="shared" si="17"/>
        <v/>
      </c>
      <c r="Q134" s="186" t="str">
        <f t="shared" si="17"/>
        <v/>
      </c>
      <c r="R134" s="170"/>
      <c r="S134" s="186" t="str">
        <f t="shared" si="17"/>
        <v/>
      </c>
      <c r="T134" s="186" t="str">
        <f t="shared" si="17"/>
        <v/>
      </c>
      <c r="U134" s="186" t="str">
        <f t="shared" si="17"/>
        <v/>
      </c>
    </row>
    <row r="135" spans="1:22">
      <c r="B135" s="160">
        <v>8</v>
      </c>
      <c r="C135" s="160"/>
      <c r="D135" s="186" t="str">
        <f t="shared" si="13"/>
        <v/>
      </c>
      <c r="E135" s="186" t="str">
        <f t="shared" si="16"/>
        <v/>
      </c>
      <c r="F135" s="186" t="str">
        <f t="shared" si="16"/>
        <v/>
      </c>
      <c r="G135" s="186">
        <f t="shared" si="16"/>
        <v>810671400.53999996</v>
      </c>
      <c r="H135" s="186">
        <f t="shared" si="16"/>
        <v>1443702241.971</v>
      </c>
      <c r="I135" s="170"/>
      <c r="J135" s="186">
        <f t="shared" ref="J135:U135" si="18">IFERROR(J101*J118,"")</f>
        <v>1443702241.971</v>
      </c>
      <c r="K135" s="186">
        <f t="shared" si="18"/>
        <v>650122674.14963686</v>
      </c>
      <c r="L135" s="186" t="str">
        <f t="shared" si="18"/>
        <v/>
      </c>
      <c r="M135" s="186" t="str">
        <f t="shared" si="18"/>
        <v/>
      </c>
      <c r="N135" s="186" t="str">
        <f t="shared" si="18"/>
        <v/>
      </c>
      <c r="O135" s="186" t="str">
        <f t="shared" si="18"/>
        <v/>
      </c>
      <c r="P135" s="186" t="str">
        <f t="shared" si="18"/>
        <v/>
      </c>
      <c r="Q135" s="186" t="str">
        <f t="shared" si="18"/>
        <v/>
      </c>
      <c r="R135" s="170"/>
      <c r="S135" s="186" t="str">
        <f t="shared" si="18"/>
        <v/>
      </c>
      <c r="T135" s="186" t="str">
        <f t="shared" si="18"/>
        <v/>
      </c>
      <c r="U135" s="186" t="str">
        <f t="shared" si="18"/>
        <v/>
      </c>
    </row>
    <row r="136" spans="1:22">
      <c r="B136" s="160">
        <v>9</v>
      </c>
      <c r="C136" s="160"/>
      <c r="D136" s="186" t="str">
        <f t="shared" si="13"/>
        <v/>
      </c>
      <c r="E136" s="186" t="str">
        <f t="shared" si="16"/>
        <v/>
      </c>
      <c r="F136" s="186" t="str">
        <f t="shared" si="16"/>
        <v/>
      </c>
      <c r="G136" s="186" t="str">
        <f t="shared" si="16"/>
        <v/>
      </c>
      <c r="H136" s="186" t="str">
        <f t="shared" si="16"/>
        <v/>
      </c>
      <c r="I136" s="170"/>
      <c r="J136" s="186" t="str">
        <f t="shared" ref="J136:U136" si="19">IFERROR(J102*J119,"")</f>
        <v/>
      </c>
      <c r="K136" s="186">
        <f t="shared" si="19"/>
        <v>848774452.86399996</v>
      </c>
      <c r="L136" s="186">
        <f t="shared" si="19"/>
        <v>1503820679.5949998</v>
      </c>
      <c r="M136" s="186">
        <f t="shared" si="19"/>
        <v>669457243.719082</v>
      </c>
      <c r="N136" s="186" t="str">
        <f t="shared" si="19"/>
        <v/>
      </c>
      <c r="O136" s="186" t="str">
        <f t="shared" si="19"/>
        <v/>
      </c>
      <c r="P136" s="186" t="str">
        <f t="shared" si="19"/>
        <v/>
      </c>
      <c r="Q136" s="186" t="str">
        <f t="shared" si="19"/>
        <v/>
      </c>
      <c r="R136" s="170"/>
      <c r="S136" s="186" t="str">
        <f t="shared" si="19"/>
        <v/>
      </c>
      <c r="T136" s="186" t="str">
        <f t="shared" si="19"/>
        <v/>
      </c>
      <c r="U136" s="186" t="str">
        <f t="shared" si="19"/>
        <v/>
      </c>
    </row>
    <row r="137" spans="1:22">
      <c r="B137" s="160">
        <v>10</v>
      </c>
      <c r="C137" s="160"/>
      <c r="D137" s="186" t="str">
        <f t="shared" si="13"/>
        <v/>
      </c>
      <c r="E137" s="186" t="str">
        <f t="shared" si="16"/>
        <v/>
      </c>
      <c r="F137" s="186" t="str">
        <f t="shared" si="16"/>
        <v/>
      </c>
      <c r="G137" s="186" t="str">
        <f t="shared" si="16"/>
        <v/>
      </c>
      <c r="H137" s="186" t="str">
        <f t="shared" si="16"/>
        <v/>
      </c>
      <c r="I137" s="170"/>
      <c r="J137" s="186" t="str">
        <f t="shared" ref="J137:U137" si="20">IFERROR(J103*J120,"")</f>
        <v/>
      </c>
      <c r="K137" s="186" t="str">
        <f t="shared" si="20"/>
        <v/>
      </c>
      <c r="L137" s="186" t="str">
        <f t="shared" si="20"/>
        <v/>
      </c>
      <c r="M137" s="186">
        <f t="shared" si="20"/>
        <v>866078013.00999999</v>
      </c>
      <c r="N137" s="186">
        <f t="shared" si="20"/>
        <v>1544179758.1560001</v>
      </c>
      <c r="O137" s="186">
        <f t="shared" si="20"/>
        <v>686238966.0877521</v>
      </c>
      <c r="P137" s="186" t="str">
        <f t="shared" si="20"/>
        <v/>
      </c>
      <c r="Q137" s="186" t="str">
        <f t="shared" si="20"/>
        <v/>
      </c>
      <c r="R137" s="170"/>
      <c r="S137" s="186" t="str">
        <f t="shared" si="20"/>
        <v/>
      </c>
      <c r="T137" s="186" t="str">
        <f t="shared" si="20"/>
        <v/>
      </c>
      <c r="U137" s="186" t="str">
        <f t="shared" si="20"/>
        <v/>
      </c>
    </row>
    <row r="138" spans="1:22">
      <c r="B138" s="160">
        <v>11</v>
      </c>
      <c r="C138" s="160"/>
      <c r="D138" s="186" t="str">
        <f t="shared" si="13"/>
        <v/>
      </c>
      <c r="E138" s="186" t="str">
        <f t="shared" si="16"/>
        <v/>
      </c>
      <c r="F138" s="186" t="str">
        <f t="shared" si="16"/>
        <v/>
      </c>
      <c r="G138" s="186" t="str">
        <f t="shared" si="16"/>
        <v/>
      </c>
      <c r="H138" s="186" t="str">
        <f t="shared" si="16"/>
        <v/>
      </c>
      <c r="I138" s="170"/>
      <c r="J138" s="186" t="str">
        <f t="shared" ref="J138:U138" si="21">IFERROR(J104*J121,"")</f>
        <v/>
      </c>
      <c r="K138" s="186" t="str">
        <f t="shared" si="21"/>
        <v/>
      </c>
      <c r="L138" s="186" t="str">
        <f t="shared" si="21"/>
        <v/>
      </c>
      <c r="M138" s="186" t="str">
        <f t="shared" si="21"/>
        <v/>
      </c>
      <c r="N138" s="186" t="str">
        <f t="shared" si="21"/>
        <v/>
      </c>
      <c r="O138" s="186">
        <f t="shared" si="21"/>
        <v>971628124.10399997</v>
      </c>
      <c r="P138" s="186">
        <f t="shared" si="21"/>
        <v>1621438955.4488399</v>
      </c>
      <c r="Q138" s="186">
        <f t="shared" si="21"/>
        <v>698546643.69570279</v>
      </c>
      <c r="R138" s="170"/>
      <c r="S138" s="186" t="str">
        <f t="shared" si="21"/>
        <v/>
      </c>
      <c r="T138" s="186" t="str">
        <f t="shared" si="21"/>
        <v/>
      </c>
      <c r="U138" s="186" t="str">
        <f t="shared" si="21"/>
        <v/>
      </c>
    </row>
    <row r="139" spans="1:22">
      <c r="B139" s="160">
        <v>12</v>
      </c>
      <c r="C139" s="160"/>
      <c r="D139" s="186" t="str">
        <f t="shared" si="13"/>
        <v/>
      </c>
      <c r="E139" s="186" t="str">
        <f t="shared" si="16"/>
        <v/>
      </c>
      <c r="F139" s="186" t="str">
        <f t="shared" si="16"/>
        <v/>
      </c>
      <c r="G139" s="186" t="str">
        <f t="shared" si="16"/>
        <v/>
      </c>
      <c r="H139" s="186" t="str">
        <f t="shared" si="16"/>
        <v/>
      </c>
      <c r="I139" s="170"/>
      <c r="J139" s="186" t="str">
        <f t="shared" ref="J139:U139" si="22">IFERROR(J105*J122,"")</f>
        <v/>
      </c>
      <c r="K139" s="186" t="str">
        <f t="shared" si="22"/>
        <v/>
      </c>
      <c r="L139" s="186" t="str">
        <f t="shared" si="22"/>
        <v/>
      </c>
      <c r="M139" s="186" t="str">
        <f t="shared" si="22"/>
        <v/>
      </c>
      <c r="N139" s="186" t="str">
        <f t="shared" si="22"/>
        <v/>
      </c>
      <c r="O139" s="186" t="str">
        <f t="shared" si="22"/>
        <v/>
      </c>
      <c r="P139" s="186" t="str">
        <f t="shared" si="22"/>
        <v/>
      </c>
      <c r="Q139" s="186">
        <f t="shared" si="22"/>
        <v>768260883.37450004</v>
      </c>
      <c r="R139" s="170"/>
      <c r="S139" s="186">
        <f t="shared" si="22"/>
        <v>1366510858.7495</v>
      </c>
      <c r="T139" s="186" t="str">
        <f t="shared" si="22"/>
        <v/>
      </c>
      <c r="U139" s="186" t="str">
        <f t="shared" si="22"/>
        <v/>
      </c>
    </row>
    <row r="140" spans="1:22">
      <c r="B140" s="160">
        <v>13</v>
      </c>
      <c r="C140" s="160"/>
      <c r="D140" s="186" t="str">
        <f t="shared" si="13"/>
        <v/>
      </c>
      <c r="E140" s="186" t="str">
        <f t="shared" si="16"/>
        <v/>
      </c>
      <c r="F140" s="186" t="str">
        <f t="shared" si="16"/>
        <v/>
      </c>
      <c r="G140" s="186" t="str">
        <f t="shared" si="16"/>
        <v/>
      </c>
      <c r="H140" s="186" t="str">
        <f t="shared" si="16"/>
        <v/>
      </c>
      <c r="I140" s="170"/>
      <c r="J140" s="186" t="str">
        <f t="shared" ref="J140:U140" si="23">IFERROR(J106*J123,"")</f>
        <v/>
      </c>
      <c r="K140" s="186" t="str">
        <f t="shared" si="23"/>
        <v/>
      </c>
      <c r="L140" s="186" t="str">
        <f t="shared" si="23"/>
        <v/>
      </c>
      <c r="M140" s="186" t="str">
        <f t="shared" si="23"/>
        <v/>
      </c>
      <c r="N140" s="186" t="str">
        <f t="shared" si="23"/>
        <v/>
      </c>
      <c r="O140" s="186" t="str">
        <f t="shared" si="23"/>
        <v/>
      </c>
      <c r="P140" s="186" t="str">
        <f t="shared" si="23"/>
        <v/>
      </c>
      <c r="Q140" s="186" t="str">
        <f t="shared" si="23"/>
        <v/>
      </c>
      <c r="R140" s="170"/>
      <c r="S140" s="186" t="str">
        <f t="shared" si="23"/>
        <v/>
      </c>
      <c r="T140" s="186" t="str">
        <f t="shared" si="23"/>
        <v/>
      </c>
      <c r="U140" s="186" t="str">
        <f t="shared" si="23"/>
        <v/>
      </c>
    </row>
    <row r="141" spans="1:22"/>
    <row r="142" spans="1:22"/>
    <row r="143" spans="1:22" s="90" customFormat="1" ht="18" customHeight="1">
      <c r="A143" s="88"/>
      <c r="B143" s="89" t="s">
        <v>329</v>
      </c>
      <c r="C143" s="88"/>
      <c r="D143" s="88"/>
      <c r="E143" s="88"/>
      <c r="F143" s="88"/>
      <c r="G143" s="88"/>
      <c r="H143" s="88"/>
      <c r="I143" s="88"/>
      <c r="J143" s="88"/>
      <c r="K143" s="88"/>
      <c r="L143" s="88"/>
      <c r="M143" s="88"/>
      <c r="N143" s="88"/>
      <c r="O143" s="88"/>
      <c r="P143" s="88"/>
      <c r="Q143" s="88"/>
      <c r="R143" s="88"/>
      <c r="S143" s="88"/>
      <c r="T143" s="88"/>
      <c r="U143" s="88"/>
      <c r="V143" s="88"/>
    </row>
    <row r="144" spans="1:22" s="90" customFormat="1" ht="21" customHeight="1">
      <c r="A144" s="161"/>
      <c r="B144" s="162" t="s">
        <v>330</v>
      </c>
      <c r="C144" s="163"/>
      <c r="D144" s="161"/>
      <c r="E144" s="161"/>
      <c r="F144" s="161"/>
      <c r="G144" s="161"/>
      <c r="H144" s="161"/>
      <c r="I144" s="161"/>
      <c r="J144" s="161"/>
      <c r="K144" s="161"/>
      <c r="L144" s="161"/>
      <c r="M144" s="161"/>
      <c r="N144" s="161"/>
      <c r="O144" s="161"/>
      <c r="P144" s="161"/>
      <c r="Q144" s="161"/>
      <c r="R144" s="161"/>
      <c r="S144" s="161"/>
      <c r="T144" s="161"/>
      <c r="U144" s="161"/>
      <c r="V144" s="161"/>
    </row>
    <row r="145" spans="2:22" s="90" customFormat="1" ht="21" customHeight="1">
      <c r="B145" s="180"/>
      <c r="C145" s="181"/>
    </row>
    <row r="146" spans="2:22" s="90" customFormat="1" ht="21" customHeight="1">
      <c r="B146" s="180"/>
      <c r="C146" s="404"/>
      <c r="D146" s="406" t="s">
        <v>80</v>
      </c>
      <c r="E146" s="407"/>
      <c r="F146" s="407"/>
      <c r="G146" s="407"/>
      <c r="H146" s="407"/>
      <c r="I146" s="407"/>
      <c r="J146" s="407"/>
      <c r="K146" s="407"/>
      <c r="L146" s="407"/>
      <c r="M146" s="407"/>
      <c r="N146" s="407"/>
      <c r="O146" s="254" t="s">
        <v>81</v>
      </c>
      <c r="P146" s="258"/>
      <c r="Q146" s="258"/>
      <c r="R146" s="159"/>
      <c r="S146" s="258"/>
      <c r="T146" s="258"/>
      <c r="U146" s="259"/>
    </row>
    <row r="147" spans="2:22" s="90" customFormat="1" ht="21" customHeight="1">
      <c r="B147" s="180"/>
      <c r="C147" s="405"/>
      <c r="D147" s="408" t="s">
        <v>82</v>
      </c>
      <c r="E147" s="409"/>
      <c r="F147" s="409"/>
      <c r="G147" s="409"/>
      <c r="H147" s="409"/>
      <c r="I147" s="409"/>
      <c r="J147" s="409"/>
      <c r="K147" s="409"/>
      <c r="L147" s="409"/>
      <c r="M147" s="409"/>
      <c r="N147" s="409"/>
      <c r="O147" s="255" t="s">
        <v>83</v>
      </c>
      <c r="P147" s="256"/>
      <c r="Q147" s="256"/>
      <c r="R147" s="159"/>
      <c r="S147" s="256"/>
      <c r="T147" s="256"/>
      <c r="U147" s="257"/>
    </row>
    <row r="148" spans="2:22" ht="42.75" customHeight="1">
      <c r="C148" s="157" t="s">
        <v>321</v>
      </c>
      <c r="D148" s="34" t="s">
        <v>88</v>
      </c>
      <c r="E148" s="34" t="s">
        <v>89</v>
      </c>
      <c r="F148" s="34" t="s">
        <v>90</v>
      </c>
      <c r="G148" s="34" t="s">
        <v>91</v>
      </c>
      <c r="H148" s="34" t="s">
        <v>92</v>
      </c>
      <c r="I148" s="159"/>
      <c r="J148" s="34" t="s">
        <v>93</v>
      </c>
      <c r="K148" s="34" t="s">
        <v>94</v>
      </c>
      <c r="L148" s="34" t="s">
        <v>95</v>
      </c>
      <c r="M148" s="34" t="s">
        <v>96</v>
      </c>
      <c r="N148" s="34" t="s">
        <v>97</v>
      </c>
      <c r="O148" s="34" t="s">
        <v>98</v>
      </c>
      <c r="P148" s="34" t="s">
        <v>99</v>
      </c>
      <c r="Q148" s="34" t="s">
        <v>100</v>
      </c>
      <c r="R148" s="159"/>
      <c r="S148" s="30" t="s">
        <v>101</v>
      </c>
      <c r="T148" s="30" t="s">
        <v>102</v>
      </c>
      <c r="U148" s="30" t="s">
        <v>103</v>
      </c>
      <c r="V148" s="171"/>
    </row>
    <row r="149" spans="2:22" ht="42.75" customHeight="1">
      <c r="C149" s="157" t="s">
        <v>321</v>
      </c>
      <c r="D149" s="34" t="s">
        <v>88</v>
      </c>
      <c r="E149" s="34" t="s">
        <v>89</v>
      </c>
      <c r="F149" s="34" t="s">
        <v>90</v>
      </c>
      <c r="G149" s="34" t="s">
        <v>91</v>
      </c>
      <c r="H149" s="34" t="s">
        <v>92</v>
      </c>
      <c r="I149" s="159"/>
      <c r="J149" s="34" t="s">
        <v>93</v>
      </c>
      <c r="K149" s="34" t="s">
        <v>94</v>
      </c>
      <c r="L149" s="34" t="s">
        <v>95</v>
      </c>
      <c r="M149" s="34" t="s">
        <v>96</v>
      </c>
      <c r="N149" s="34" t="s">
        <v>97</v>
      </c>
      <c r="O149" s="34" t="s">
        <v>98</v>
      </c>
      <c r="P149" s="34" t="s">
        <v>99</v>
      </c>
      <c r="Q149" s="34" t="s">
        <v>100</v>
      </c>
      <c r="R149" s="159"/>
      <c r="S149" s="30" t="s">
        <v>104</v>
      </c>
      <c r="T149" s="30" t="s">
        <v>105</v>
      </c>
      <c r="U149" s="30" t="s">
        <v>103</v>
      </c>
      <c r="V149" s="171"/>
    </row>
    <row r="150" spans="2:22" ht="31.35" customHeight="1">
      <c r="C150" s="157" t="s">
        <v>331</v>
      </c>
      <c r="D150" s="209" t="s">
        <v>292</v>
      </c>
      <c r="E150" s="210" t="s">
        <v>297</v>
      </c>
      <c r="F150" s="210" t="s">
        <v>300</v>
      </c>
      <c r="G150" s="210" t="s">
        <v>301</v>
      </c>
      <c r="H150" s="157" t="s">
        <v>302</v>
      </c>
      <c r="I150" s="159"/>
      <c r="J150" s="157" t="s">
        <v>302</v>
      </c>
      <c r="K150" s="210" t="s">
        <v>303</v>
      </c>
      <c r="L150" s="210" t="s">
        <v>304</v>
      </c>
      <c r="M150" s="210" t="s">
        <v>305</v>
      </c>
      <c r="N150" s="210" t="s">
        <v>306</v>
      </c>
      <c r="O150" s="210" t="s">
        <v>307</v>
      </c>
      <c r="P150" s="210" t="s">
        <v>308</v>
      </c>
      <c r="Q150" s="210" t="s">
        <v>309</v>
      </c>
      <c r="R150" s="159"/>
      <c r="S150" s="210" t="s">
        <v>310</v>
      </c>
      <c r="T150" s="210" t="s">
        <v>311</v>
      </c>
      <c r="U150" s="210" t="s">
        <v>312</v>
      </c>
      <c r="V150" s="172"/>
    </row>
    <row r="151" spans="2:22" ht="56.25" customHeight="1">
      <c r="C151" s="160" t="s">
        <v>332</v>
      </c>
      <c r="D151" s="169">
        <f>IFERROR(SUM(D133:D140),"")</f>
        <v>1116389262.3399999</v>
      </c>
      <c r="E151" s="169">
        <f t="shared" ref="E151:U151" si="24">IFERROR(SUM(E133:E140),"")</f>
        <v>1239357971.0605998</v>
      </c>
      <c r="F151" s="169">
        <f t="shared" si="24"/>
        <v>1311180162.0729997</v>
      </c>
      <c r="G151" s="169">
        <f t="shared" si="24"/>
        <v>1406317798.2312179</v>
      </c>
      <c r="H151" s="169">
        <f t="shared" si="24"/>
        <v>1443702241.971</v>
      </c>
      <c r="I151" s="170"/>
      <c r="J151" s="169">
        <f t="shared" si="24"/>
        <v>1443702241.971</v>
      </c>
      <c r="K151" s="169">
        <f t="shared" si="24"/>
        <v>1498897127.0136368</v>
      </c>
      <c r="L151" s="169">
        <f t="shared" si="24"/>
        <v>1503820679.5949998</v>
      </c>
      <c r="M151" s="169">
        <f t="shared" si="24"/>
        <v>1535535256.7290821</v>
      </c>
      <c r="N151" s="169">
        <f t="shared" si="24"/>
        <v>1544179758.1560001</v>
      </c>
      <c r="O151" s="169">
        <f t="shared" si="24"/>
        <v>1657867090.191752</v>
      </c>
      <c r="P151" s="169">
        <f t="shared" si="24"/>
        <v>1621438955.4488399</v>
      </c>
      <c r="Q151" s="169">
        <f t="shared" si="24"/>
        <v>1466807527.0702028</v>
      </c>
      <c r="R151" s="170"/>
      <c r="S151" s="169">
        <f t="shared" si="24"/>
        <v>1366510858.7495</v>
      </c>
      <c r="T151" s="169">
        <f t="shared" si="24"/>
        <v>0</v>
      </c>
      <c r="U151" s="169">
        <f t="shared" si="24"/>
        <v>0</v>
      </c>
      <c r="V151" s="171"/>
    </row>
    <row r="152" spans="2:22" ht="54.75" customHeight="1">
      <c r="C152" s="160" t="s">
        <v>284</v>
      </c>
      <c r="D152" s="169">
        <f>IF('3f WHD'!K$13&lt;&gt;"",SUMIF($K$38:$K$69,"="&amp;D$150,$G$38:$G$69)+SUMIF($J$38:$J$69,"="&amp;D$150,$G$38:$G$69),"")</f>
        <v>289086325</v>
      </c>
      <c r="E152" s="169">
        <f>IF('3f WHD'!L$13&lt;&gt;"",SUMIF($K$38:$K$69,"="&amp;E$150,$G$38:$G$69)+SUMIF($J$38:$J$69,"="&amp;E$150,$G$38:$G$69),"")</f>
        <v>287029215</v>
      </c>
      <c r="F152" s="169">
        <f>IF('3f WHD'!M$13&lt;&gt;"",SUMIF($K$38:$K$69,"="&amp;F$150,$G$38:$G$69)+SUMIF($J$38:$J$69,"="&amp;F$150,$G$38:$G$69),"")</f>
        <v>287428212</v>
      </c>
      <c r="G152" s="169">
        <f>IF('3f WHD'!N$13&lt;&gt;"",SUMIF($K$38:$K$69,"="&amp;G$150,$G$38:$G$69)+SUMIF($J$38:$J$69,"="&amp;G$150,$G$38:$G$69),"")</f>
        <v>284821302</v>
      </c>
      <c r="H152" s="169">
        <f>IF('3f WHD'!O$13&lt;&gt;"",SUMIF($K$38:$K$69,"="&amp;H$150,$G$38:$G$69)+SUMIF($J$38:$J$69,"="&amp;H$150,$G$38:$G$69),"")</f>
        <v>285658030</v>
      </c>
      <c r="I152" s="170"/>
      <c r="J152" s="169">
        <f>IF('3f WHD'!Q$13&lt;&gt;"",SUMIF($K$38:$K$69,"="&amp;J$150,$G$38:$G$69)+SUMIF($J$38:$J$69,"="&amp;J$150,$G$38:$G$69),"")</f>
        <v>285658030</v>
      </c>
      <c r="K152" s="169">
        <f>IF('3f WHD'!R$13&lt;&gt;"",SUMIF($K$38:$K$69,"="&amp;K$150,$G$38:$G$69)+SUMIF($J$38:$J$69,"="&amp;K$150,$G$38:$G$69),"")</f>
        <v>284998608</v>
      </c>
      <c r="L152" s="169">
        <f>IF('3f WHD'!S$13&lt;&gt;"",SUMIF($K$38:$K$69,"="&amp;L$150,$G$38:$G$69)+SUMIF($J$38:$J$69,"="&amp;L$150,$G$38:$G$69),"")</f>
        <v>275232817</v>
      </c>
      <c r="M152" s="169">
        <f>IF('3f WHD'!T$13&lt;&gt;"",SUMIF($K$38:$K$69,"="&amp;M$150,$G$38:$G$69)+SUMIF($J$38:$J$69,"="&amp;M$150,$G$38:$G$69),"")</f>
        <v>273686938</v>
      </c>
      <c r="N152" s="169">
        <f>IF('3f WHD'!U$13&lt;&gt;"",SUMIF($K$38:$K$69,"="&amp;N$150,$G$38:$G$69)+SUMIF($J$38:$J$69,"="&amp;N$150,$G$38:$G$69),"")</f>
        <v>275266021</v>
      </c>
      <c r="O152" s="169">
        <f>IF('3f WHD'!V$13&lt;&gt;"",SUMIF($K$38:$K$69,"="&amp;O$150,$G$38:$G$69)+SUMIF($J$38:$J$69,"="&amp;O$150,$G$38:$G$69),"")</f>
        <v>261785742</v>
      </c>
      <c r="P152" s="169">
        <f>IF('3f WHD'!W$13&lt;&gt;"",SUMIF($K$38:$K$69,"="&amp;P$150,$G$38:$G$69)+SUMIF($J$38:$J$69,"="&amp;P$150,$G$38:$G$69),"")</f>
        <v>257458677.59999999</v>
      </c>
      <c r="Q152" s="169">
        <f>IF('3f WHD'!X$13&lt;&gt;"",SUMIF($K$38:$K$69,"="&amp;Q$150,$G$38:$G$69)+SUMIF($J$38:$J$69,"="&amp;Q$150,$G$38:$G$69),"")</f>
        <v>265213181.05699998</v>
      </c>
      <c r="R152" s="170"/>
      <c r="S152" s="169">
        <f>IF('3f WHD'!Z$13&lt;&gt;"",SUMIF($K$38:$K$69,"="&amp;S$150,$G$38:$G$69)+SUMIF($J$38:$J$69,"="&amp;S$150,$G$38:$G$69),"")</f>
        <v>265840089.45700002</v>
      </c>
      <c r="T152" s="169" t="str">
        <f>IF('3f WHD'!AA$13&lt;&gt;"",SUMIF($K$38:$K$69,"="&amp;T$150,$G$38:$G$69)+SUMIF($J$38:$J$69,"="&amp;T$150,$G$38:$G$69),"")</f>
        <v/>
      </c>
      <c r="U152" s="169" t="str">
        <f>IF('3f WHD'!AB$13&lt;&gt;"",SUMIF($K$38:$K$69,"="&amp;U$150,$G$38:$G$69)+SUMIF($J$38:$J$69,"="&amp;U$150,$G$38:$G$69),"")</f>
        <v/>
      </c>
    </row>
    <row r="153" spans="2:22" ht="64.2" customHeight="1">
      <c r="C153" s="160" t="s">
        <v>333</v>
      </c>
      <c r="D153" s="169">
        <f>IF('3f WHD'!K$13&lt;&gt;"",SUMIF($K$38:$K$69,"="&amp;D$150,$H$38:$H$69)+SUMIF($J$38:$J$69,"="&amp;D$150,$H$38:$H$69),"")</f>
        <v>0</v>
      </c>
      <c r="E153" s="169">
        <f>IF('3f WHD'!L$13&lt;&gt;"",SUMIF($K$38:$K$69,"="&amp;E$150,$H$38:$H$69)+SUMIF($J$38:$J$69,"="&amp;E$150,$H$38:$H$69),"")</f>
        <v>4058627</v>
      </c>
      <c r="F153" s="169">
        <f>IF('3f WHD'!M$13&lt;&gt;"",SUMIF($K$38:$K$69,"="&amp;F$150,$H$38:$H$69)+SUMIF($J$38:$J$69,"="&amp;F$150,$H$38:$H$69),"")</f>
        <v>8117254</v>
      </c>
      <c r="G153" s="169">
        <f>IF('3f WHD'!N$13&lt;&gt;"",SUMIF($K$38:$K$69,"="&amp;G$150,$H$38:$H$69)+SUMIF($J$38:$J$69,"="&amp;G$150,$H$38:$H$69),"")</f>
        <v>8523116.6999999993</v>
      </c>
      <c r="H153" s="169">
        <f>IF('3f WHD'!O$13&lt;&gt;"",SUMIF($K$38:$K$69,"="&amp;H$150,$H$38:$H$69)+SUMIF($J$38:$J$69,"="&amp;H$150,$H$38:$H$69),"")</f>
        <v>8928979.4000000004</v>
      </c>
      <c r="I153" s="170"/>
      <c r="J153" s="169">
        <f>IF('3f WHD'!Q$13&lt;&gt;"",SUMIF($K$38:$K$69,"="&amp;J$150,$H$38:$H$69)+SUMIF($J$38:$J$69,"="&amp;J$150,$H$38:$H$69),"")</f>
        <v>8928979.4000000004</v>
      </c>
      <c r="K153" s="169">
        <f>IF('3f WHD'!R$13&lt;&gt;"",SUMIF($K$38:$K$69,"="&amp;K$150,$H$38:$H$69)+SUMIF($J$38:$J$69,"="&amp;K$150,$H$38:$H$69),"")</f>
        <v>9375428.370000001</v>
      </c>
      <c r="L153" s="169">
        <f>IF('3f WHD'!S$13&lt;&gt;"",SUMIF($K$38:$K$69,"="&amp;L$150,$H$38:$H$69)+SUMIF($J$38:$J$69,"="&amp;L$150,$H$38:$H$69),"")</f>
        <v>9821877.3400000017</v>
      </c>
      <c r="M153" s="169">
        <f>IF('3f WHD'!T$13&lt;&gt;"",SUMIF($K$38:$K$69,"="&amp;M$150,$H$38:$H$69)+SUMIF($J$38:$J$69,"="&amp;M$150,$H$38:$H$69),"")</f>
        <v>10312971.207000002</v>
      </c>
      <c r="N153" s="169">
        <f>IF('3f WHD'!U$13&lt;&gt;"",SUMIF($K$38:$K$69,"="&amp;N$150,$H$38:$H$69)+SUMIF($J$38:$J$69,"="&amp;N$150,$H$38:$H$69),"")</f>
        <v>10804065.074000003</v>
      </c>
      <c r="O153" s="169">
        <f>IF('3f WHD'!V$13&lt;&gt;"",SUMIF($K$38:$K$69,"="&amp;O$150,$H$38:$H$69)+SUMIF($J$38:$J$69,"="&amp;O$150,$H$38:$H$69),"")</f>
        <v>11344268.327700004</v>
      </c>
      <c r="P153" s="169">
        <f>IF('3f WHD'!W$13&lt;&gt;"",SUMIF($K$38:$K$69,"="&amp;P$150,$H$38:$H$69)+SUMIF($J$38:$J$69,"="&amp;P$150,$H$38:$H$69),"")</f>
        <v>11884471.581400003</v>
      </c>
      <c r="Q153" s="169">
        <f>IF('3f WHD'!X$13&lt;&gt;"",SUMIF($K$38:$K$69,"="&amp;Q$150,$H$38:$H$69)+SUMIF($J$38:$J$69,"="&amp;Q$150,$H$38:$H$69),"")</f>
        <v>12478695.160470003</v>
      </c>
      <c r="R153" s="170"/>
      <c r="S153" s="169">
        <f>IF('3f WHD'!Z$13&lt;&gt;"",SUMIF($K$38:$K$69,"="&amp;S$150,$H$38:$H$69)+SUMIF($J$38:$J$69,"="&amp;S$150,$H$38:$H$69),"")</f>
        <v>13072918.739540005</v>
      </c>
      <c r="T153" s="169" t="str">
        <f>IF('3f WHD'!AA$13&lt;&gt;"",SUMIF($K$38:$K$69,"="&amp;T$150,$H$38:$H$69)+SUMIF($J$38:$J$69,"="&amp;T$150,$H$38:$H$69),"")</f>
        <v/>
      </c>
      <c r="U153" s="169" t="str">
        <f>IF('3f WHD'!AB$13&lt;&gt;"",SUMIF($K$38:$K$69,"="&amp;U$150,$H$38:$H$69)+SUMIF($J$38:$J$69,"="&amp;U$150,$H$38:$H$69),"")</f>
        <v/>
      </c>
    </row>
    <row r="154" spans="2:22" ht="49.2" customHeight="1">
      <c r="C154" s="160" t="s">
        <v>334</v>
      </c>
      <c r="D154" s="169">
        <f>IF('3f WHD'!K$13&lt;&gt;"",SUMIF($K$38:$K$69,"="&amp;D$150,$I$38:$I$69)+SUMIF($J$38:$J$69,"="&amp;D$150,$I$38:$I$69),"")</f>
        <v>0</v>
      </c>
      <c r="E154" s="169">
        <f>IF('3f WHD'!L$13&lt;&gt;"",SUMIF($K$38:$K$69,"="&amp;E$150,$I$38:$I$69)+SUMIF($J$38:$J$69,"="&amp;E$150,$I$38:$I$69),"")</f>
        <v>0</v>
      </c>
      <c r="F154" s="169">
        <f>IF('3f WHD'!M$13&lt;&gt;"",SUMIF($K$38:$K$69,"="&amp;F$150,$I$38:$I$69)+SUMIF($J$38:$J$69,"="&amp;F$150,$I$38:$I$69),"")</f>
        <v>0</v>
      </c>
      <c r="G154" s="169">
        <f>IF('3f WHD'!N$13&lt;&gt;"",SUMIF($K$38:$K$69,"="&amp;G$150,$I$38:$I$69)+SUMIF($J$38:$J$69,"="&amp;G$150,$I$38:$I$69),"")</f>
        <v>0</v>
      </c>
      <c r="H154" s="169">
        <f>IF('3f WHD'!O$13&lt;&gt;"",SUMIF($K$38:$K$69,"="&amp;H$150,$I$38:$I$69)+SUMIF($J$38:$J$69,"="&amp;H$150,$I$38:$I$69),"")</f>
        <v>0</v>
      </c>
      <c r="I154" s="170"/>
      <c r="J154" s="169">
        <f>IF('3f WHD'!Q$13&lt;&gt;"",SUMIF($K$38:$K$69,"="&amp;J$150,$I$38:$I$69)+SUMIF($J$38:$J$69,"="&amp;J$150,$I$38:$I$69),"")</f>
        <v>0</v>
      </c>
      <c r="K154" s="169">
        <f>IF('3f WHD'!R$13&lt;&gt;"",SUMIF($K$38:$K$69,"="&amp;K$150,$I$38:$I$69)+SUMIF($J$38:$J$69,"="&amp;K$150,$I$38:$I$69),"")</f>
        <v>0</v>
      </c>
      <c r="L154" s="169">
        <f>IF('3f WHD'!S$13&lt;&gt;"",SUMIF($K$38:$K$69,"="&amp;L$150,$I$38:$I$69)+SUMIF($J$38:$J$69,"="&amp;L$150,$I$38:$I$69),"")</f>
        <v>0</v>
      </c>
      <c r="M154" s="169">
        <f>IF('3f WHD'!T$13&lt;&gt;"",SUMIF($K$38:$K$69,"="&amp;M$150,$I$38:$I$69)+SUMIF($J$38:$J$69,"="&amp;M$150,$I$38:$I$69),"")</f>
        <v>4430396.3839999996</v>
      </c>
      <c r="N154" s="169">
        <f>IF('3f WHD'!U$13&lt;&gt;"",SUMIF($K$38:$K$69,"="&amp;N$150,$I$38:$I$69)+SUMIF($J$38:$J$69,"="&amp;N$150,$I$38:$I$69),"")</f>
        <v>8736597.3889999986</v>
      </c>
      <c r="O154" s="169">
        <f>IF('3f WHD'!V$13&lt;&gt;"",SUMIF($K$38:$K$69,"="&amp;O$150,$I$38:$I$69)+SUMIF($J$38:$J$69,"="&amp;O$150,$I$38:$I$69),"")</f>
        <v>8423668.2469999995</v>
      </c>
      <c r="P154" s="169">
        <f>IF('3f WHD'!W$13&lt;&gt;"",SUMIF($K$38:$K$69,"="&amp;P$150,$I$38:$I$69)+SUMIF($J$38:$J$69,"="&amp;P$150,$I$38:$I$69),"")</f>
        <v>8798806.6639999989</v>
      </c>
      <c r="Q154" s="169">
        <f>IF('3f WHD'!X$13&lt;&gt;"",SUMIF($K$38:$K$69,"="&amp;Q$150,$I$38:$I$69)+SUMIF($J$38:$J$69,"="&amp;Q$150,$I$38:$I$69),"")</f>
        <v>9639861.3670000006</v>
      </c>
      <c r="R154" s="170"/>
      <c r="S154" s="169">
        <f>IF('3f WHD'!Z$13&lt;&gt;"",SUMIF($K$38:$K$69,"="&amp;S$150,$I$38:$I$69)+SUMIF($J$38:$J$69,"="&amp;S$150,$I$38:$I$69),"")</f>
        <v>9867391.9450000003</v>
      </c>
      <c r="T154" s="169" t="str">
        <f>IF('3f WHD'!AA$13&lt;&gt;"",SUMIF($K$38:$K$69,"="&amp;T$150,$I$38:$I$69)+SUMIF($J$38:$J$69,"="&amp;T$150,$I$38:$I$69),"")</f>
        <v/>
      </c>
      <c r="U154" s="169" t="str">
        <f>IF('3f WHD'!AB$13&lt;&gt;"",SUMIF($K$38:$K$69,"="&amp;U$150,$I$38:$I$69)+SUMIF($J$38:$J$69,"="&amp;U$150,$I$38:$I$69),"")</f>
        <v/>
      </c>
    </row>
    <row r="155" spans="2:22"/>
    <row r="156" spans="2:22"/>
    <row r="157" spans="2:22" ht="55.5" customHeight="1">
      <c r="C157" s="160" t="s">
        <v>335</v>
      </c>
      <c r="D157" s="208">
        <f>IFERROR(D151/(D152-D153-D154),"-")</f>
        <v>3.86178509945083</v>
      </c>
      <c r="E157" s="208">
        <f t="shared" ref="E157:U157" si="25">IFERROR(E151/(E152-E153-E154),"-")</f>
        <v>4.3798119791184789</v>
      </c>
      <c r="F157" s="208">
        <f t="shared" si="25"/>
        <v>4.6943384228877969</v>
      </c>
      <c r="G157" s="208">
        <f t="shared" si="25"/>
        <v>5.0898553557427864</v>
      </c>
      <c r="H157" s="208">
        <f t="shared" si="25"/>
        <v>5.2170245185345925</v>
      </c>
      <c r="I157" s="170"/>
      <c r="J157" s="208">
        <f t="shared" si="25"/>
        <v>5.2170245185345925</v>
      </c>
      <c r="K157" s="208">
        <f t="shared" si="25"/>
        <v>5.4382114342696974</v>
      </c>
      <c r="L157" s="208">
        <f t="shared" si="25"/>
        <v>5.6660086487823103</v>
      </c>
      <c r="M157" s="208">
        <f t="shared" si="25"/>
        <v>5.9299995528126548</v>
      </c>
      <c r="N157" s="208">
        <f t="shared" si="25"/>
        <v>6.0384303183314465</v>
      </c>
      <c r="O157" s="179">
        <f t="shared" si="25"/>
        <v>6.8501864450773278</v>
      </c>
      <c r="P157" s="179">
        <f t="shared" si="25"/>
        <v>6.8480043107034856</v>
      </c>
      <c r="Q157" s="179">
        <f t="shared" si="25"/>
        <v>6.0338953603312691</v>
      </c>
      <c r="R157" s="170"/>
      <c r="S157" s="179">
        <f t="shared" si="25"/>
        <v>5.6258217510753665</v>
      </c>
      <c r="T157" s="179" t="str">
        <f t="shared" si="25"/>
        <v>-</v>
      </c>
      <c r="U157" s="179" t="str">
        <f t="shared" si="25"/>
        <v>-</v>
      </c>
    </row>
    <row r="158" spans="2:22"/>
    <row r="159" spans="2:22"/>
  </sheetData>
  <mergeCells count="4">
    <mergeCell ref="B3:O3"/>
    <mergeCell ref="C146:C147"/>
    <mergeCell ref="D146:N146"/>
    <mergeCell ref="D147:N147"/>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C37"/>
  <sheetViews>
    <sheetView topLeftCell="M1" workbookViewId="0">
      <selection activeCell="Z13" sqref="Z13"/>
    </sheetView>
  </sheetViews>
  <sheetFormatPr defaultColWidth="0" defaultRowHeight="0" customHeight="1" zeroHeight="1"/>
  <cols>
    <col min="1" max="1" width="3" customWidth="1"/>
    <col min="2" max="2" width="36" customWidth="1"/>
    <col min="3" max="3" width="36.81640625" customWidth="1"/>
    <col min="4" max="4" width="21.1796875" customWidth="1"/>
    <col min="5" max="5" width="15.6328125"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81640625" customWidth="1"/>
    <col min="14" max="15" width="13" customWidth="1"/>
    <col min="16" max="16" width="1.453125" customWidth="1"/>
    <col min="17" max="24" width="15.6328125" customWidth="1"/>
    <col min="25" max="25" width="1.453125" customWidth="1"/>
    <col min="26" max="28" width="15.6328125" customWidth="1"/>
    <col min="29" max="29" width="8.7265625" customWidth="1"/>
  </cols>
  <sheetData>
    <row r="1" spans="1:29" ht="12.75" customHeight="1">
      <c r="A1" s="2"/>
      <c r="B1" s="2"/>
      <c r="C1" s="2"/>
      <c r="D1" s="2"/>
      <c r="E1" s="40"/>
      <c r="F1" s="2"/>
      <c r="G1" s="2"/>
      <c r="H1" s="2"/>
      <c r="I1" s="2"/>
      <c r="J1" s="2"/>
      <c r="K1" s="2"/>
      <c r="L1" s="2"/>
      <c r="M1" s="2"/>
      <c r="N1" s="2"/>
      <c r="O1" s="2"/>
      <c r="P1" s="2"/>
      <c r="Q1" s="2"/>
      <c r="R1" s="2"/>
      <c r="S1" s="2"/>
      <c r="T1" s="2"/>
      <c r="U1" s="2"/>
      <c r="V1" s="2"/>
      <c r="W1" s="2"/>
      <c r="X1" s="2"/>
      <c r="Y1" s="2"/>
      <c r="Z1" s="2"/>
      <c r="AA1" s="2"/>
      <c r="AB1" s="2"/>
      <c r="AC1" s="2"/>
    </row>
    <row r="2" spans="1:29" ht="18.75" customHeight="1">
      <c r="A2" s="2"/>
      <c r="B2" s="41" t="s">
        <v>343</v>
      </c>
      <c r="C2" s="41"/>
      <c r="D2" s="2"/>
      <c r="E2" s="40"/>
      <c r="F2" s="2"/>
      <c r="G2" s="2"/>
      <c r="H2" s="2"/>
      <c r="I2" s="2"/>
      <c r="J2" s="2"/>
      <c r="K2" s="2"/>
      <c r="L2" s="2"/>
      <c r="M2" s="2"/>
      <c r="N2" s="2"/>
      <c r="O2" s="2"/>
      <c r="P2" s="2"/>
      <c r="Q2" s="2"/>
      <c r="R2" s="2"/>
      <c r="S2" s="2"/>
      <c r="T2" s="2"/>
      <c r="U2" s="2"/>
      <c r="V2" s="2"/>
      <c r="W2" s="2"/>
      <c r="X2" s="2"/>
      <c r="Y2" s="2"/>
      <c r="Z2" s="2"/>
      <c r="AA2" s="2"/>
      <c r="AB2" s="2"/>
      <c r="AC2" s="2"/>
    </row>
    <row r="3" spans="1:29" ht="12.6">
      <c r="A3" s="2"/>
      <c r="B3" s="297" t="s">
        <v>344</v>
      </c>
      <c r="C3" s="297"/>
      <c r="D3" s="297"/>
      <c r="E3" s="297"/>
      <c r="F3" s="297"/>
      <c r="G3" s="40"/>
      <c r="H3" s="40"/>
      <c r="I3" s="40"/>
      <c r="J3" s="40"/>
      <c r="K3" s="40"/>
      <c r="L3" s="40"/>
      <c r="M3" s="40"/>
      <c r="N3" s="40"/>
      <c r="O3" s="40"/>
      <c r="P3" s="40"/>
      <c r="Q3" s="40"/>
      <c r="R3" s="40"/>
      <c r="S3" s="40"/>
      <c r="T3" s="40"/>
      <c r="U3" s="2"/>
      <c r="V3" s="2"/>
      <c r="W3" s="2"/>
      <c r="X3" s="2"/>
      <c r="Y3" s="40"/>
      <c r="Z3" s="2"/>
      <c r="AA3" s="2"/>
      <c r="AB3" s="2"/>
      <c r="AC3" s="2"/>
    </row>
    <row r="4" spans="1:29" ht="12.75" customHeight="1">
      <c r="A4" s="2"/>
      <c r="B4" s="2"/>
      <c r="C4" s="2"/>
      <c r="D4" s="2"/>
      <c r="E4" s="40"/>
      <c r="F4" s="2"/>
      <c r="G4" s="2"/>
      <c r="H4" s="2"/>
      <c r="I4" s="2"/>
      <c r="J4" s="2"/>
      <c r="K4" s="2"/>
      <c r="L4" s="2"/>
      <c r="M4" s="2"/>
      <c r="N4" s="2"/>
      <c r="O4" s="2"/>
      <c r="P4" s="2"/>
      <c r="Q4" s="2"/>
      <c r="R4" s="2"/>
      <c r="S4" s="2"/>
      <c r="T4" s="2"/>
      <c r="U4" s="2"/>
      <c r="V4" s="2"/>
      <c r="W4" s="2"/>
      <c r="X4" s="2"/>
      <c r="Y4" s="2"/>
      <c r="Z4" s="2"/>
      <c r="AA4" s="2"/>
      <c r="AB4" s="2"/>
      <c r="AC4" s="2"/>
    </row>
    <row r="5" spans="1:29" ht="12.6">
      <c r="A5" s="15"/>
      <c r="B5" s="15"/>
      <c r="C5" s="15"/>
      <c r="D5" s="15"/>
      <c r="E5" s="15"/>
      <c r="F5" s="15"/>
      <c r="G5" s="57"/>
      <c r="H5" s="15"/>
      <c r="I5" s="15"/>
      <c r="J5" s="15"/>
      <c r="K5" s="15"/>
      <c r="L5" s="15"/>
      <c r="M5" s="15"/>
      <c r="N5" s="15"/>
      <c r="O5" s="15"/>
      <c r="P5" s="57"/>
      <c r="Q5" s="15"/>
      <c r="R5" s="15"/>
      <c r="S5" s="15"/>
      <c r="T5" s="15"/>
      <c r="U5" s="15"/>
      <c r="V5" s="15"/>
      <c r="W5" s="15"/>
      <c r="X5" s="15"/>
      <c r="Y5" s="57"/>
      <c r="Z5" s="15"/>
      <c r="AA5" s="15"/>
      <c r="AB5" s="15"/>
      <c r="AC5" s="15"/>
    </row>
    <row r="6" spans="1:29" ht="12.75" customHeight="1">
      <c r="A6" s="15"/>
      <c r="B6" s="287" t="s">
        <v>27</v>
      </c>
      <c r="C6" s="341" t="s">
        <v>43</v>
      </c>
      <c r="D6" s="342" t="s">
        <v>187</v>
      </c>
      <c r="E6" s="341" t="s">
        <v>79</v>
      </c>
      <c r="F6" s="301"/>
      <c r="G6" s="29"/>
      <c r="H6" s="302" t="s">
        <v>80</v>
      </c>
      <c r="I6" s="303"/>
      <c r="J6" s="303"/>
      <c r="K6" s="303"/>
      <c r="L6" s="303"/>
      <c r="M6" s="303"/>
      <c r="N6" s="303"/>
      <c r="O6" s="304"/>
      <c r="P6" s="139"/>
      <c r="Q6" s="248" t="s">
        <v>81</v>
      </c>
      <c r="R6" s="249"/>
      <c r="S6" s="249"/>
      <c r="T6" s="249"/>
      <c r="U6" s="249"/>
      <c r="V6" s="249"/>
      <c r="W6" s="249"/>
      <c r="X6" s="249"/>
      <c r="Y6" s="29"/>
      <c r="Z6" s="249"/>
      <c r="AA6" s="249"/>
      <c r="AB6" s="250"/>
      <c r="AC6" s="15"/>
    </row>
    <row r="7" spans="1:29" ht="12.75" customHeight="1">
      <c r="A7" s="15"/>
      <c r="B7" s="287"/>
      <c r="C7" s="341"/>
      <c r="D7" s="342"/>
      <c r="E7" s="341"/>
      <c r="F7" s="301"/>
      <c r="G7" s="29"/>
      <c r="H7" s="288" t="s">
        <v>82</v>
      </c>
      <c r="I7" s="289"/>
      <c r="J7" s="289"/>
      <c r="K7" s="289"/>
      <c r="L7" s="289"/>
      <c r="M7" s="289"/>
      <c r="N7" s="289"/>
      <c r="O7" s="290"/>
      <c r="P7" s="139"/>
      <c r="Q7" s="251" t="s">
        <v>83</v>
      </c>
      <c r="R7" s="252"/>
      <c r="S7" s="252"/>
      <c r="T7" s="252"/>
      <c r="U7" s="252"/>
      <c r="V7" s="252"/>
      <c r="W7" s="252"/>
      <c r="X7" s="252"/>
      <c r="Y7" s="29"/>
      <c r="Z7" s="252"/>
      <c r="AA7" s="252"/>
      <c r="AB7" s="253"/>
      <c r="AC7" s="15"/>
    </row>
    <row r="8" spans="1:29" ht="25.5" customHeight="1">
      <c r="A8" s="15"/>
      <c r="B8" s="287"/>
      <c r="C8" s="341"/>
      <c r="D8" s="342"/>
      <c r="E8" s="341"/>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29" ht="25.5" customHeight="1">
      <c r="A9" s="15"/>
      <c r="B9" s="287"/>
      <c r="C9" s="341"/>
      <c r="D9" s="342"/>
      <c r="E9" s="341"/>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30" customHeight="1">
      <c r="A10" s="15"/>
      <c r="B10" s="287"/>
      <c r="C10" s="341"/>
      <c r="D10" s="342"/>
      <c r="E10" s="341"/>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29" ht="12.75" customHeight="1">
      <c r="A11" s="15"/>
      <c r="B11" s="287"/>
      <c r="C11" s="341"/>
      <c r="D11" s="342"/>
      <c r="E11" s="341"/>
      <c r="F11" s="56" t="s">
        <v>345</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29" ht="12.6">
      <c r="A12" s="15"/>
      <c r="B12" s="339" t="s">
        <v>55</v>
      </c>
      <c r="C12" s="340"/>
      <c r="D12" s="340"/>
      <c r="E12" s="340"/>
      <c r="F12" s="340"/>
      <c r="G12" s="29"/>
      <c r="H12" s="49"/>
      <c r="I12" s="49"/>
      <c r="J12" s="49"/>
      <c r="K12" s="49"/>
      <c r="L12" s="49"/>
      <c r="M12" s="50"/>
      <c r="N12" s="49"/>
      <c r="O12" s="49"/>
      <c r="P12" s="29"/>
      <c r="Q12" s="49"/>
      <c r="R12" s="49"/>
      <c r="S12" s="49"/>
      <c r="T12" s="51"/>
      <c r="U12" s="49"/>
      <c r="V12" s="49"/>
      <c r="W12" s="49"/>
      <c r="X12" s="49"/>
      <c r="Y12" s="29"/>
      <c r="Z12" s="49"/>
      <c r="AA12" s="49"/>
      <c r="AB12" s="49"/>
      <c r="AC12" s="15"/>
    </row>
    <row r="13" spans="1:29" s="4" customFormat="1" ht="12.6">
      <c r="A13" s="57"/>
      <c r="B13" s="27" t="s">
        <v>346</v>
      </c>
      <c r="C13" s="27"/>
      <c r="D13" s="211" t="s">
        <v>243</v>
      </c>
      <c r="E13" s="3" t="s">
        <v>347</v>
      </c>
      <c r="F13" s="418"/>
      <c r="G13" s="29"/>
      <c r="H13" s="410"/>
      <c r="I13" s="411"/>
      <c r="J13" s="411"/>
      <c r="K13" s="411"/>
      <c r="L13" s="411"/>
      <c r="M13" s="411"/>
      <c r="N13" s="411"/>
      <c r="O13" s="412"/>
      <c r="P13" s="29"/>
      <c r="Q13" s="410"/>
      <c r="R13" s="411"/>
      <c r="S13" s="411"/>
      <c r="T13" s="411"/>
      <c r="U13" s="411"/>
      <c r="V13" s="411"/>
      <c r="W13" s="412"/>
      <c r="X13" s="226">
        <v>0.57599999999999996</v>
      </c>
      <c r="Y13" s="29"/>
      <c r="Z13" s="271">
        <v>0.57599999999999996</v>
      </c>
      <c r="AA13" s="218"/>
      <c r="AB13" s="218"/>
      <c r="AC13" s="57"/>
    </row>
    <row r="14" spans="1:29" s="4" customFormat="1" ht="28.5" customHeight="1">
      <c r="A14" s="57"/>
      <c r="B14" s="27" t="s">
        <v>348</v>
      </c>
      <c r="C14" s="230" t="s">
        <v>349</v>
      </c>
      <c r="D14" s="211" t="s">
        <v>243</v>
      </c>
      <c r="E14" s="3" t="s">
        <v>347</v>
      </c>
      <c r="F14" s="419"/>
      <c r="G14" s="29"/>
      <c r="H14" s="413"/>
      <c r="I14" s="414"/>
      <c r="J14" s="414"/>
      <c r="K14" s="414"/>
      <c r="L14" s="414"/>
      <c r="M14" s="414"/>
      <c r="N14" s="414"/>
      <c r="O14" s="415"/>
      <c r="P14" s="29"/>
      <c r="Q14" s="413"/>
      <c r="R14" s="414"/>
      <c r="S14" s="414"/>
      <c r="T14" s="414"/>
      <c r="U14" s="414"/>
      <c r="V14" s="414"/>
      <c r="W14" s="415"/>
      <c r="X14" s="226">
        <v>0.48399999999999999</v>
      </c>
      <c r="Y14" s="29"/>
      <c r="Z14" s="271">
        <v>0.48399999999999999</v>
      </c>
      <c r="AA14" s="416"/>
      <c r="AB14" s="417"/>
      <c r="AC14" s="57"/>
    </row>
    <row r="15" spans="1:29" ht="12.6">
      <c r="A15" s="15"/>
      <c r="B15" s="339" t="s">
        <v>51</v>
      </c>
      <c r="C15" s="340"/>
      <c r="D15" s="340"/>
      <c r="E15" s="340"/>
      <c r="F15" s="340"/>
      <c r="G15" s="29"/>
      <c r="H15" s="223"/>
      <c r="I15" s="15"/>
      <c r="J15" s="15"/>
      <c r="K15" s="15"/>
      <c r="L15" s="15"/>
      <c r="M15" s="15"/>
      <c r="N15" s="15"/>
      <c r="O15" s="222"/>
      <c r="P15" s="221"/>
      <c r="Q15" s="15"/>
      <c r="R15" s="15"/>
      <c r="S15" s="15"/>
      <c r="T15" s="15"/>
      <c r="U15" s="15"/>
      <c r="V15" s="15"/>
      <c r="W15" s="15"/>
      <c r="X15" s="51"/>
      <c r="Y15" s="221"/>
      <c r="Z15" s="49"/>
      <c r="AA15" s="49"/>
      <c r="AB15" s="49"/>
      <c r="AC15" s="15"/>
    </row>
    <row r="16" spans="1:29" ht="12.6">
      <c r="A16" s="15"/>
      <c r="B16" s="373" t="s">
        <v>350</v>
      </c>
      <c r="C16" s="373"/>
      <c r="D16" s="373"/>
      <c r="E16" s="12" t="s">
        <v>351</v>
      </c>
      <c r="F16" s="12"/>
      <c r="G16" s="29"/>
      <c r="H16" s="223"/>
      <c r="I16" s="15"/>
      <c r="J16" s="15"/>
      <c r="K16" s="15"/>
      <c r="L16" s="15"/>
      <c r="M16" s="15"/>
      <c r="N16" s="15"/>
      <c r="O16" s="222"/>
      <c r="P16" s="221"/>
      <c r="Q16" s="15"/>
      <c r="R16" s="15"/>
      <c r="S16" s="15"/>
      <c r="T16" s="15"/>
      <c r="U16" s="15"/>
      <c r="V16" s="15"/>
      <c r="W16" s="15"/>
      <c r="X16" s="5">
        <f>IF(X13="","-",((X13)*365/100)+(X14*122/100))</f>
        <v>2.6928799999999997</v>
      </c>
      <c r="Y16" s="221"/>
      <c r="Z16" s="5">
        <f>IF(Z13="","-",((Z13)*365/100)+(Z14*122/100))</f>
        <v>2.6928799999999997</v>
      </c>
      <c r="AA16" s="5" t="str">
        <f t="shared" ref="AA16:AB16" si="0">IF(AA13="","-",((AA13)*365/100))</f>
        <v>-</v>
      </c>
      <c r="AB16" s="5" t="str">
        <f t="shared" si="0"/>
        <v>-</v>
      </c>
      <c r="AC16" s="15"/>
    </row>
    <row r="17" spans="1:29" ht="12.6">
      <c r="A17" s="15"/>
      <c r="B17" s="15"/>
      <c r="C17" s="15"/>
      <c r="D17" s="15"/>
      <c r="E17" s="15"/>
      <c r="F17" s="15"/>
      <c r="G17" s="57"/>
      <c r="H17" s="15"/>
      <c r="I17" s="15"/>
      <c r="J17" s="15"/>
      <c r="K17" s="15"/>
      <c r="L17" s="15"/>
      <c r="M17" s="15"/>
      <c r="N17" s="15"/>
      <c r="O17" s="15"/>
      <c r="P17" s="57"/>
      <c r="Q17" s="15"/>
      <c r="R17" s="15"/>
      <c r="S17" s="15"/>
      <c r="T17" s="15"/>
      <c r="U17" s="15"/>
      <c r="V17" s="15"/>
      <c r="W17" s="15"/>
      <c r="X17" s="220"/>
      <c r="Y17" s="57"/>
      <c r="Z17" s="15"/>
      <c r="AA17" s="15"/>
      <c r="AB17" s="15"/>
      <c r="AC17" s="15"/>
    </row>
    <row r="18" spans="1:29" ht="12.6" hidden="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2.6" hidden="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2.6" hidden="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2.6" hidden="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2.6" hidden="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2.6" hidden="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215"/>
      <c r="AA23" s="213"/>
      <c r="AB23" s="15"/>
      <c r="AC23" s="15"/>
    </row>
    <row r="24" spans="1:29" ht="12.6" hidden="1">
      <c r="A24" s="15"/>
      <c r="B24" s="68"/>
      <c r="C24" s="68"/>
      <c r="D24" s="15"/>
      <c r="E24" s="15"/>
      <c r="F24" s="15"/>
      <c r="G24" s="15"/>
      <c r="H24" s="15"/>
      <c r="I24" s="15"/>
      <c r="J24" s="15"/>
      <c r="K24" s="15"/>
      <c r="L24" s="15"/>
      <c r="M24" s="15"/>
      <c r="N24" s="15"/>
      <c r="O24" s="15"/>
      <c r="P24" s="15"/>
      <c r="Q24" s="15"/>
      <c r="R24" s="15"/>
      <c r="S24" s="15"/>
      <c r="T24" s="15"/>
      <c r="U24" s="15"/>
      <c r="V24" s="15"/>
      <c r="W24" s="15"/>
      <c r="X24" s="15"/>
      <c r="Y24" s="15"/>
      <c r="Z24" s="215"/>
      <c r="AA24" s="213"/>
      <c r="AB24" s="15"/>
      <c r="AC24" s="15"/>
    </row>
    <row r="25" spans="1:29" ht="12.6" hidden="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216"/>
      <c r="AA25" s="15"/>
      <c r="AB25" s="15"/>
      <c r="AC25" s="15"/>
    </row>
    <row r="26" spans="1:29" ht="12.6" hidden="1">
      <c r="A26" s="15"/>
      <c r="B26" s="15"/>
      <c r="C26" s="15"/>
      <c r="D26" s="15"/>
      <c r="E26" s="15"/>
      <c r="F26" s="15"/>
      <c r="G26" s="15"/>
      <c r="H26" s="69"/>
      <c r="I26" s="69"/>
      <c r="J26" s="69"/>
      <c r="K26" s="15"/>
      <c r="L26" s="15"/>
      <c r="M26" s="15"/>
      <c r="N26" s="15"/>
      <c r="O26" s="15"/>
      <c r="P26" s="15"/>
      <c r="Q26" s="15"/>
      <c r="R26" s="15"/>
      <c r="S26" s="15"/>
      <c r="T26" s="15"/>
      <c r="U26" s="15"/>
      <c r="V26" s="15"/>
      <c r="W26" s="15"/>
      <c r="X26" s="15"/>
      <c r="Y26" s="15"/>
      <c r="Z26" s="15"/>
      <c r="AA26" s="15"/>
      <c r="AB26" s="15"/>
      <c r="AC26" s="15"/>
    </row>
    <row r="27" spans="1:29" ht="12.6" hidden="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2.6" hidden="1">
      <c r="A28" s="15"/>
      <c r="B28" s="15"/>
      <c r="C28" s="15"/>
      <c r="D28" s="15"/>
      <c r="E28" s="15"/>
      <c r="F28" s="15"/>
      <c r="G28" s="15"/>
      <c r="H28" s="15"/>
      <c r="I28" s="219"/>
      <c r="J28" s="15"/>
      <c r="K28" s="15"/>
      <c r="L28" s="15"/>
      <c r="M28" s="15"/>
      <c r="N28" s="15"/>
      <c r="O28" s="15"/>
      <c r="P28" s="15"/>
      <c r="Q28" s="15"/>
      <c r="R28" s="15"/>
      <c r="S28" s="15"/>
      <c r="T28" s="15"/>
      <c r="U28" s="15"/>
      <c r="V28" s="15"/>
      <c r="W28" s="15"/>
      <c r="X28" s="15"/>
      <c r="Y28" s="15"/>
      <c r="Z28" s="15"/>
      <c r="AA28" s="15"/>
      <c r="AB28" s="15"/>
      <c r="AC28" s="15"/>
    </row>
    <row r="29" spans="1:29" ht="12.6" hidden="1">
      <c r="A29" s="15"/>
      <c r="B29" s="15"/>
      <c r="C29" s="15"/>
      <c r="D29" s="15"/>
      <c r="E29" s="15"/>
      <c r="F29" s="15"/>
      <c r="G29" s="15"/>
      <c r="H29" s="15"/>
      <c r="I29" s="15"/>
      <c r="J29" s="69"/>
      <c r="K29" s="15"/>
      <c r="L29" s="15"/>
      <c r="M29" s="15"/>
      <c r="N29" s="15"/>
      <c r="O29" s="15"/>
      <c r="P29" s="15"/>
      <c r="Q29" s="15"/>
      <c r="R29" s="15"/>
      <c r="S29" s="15"/>
      <c r="T29" s="15"/>
      <c r="U29" s="15"/>
      <c r="V29" s="15"/>
      <c r="W29" s="15"/>
      <c r="X29" s="15"/>
      <c r="Y29" s="15"/>
      <c r="Z29" s="15"/>
      <c r="AA29" s="15"/>
      <c r="AB29" s="15"/>
      <c r="AC29" s="15"/>
    </row>
    <row r="30" spans="1:29" ht="12.6" hidden="1">
      <c r="A30" s="15"/>
      <c r="B30" s="15"/>
      <c r="C30" s="15"/>
      <c r="D30" s="15"/>
      <c r="E30" s="15"/>
      <c r="F30" s="15"/>
      <c r="G30" s="15"/>
      <c r="H30" s="15"/>
      <c r="I30" s="15"/>
      <c r="J30" s="15"/>
      <c r="K30" s="15"/>
      <c r="L30" s="15"/>
      <c r="M30" s="70"/>
      <c r="N30" s="15"/>
      <c r="O30" s="15"/>
      <c r="P30" s="15"/>
      <c r="Q30" s="15"/>
      <c r="R30" s="15"/>
      <c r="S30" s="15"/>
      <c r="T30" s="15"/>
      <c r="U30" s="15"/>
      <c r="V30" s="15"/>
      <c r="W30" s="15"/>
      <c r="X30" s="15"/>
      <c r="Y30" s="15"/>
      <c r="Z30" s="15"/>
      <c r="AA30" s="15"/>
      <c r="AB30" s="15"/>
      <c r="AC30" s="15"/>
    </row>
    <row r="31" spans="1:29" ht="12.6" hidden="1" customHeight="1">
      <c r="AC31" s="15"/>
    </row>
    <row r="32" spans="1:29" ht="12.6" hidden="1" customHeight="1">
      <c r="AC32" s="15"/>
    </row>
    <row r="33" spans="11:29" ht="12.6" hidden="1" customHeight="1">
      <c r="AC33" s="15"/>
    </row>
    <row r="34" spans="11:29" ht="12.6" hidden="1">
      <c r="AC34" s="15"/>
    </row>
    <row r="35" spans="11:29" ht="12.6" hidden="1">
      <c r="K35" s="14"/>
      <c r="L35" s="25"/>
      <c r="M35" s="25"/>
      <c r="N35" s="25"/>
      <c r="O35" s="25"/>
      <c r="AC35" s="15"/>
    </row>
    <row r="36" spans="11:29" ht="12.6" hidden="1">
      <c r="K36" s="14"/>
      <c r="L36" s="25"/>
      <c r="M36" s="25"/>
      <c r="N36" s="25"/>
      <c r="O36" s="25"/>
      <c r="AC36" s="15"/>
    </row>
    <row r="37" spans="11:29" ht="12.6" hidden="1" customHeight="1">
      <c r="AC37" s="15"/>
    </row>
  </sheetData>
  <mergeCells count="15">
    <mergeCell ref="Q13:W14"/>
    <mergeCell ref="AA14:AB14"/>
    <mergeCell ref="B15:F15"/>
    <mergeCell ref="B16:D16"/>
    <mergeCell ref="H6:O6"/>
    <mergeCell ref="H7:O7"/>
    <mergeCell ref="B12:F12"/>
    <mergeCell ref="F13:F14"/>
    <mergeCell ref="H13:O14"/>
    <mergeCell ref="B3:F3"/>
    <mergeCell ref="B6:B11"/>
    <mergeCell ref="C6:C11"/>
    <mergeCell ref="D6:D11"/>
    <mergeCell ref="E6:E11"/>
    <mergeCell ref="F6:F7"/>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ddb115-0830-43b7-ae9f-1099068dc9cf" xsi:nil="true"/>
    <_ip_UnifiedCompliancePolicyProperties xmlns="http://schemas.microsoft.com/sharepoint/v3" xsi:nil="true"/>
    <TaxCatchAll xmlns="e9d5c9a2-c4d2-48cc-8213-0a52642d0438"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4409256D-538B-4DF2-85E2-792D94DC3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0EBF99-FC74-4ED9-A7C2-80A7F7125B34}">
  <ds:schemaRefs>
    <ds:schemaRef ds:uri="http://schemas.microsoft.com/sharepoint/v3"/>
    <ds:schemaRef ds:uri="12ddb115-0830-43b7-ae9f-1099068dc9cf"/>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e9d5c9a2-c4d2-48cc-8213-0a52642d0438"/>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46D53CF4-2FED-44A4-90C4-42F9ED0BCF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3g AAHEDC</vt:lpstr>
      <vt:lpstr>3h Losses</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v1.10</dc:title>
  <dc:subject/>
  <dc:creator>Graham Reeve</dc:creator>
  <cp:keywords/>
  <dc:description/>
  <cp:lastModifiedBy>Rishi Vashani</cp:lastModifiedBy>
  <cp:revision/>
  <dcterms:created xsi:type="dcterms:W3CDTF">2018-05-30T12:29:20Z</dcterms:created>
  <dcterms:modified xsi:type="dcterms:W3CDTF">2022-08-03T14:28:31Z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d87143ea-2475-4f5b-b0b6-f6550d20e06d</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